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2840" activeTab="4"/>
  </bookViews>
  <sheets>
    <sheet name="Tasa_politica" sheetId="1" r:id="rId1"/>
    <sheet name="Meta de inflación" sheetId="2" r:id="rId2"/>
    <sheet name="Crédito interno" sheetId="3" r:id="rId3"/>
    <sheet name="Cartera vencida" sheetId="4" r:id="rId4"/>
    <sheet name="Préstamos bancarios" sheetId="5" r:id="rId5"/>
  </sheets>
  <externalReferences>
    <externalReference r:id="rId6"/>
    <externalReference r:id="rId7"/>
    <externalReference r:id="rId8"/>
    <externalReference r:id="rId9"/>
    <externalReference r:id="rId10"/>
  </externalReferences>
  <calcPr calcId="125725"/>
</workbook>
</file>

<file path=xl/calcChain.xml><?xml version="1.0" encoding="utf-8"?>
<calcChain xmlns="http://schemas.openxmlformats.org/spreadsheetml/2006/main">
  <c r="DI305" i="5"/>
  <c r="FT305"/>
  <c r="GA305"/>
  <c r="FF305"/>
  <c r="H305"/>
  <c r="V305"/>
  <c r="AC305"/>
  <c r="AD305"/>
  <c r="AJ305"/>
  <c r="CG305"/>
  <c r="DB305"/>
  <c r="DJ305"/>
  <c r="DK305"/>
  <c r="DL305"/>
  <c r="DN305"/>
  <c r="DP305"/>
  <c r="EK305"/>
  <c r="GH305"/>
  <c r="GO305"/>
  <c r="GV305"/>
  <c r="HC305"/>
  <c r="HJ305"/>
  <c r="HH305"/>
  <c r="GZ305"/>
  <c r="HG305"/>
  <c r="GY305"/>
  <c r="HF305"/>
  <c r="GX305"/>
  <c r="HE305"/>
  <c r="GW305"/>
  <c r="HD305"/>
  <c r="FM305"/>
  <c r="HQ305"/>
  <c r="BS305"/>
  <c r="EY305"/>
  <c r="DI304"/>
  <c r="FT304"/>
  <c r="FF304"/>
  <c r="V304"/>
  <c r="AC304"/>
  <c r="DJ304"/>
  <c r="DK304"/>
  <c r="DL304"/>
  <c r="DN304"/>
  <c r="DP304"/>
  <c r="EK304"/>
  <c r="HC304"/>
  <c r="GZ304"/>
  <c r="GY304"/>
  <c r="GX304"/>
  <c r="GW304"/>
  <c r="FM304"/>
  <c r="HQ304"/>
  <c r="BS304"/>
  <c r="EY304"/>
  <c r="DI303"/>
  <c r="FT303"/>
  <c r="FF303"/>
  <c r="V303"/>
  <c r="AC303"/>
  <c r="DJ303"/>
  <c r="DK303"/>
  <c r="DL303"/>
  <c r="DN303"/>
  <c r="DP303"/>
  <c r="EK303"/>
  <c r="HC303"/>
  <c r="GZ303"/>
  <c r="GY303"/>
  <c r="GX303"/>
  <c r="GW303"/>
  <c r="FM303"/>
  <c r="HQ303"/>
  <c r="BS303"/>
  <c r="EY303"/>
  <c r="DI302"/>
  <c r="FT302"/>
  <c r="GA302"/>
  <c r="FF302"/>
  <c r="H302"/>
  <c r="V302"/>
  <c r="AC302"/>
  <c r="AD302"/>
  <c r="AJ302"/>
  <c r="CC302"/>
  <c r="CE302"/>
  <c r="CG302"/>
  <c r="CX302"/>
  <c r="CZ302"/>
  <c r="DB302"/>
  <c r="DJ302"/>
  <c r="DK302"/>
  <c r="DL302"/>
  <c r="DN302"/>
  <c r="DP302"/>
  <c r="EK302"/>
  <c r="GH302"/>
  <c r="GO302"/>
  <c r="GV302"/>
  <c r="HC302"/>
  <c r="HJ302"/>
  <c r="HH302"/>
  <c r="GZ302"/>
  <c r="HG302"/>
  <c r="GY302"/>
  <c r="HF302"/>
  <c r="GX302"/>
  <c r="HE302"/>
  <c r="GW302"/>
  <c r="HD302"/>
  <c r="FM302"/>
  <c r="HQ302"/>
  <c r="BS302"/>
  <c r="EY302"/>
  <c r="DI301"/>
  <c r="FT301"/>
  <c r="FF301"/>
  <c r="V301"/>
  <c r="AC301"/>
  <c r="DJ301"/>
  <c r="DK301"/>
  <c r="DL301"/>
  <c r="DN301"/>
  <c r="DP301"/>
  <c r="EK301"/>
  <c r="HC301"/>
  <c r="GZ301"/>
  <c r="GY301"/>
  <c r="GX301"/>
  <c r="GW301"/>
  <c r="FM301"/>
  <c r="HQ301"/>
  <c r="BS301"/>
  <c r="EY301"/>
  <c r="DI300"/>
  <c r="FT300"/>
  <c r="FF300"/>
  <c r="V300"/>
  <c r="AC300"/>
  <c r="DJ300"/>
  <c r="DK300"/>
  <c r="DL300"/>
  <c r="DN300"/>
  <c r="DP300"/>
  <c r="EK300"/>
  <c r="HC300"/>
  <c r="GZ300"/>
  <c r="GY300"/>
  <c r="GX300"/>
  <c r="GW300"/>
  <c r="FM300"/>
  <c r="HQ300"/>
  <c r="BS300"/>
  <c r="EY300"/>
  <c r="DI299"/>
  <c r="FT299"/>
  <c r="GA299"/>
  <c r="FF299"/>
  <c r="V299"/>
  <c r="AC299"/>
  <c r="AD299"/>
  <c r="AJ299"/>
  <c r="CG299"/>
  <c r="DB299"/>
  <c r="DJ299"/>
  <c r="DK299"/>
  <c r="DL299"/>
  <c r="DN299"/>
  <c r="DP299"/>
  <c r="EK299"/>
  <c r="GH299"/>
  <c r="GO299"/>
  <c r="GV299"/>
  <c r="HC299"/>
  <c r="HJ299"/>
  <c r="HH299"/>
  <c r="GZ299"/>
  <c r="HG299"/>
  <c r="GY299"/>
  <c r="HF299"/>
  <c r="GX299"/>
  <c r="HE299"/>
  <c r="GW299"/>
  <c r="HD299"/>
  <c r="FM299"/>
  <c r="HQ299"/>
  <c r="BS299"/>
  <c r="EY299"/>
  <c r="DI298"/>
  <c r="FT298"/>
  <c r="FF298"/>
  <c r="V298"/>
  <c r="AC298"/>
  <c r="DJ298"/>
  <c r="DK298"/>
  <c r="DL298"/>
  <c r="DN298"/>
  <c r="DP298"/>
  <c r="EK298"/>
  <c r="HC298"/>
  <c r="GZ298"/>
  <c r="GY298"/>
  <c r="GX298"/>
  <c r="GW298"/>
  <c r="FM298"/>
  <c r="HQ298"/>
  <c r="BS298"/>
  <c r="EY298"/>
  <c r="DI297"/>
  <c r="FT297"/>
  <c r="FF297"/>
  <c r="V297"/>
  <c r="AC297"/>
  <c r="DJ297"/>
  <c r="DK297"/>
  <c r="DL297"/>
  <c r="DN297"/>
  <c r="DP297"/>
  <c r="EK297"/>
  <c r="HC297"/>
  <c r="GZ297"/>
  <c r="GY297"/>
  <c r="GX297"/>
  <c r="GW297"/>
  <c r="FM297"/>
  <c r="HQ297"/>
  <c r="BS297"/>
  <c r="EY297"/>
  <c r="DI296"/>
  <c r="FT296"/>
  <c r="GA296"/>
  <c r="FF296"/>
  <c r="V296"/>
  <c r="AC296"/>
  <c r="AD296"/>
  <c r="AJ296"/>
  <c r="CG296"/>
  <c r="DB296"/>
  <c r="DJ296"/>
  <c r="DK296"/>
  <c r="DL296"/>
  <c r="DN296"/>
  <c r="DP296"/>
  <c r="EK296"/>
  <c r="GH296"/>
  <c r="GO296"/>
  <c r="GV296"/>
  <c r="HC296"/>
  <c r="HJ296"/>
  <c r="HH296"/>
  <c r="GZ296"/>
  <c r="HG296"/>
  <c r="GY296"/>
  <c r="HF296"/>
  <c r="GX296"/>
  <c r="HE296"/>
  <c r="GW296"/>
  <c r="HD296"/>
  <c r="FM296"/>
  <c r="HQ296"/>
  <c r="BS296"/>
  <c r="EY296"/>
  <c r="DI295"/>
  <c r="FT295"/>
  <c r="FF295"/>
  <c r="V295"/>
  <c r="AC295"/>
  <c r="DJ295"/>
  <c r="DK295"/>
  <c r="DL295"/>
  <c r="DN295"/>
  <c r="DP295"/>
  <c r="EK295"/>
  <c r="HC295"/>
  <c r="GZ295"/>
  <c r="GY295"/>
  <c r="GX295"/>
  <c r="GW295"/>
  <c r="FM295"/>
  <c r="HQ295"/>
  <c r="BS295"/>
  <c r="EY295"/>
  <c r="DI294"/>
  <c r="FT294"/>
  <c r="FF294"/>
  <c r="V294"/>
  <c r="AC294"/>
  <c r="DJ294"/>
  <c r="DK294"/>
  <c r="DL294"/>
  <c r="DN294"/>
  <c r="DP294"/>
  <c r="EK294"/>
  <c r="HC294"/>
  <c r="GZ294"/>
  <c r="GY294"/>
  <c r="GX294"/>
  <c r="GW294"/>
  <c r="FM294"/>
  <c r="HQ294"/>
  <c r="BS294"/>
  <c r="EY294"/>
  <c r="DI293"/>
  <c r="FT293"/>
  <c r="GA293"/>
  <c r="FF293"/>
  <c r="V293"/>
  <c r="AC293"/>
  <c r="AD293"/>
  <c r="AJ293"/>
  <c r="CG293"/>
  <c r="DB293"/>
  <c r="DJ293"/>
  <c r="DK293"/>
  <c r="DL293"/>
  <c r="DN293"/>
  <c r="DP293"/>
  <c r="EK293"/>
  <c r="GH293"/>
  <c r="GO293"/>
  <c r="GV293"/>
  <c r="HC293"/>
  <c r="HJ293"/>
  <c r="HH293"/>
  <c r="GZ293"/>
  <c r="HG293"/>
  <c r="GY293"/>
  <c r="HF293"/>
  <c r="GX293"/>
  <c r="HE293"/>
  <c r="GW293"/>
  <c r="HD293"/>
  <c r="O293"/>
  <c r="FM293"/>
  <c r="HQ293"/>
  <c r="BS293"/>
  <c r="EY293"/>
  <c r="DI292"/>
  <c r="FT292"/>
  <c r="FF292"/>
  <c r="V292"/>
  <c r="AC292"/>
  <c r="DJ292"/>
  <c r="DK292"/>
  <c r="DL292"/>
  <c r="DN292"/>
  <c r="DP292"/>
  <c r="EK292"/>
  <c r="HC292"/>
  <c r="GZ292"/>
  <c r="GY292"/>
  <c r="GX292"/>
  <c r="GW292"/>
  <c r="O292"/>
  <c r="FM292"/>
  <c r="HQ292"/>
  <c r="BS292"/>
  <c r="EY292"/>
  <c r="DI291"/>
  <c r="FT291"/>
  <c r="FF291"/>
  <c r="V291"/>
  <c r="AC291"/>
  <c r="DJ291"/>
  <c r="DK291"/>
  <c r="DL291"/>
  <c r="DN291"/>
  <c r="DP291"/>
  <c r="EK291"/>
  <c r="HC291"/>
  <c r="GZ291"/>
  <c r="GY291"/>
  <c r="GX291"/>
  <c r="GW291"/>
  <c r="O291"/>
  <c r="FM291"/>
  <c r="HQ291"/>
  <c r="BS291"/>
  <c r="EY291"/>
  <c r="DI290"/>
  <c r="FT290"/>
  <c r="GA290"/>
  <c r="FF290"/>
  <c r="V290"/>
  <c r="AC290"/>
  <c r="AD290"/>
  <c r="AJ290"/>
  <c r="CG290"/>
  <c r="DB290"/>
  <c r="DJ290"/>
  <c r="DK290"/>
  <c r="DL290"/>
  <c r="DN290"/>
  <c r="DP290"/>
  <c r="EK290"/>
  <c r="GH290"/>
  <c r="GO290"/>
  <c r="GV290"/>
  <c r="HC290"/>
  <c r="HJ290"/>
  <c r="HH290"/>
  <c r="GZ290"/>
  <c r="HG290"/>
  <c r="GY290"/>
  <c r="HF290"/>
  <c r="GX290"/>
  <c r="HE290"/>
  <c r="GW290"/>
  <c r="HD290"/>
  <c r="O290"/>
  <c r="FM290"/>
  <c r="HQ290"/>
  <c r="BS290"/>
  <c r="EY290"/>
  <c r="DI289"/>
  <c r="FT289"/>
  <c r="FF289"/>
  <c r="V289"/>
  <c r="AC289"/>
  <c r="DJ289"/>
  <c r="DK289"/>
  <c r="DL289"/>
  <c r="DN289"/>
  <c r="DP289"/>
  <c r="EK289"/>
  <c r="HC289"/>
  <c r="GZ289"/>
  <c r="GY289"/>
  <c r="GX289"/>
  <c r="GW289"/>
  <c r="O289"/>
  <c r="FM289"/>
  <c r="HQ289"/>
  <c r="BS289"/>
  <c r="EY289"/>
  <c r="DI288"/>
  <c r="FT288"/>
  <c r="FF288"/>
  <c r="V288"/>
  <c r="AC288"/>
  <c r="DJ288"/>
  <c r="DK288"/>
  <c r="DL288"/>
  <c r="DN288"/>
  <c r="DP288"/>
  <c r="EK288"/>
  <c r="HC288"/>
  <c r="GZ288"/>
  <c r="GY288"/>
  <c r="GX288"/>
  <c r="GW288"/>
  <c r="O288"/>
  <c r="FM288"/>
  <c r="HQ288"/>
  <c r="BS288"/>
  <c r="EY288"/>
  <c r="DI287"/>
  <c r="FT287"/>
  <c r="GA287"/>
  <c r="FF287"/>
  <c r="V287"/>
  <c r="AC287"/>
  <c r="AD287"/>
  <c r="AJ287"/>
  <c r="CG287"/>
  <c r="DB287"/>
  <c r="DJ287"/>
  <c r="DK287"/>
  <c r="DL287"/>
  <c r="DN287"/>
  <c r="DP287"/>
  <c r="EK287"/>
  <c r="GH287"/>
  <c r="GO287"/>
  <c r="GV287"/>
  <c r="HC287"/>
  <c r="HJ287"/>
  <c r="HH287"/>
  <c r="GZ287"/>
  <c r="HG287"/>
  <c r="GY287"/>
  <c r="HF287"/>
  <c r="GX287"/>
  <c r="HE287"/>
  <c r="GW287"/>
  <c r="HD287"/>
  <c r="O287"/>
  <c r="FM287"/>
  <c r="HQ287"/>
  <c r="BS287"/>
  <c r="EY287"/>
  <c r="DI286"/>
  <c r="FT286"/>
  <c r="FF286"/>
  <c r="V286"/>
  <c r="AC286"/>
  <c r="DJ286"/>
  <c r="DK286"/>
  <c r="DL286"/>
  <c r="DN286"/>
  <c r="DP286"/>
  <c r="EK286"/>
  <c r="HC286"/>
  <c r="GZ286"/>
  <c r="GY286"/>
  <c r="GX286"/>
  <c r="GW286"/>
  <c r="O286"/>
  <c r="FM286"/>
  <c r="HQ286"/>
  <c r="BS286"/>
  <c r="EY286"/>
  <c r="DI285"/>
  <c r="FT285"/>
  <c r="FF285"/>
  <c r="V285"/>
  <c r="AC285"/>
  <c r="DJ285"/>
  <c r="DK285"/>
  <c r="DL285"/>
  <c r="DN285"/>
  <c r="DP285"/>
  <c r="EK285"/>
  <c r="HC285"/>
  <c r="GZ285"/>
  <c r="GY285"/>
  <c r="GX285"/>
  <c r="GW285"/>
  <c r="O285"/>
  <c r="FM285"/>
  <c r="HQ285"/>
  <c r="BS285"/>
  <c r="EY285"/>
  <c r="DI284"/>
  <c r="FT284"/>
  <c r="GA284"/>
  <c r="FF284"/>
  <c r="V284"/>
  <c r="AC284"/>
  <c r="AD284"/>
  <c r="AJ284"/>
  <c r="CG284"/>
  <c r="DB284"/>
  <c r="DJ284"/>
  <c r="DK284"/>
  <c r="DL284"/>
  <c r="DN284"/>
  <c r="DP284"/>
  <c r="EK284"/>
  <c r="GH284"/>
  <c r="GO284"/>
  <c r="GV284"/>
  <c r="HC284"/>
  <c r="HJ284"/>
  <c r="HH284"/>
  <c r="GZ284"/>
  <c r="HG284"/>
  <c r="GY284"/>
  <c r="HF284"/>
  <c r="GX284"/>
  <c r="HE284"/>
  <c r="GW284"/>
  <c r="HD284"/>
  <c r="O284"/>
  <c r="FM284"/>
  <c r="HQ284"/>
  <c r="BS284"/>
  <c r="EY284"/>
  <c r="DI283"/>
  <c r="FT283"/>
  <c r="FF283"/>
  <c r="V283"/>
  <c r="AC283"/>
  <c r="DJ283"/>
  <c r="DK283"/>
  <c r="DL283"/>
  <c r="DN283"/>
  <c r="DP283"/>
  <c r="EK283"/>
  <c r="HC283"/>
  <c r="GZ283"/>
  <c r="GY283"/>
  <c r="GX283"/>
  <c r="GW283"/>
  <c r="O283"/>
  <c r="FM283"/>
  <c r="HQ283"/>
  <c r="BS283"/>
  <c r="EY283"/>
  <c r="DI282"/>
  <c r="FT282"/>
  <c r="FF282"/>
  <c r="V282"/>
  <c r="AC282"/>
  <c r="DJ282"/>
  <c r="DK282"/>
  <c r="DL282"/>
  <c r="DN282"/>
  <c r="DP282"/>
  <c r="EK282"/>
  <c r="HC282"/>
  <c r="GZ282"/>
  <c r="GY282"/>
  <c r="GX282"/>
  <c r="GW282"/>
  <c r="O282"/>
  <c r="FM282"/>
  <c r="HQ282"/>
  <c r="BS282"/>
  <c r="EY282"/>
  <c r="DI281"/>
  <c r="FT281"/>
  <c r="GA281"/>
  <c r="FF281"/>
  <c r="V281"/>
  <c r="AC281"/>
  <c r="AD281"/>
  <c r="AJ281"/>
  <c r="CG281"/>
  <c r="DB281"/>
  <c r="DJ281"/>
  <c r="DK281"/>
  <c r="DL281"/>
  <c r="DN281"/>
  <c r="DP281"/>
  <c r="EK281"/>
  <c r="GH281"/>
  <c r="GO281"/>
  <c r="GV281"/>
  <c r="HC281"/>
  <c r="HJ281"/>
  <c r="HH281"/>
  <c r="GZ281"/>
  <c r="HG281"/>
  <c r="GY281"/>
  <c r="HF281"/>
  <c r="GX281"/>
  <c r="HE281"/>
  <c r="GW281"/>
  <c r="HD281"/>
  <c r="O281"/>
  <c r="FM281"/>
  <c r="HQ281"/>
  <c r="BS281"/>
  <c r="EY281"/>
  <c r="DI280"/>
  <c r="FT280"/>
  <c r="FF280"/>
  <c r="V280"/>
  <c r="AC280"/>
  <c r="DJ280"/>
  <c r="DK280"/>
  <c r="DL280"/>
  <c r="DN280"/>
  <c r="DP280"/>
  <c r="EK280"/>
  <c r="HC280"/>
  <c r="GZ280"/>
  <c r="GY280"/>
  <c r="GX280"/>
  <c r="GW280"/>
  <c r="O280"/>
  <c r="FM280"/>
  <c r="HQ280"/>
  <c r="BS280"/>
  <c r="EY280"/>
  <c r="DI279"/>
  <c r="FT279"/>
  <c r="FF279"/>
  <c r="V279"/>
  <c r="AC279"/>
  <c r="DJ279"/>
  <c r="DK279"/>
  <c r="DL279"/>
  <c r="DN279"/>
  <c r="DP279"/>
  <c r="EK279"/>
  <c r="HC279"/>
  <c r="GZ279"/>
  <c r="GY279"/>
  <c r="GX279"/>
  <c r="GW279"/>
  <c r="O279"/>
  <c r="FM279"/>
  <c r="HQ279"/>
  <c r="BS279"/>
  <c r="EY279"/>
  <c r="DI278"/>
  <c r="FT278"/>
  <c r="GA278"/>
  <c r="FF278"/>
  <c r="V278"/>
  <c r="AC278"/>
  <c r="CG278"/>
  <c r="DB278"/>
  <c r="DJ278"/>
  <c r="DK278"/>
  <c r="DL278"/>
  <c r="DN278"/>
  <c r="DP278"/>
  <c r="EK278"/>
  <c r="GH278"/>
  <c r="GO278"/>
  <c r="GV278"/>
  <c r="HC278"/>
  <c r="HJ278"/>
  <c r="HH278"/>
  <c r="GZ278"/>
  <c r="HG278"/>
  <c r="GY278"/>
  <c r="HF278"/>
  <c r="GX278"/>
  <c r="HE278"/>
  <c r="GW278"/>
  <c r="HD278"/>
  <c r="O278"/>
  <c r="FM278"/>
  <c r="HQ278"/>
  <c r="BS278"/>
  <c r="EY278"/>
  <c r="DI277"/>
  <c r="FT277"/>
  <c r="FF277"/>
  <c r="V277"/>
  <c r="AC277"/>
  <c r="DJ277"/>
  <c r="DK277"/>
  <c r="DL277"/>
  <c r="DN277"/>
  <c r="DP277"/>
  <c r="EK277"/>
  <c r="HC277"/>
  <c r="GZ277"/>
  <c r="GY277"/>
  <c r="GX277"/>
  <c r="GW277"/>
  <c r="O277"/>
  <c r="FM277"/>
  <c r="HQ277"/>
  <c r="BS277"/>
  <c r="EY277"/>
  <c r="DI276"/>
  <c r="FT276"/>
  <c r="FF276"/>
  <c r="V276"/>
  <c r="AC276"/>
  <c r="DJ276"/>
  <c r="DK276"/>
  <c r="DL276"/>
  <c r="DN276"/>
  <c r="DP276"/>
  <c r="EK276"/>
  <c r="HC276"/>
  <c r="GZ276"/>
  <c r="GY276"/>
  <c r="GX276"/>
  <c r="GW276"/>
  <c r="O276"/>
  <c r="FM276"/>
  <c r="HQ276"/>
  <c r="BS276"/>
  <c r="EY276"/>
  <c r="DI275"/>
  <c r="FT275"/>
  <c r="GA275"/>
  <c r="FF275"/>
  <c r="V275"/>
  <c r="AC275"/>
  <c r="CG275"/>
  <c r="DB275"/>
  <c r="DJ275"/>
  <c r="DK275"/>
  <c r="DL275"/>
  <c r="DN275"/>
  <c r="DP275"/>
  <c r="EK275"/>
  <c r="GH275"/>
  <c r="GO275"/>
  <c r="GV275"/>
  <c r="HC275"/>
  <c r="HJ275"/>
  <c r="HH275"/>
  <c r="GZ275"/>
  <c r="HG275"/>
  <c r="GY275"/>
  <c r="HF275"/>
  <c r="GX275"/>
  <c r="HE275"/>
  <c r="GW275"/>
  <c r="HD275"/>
  <c r="O275"/>
  <c r="FM275"/>
  <c r="HQ275"/>
  <c r="BS275"/>
  <c r="EY275"/>
  <c r="DI274"/>
  <c r="FT274"/>
  <c r="FF274"/>
  <c r="V274"/>
  <c r="AC274"/>
  <c r="DJ274"/>
  <c r="DK274"/>
  <c r="DL274"/>
  <c r="DN274"/>
  <c r="DP274"/>
  <c r="EK274"/>
  <c r="HC274"/>
  <c r="GZ274"/>
  <c r="GY274"/>
  <c r="GX274"/>
  <c r="GW274"/>
  <c r="O274"/>
  <c r="FM274"/>
  <c r="HQ274"/>
  <c r="BS274"/>
  <c r="EY274"/>
  <c r="DI273"/>
  <c r="FT273"/>
  <c r="FF273"/>
  <c r="V273"/>
  <c r="AC273"/>
  <c r="DJ273"/>
  <c r="DK273"/>
  <c r="DL273"/>
  <c r="DN273"/>
  <c r="DP273"/>
  <c r="EK273"/>
  <c r="HC273"/>
  <c r="GZ273"/>
  <c r="GY273"/>
  <c r="GX273"/>
  <c r="GW273"/>
  <c r="O273"/>
  <c r="FM273"/>
  <c r="HQ273"/>
  <c r="BS273"/>
  <c r="EY273"/>
  <c r="DI272"/>
  <c r="FT272"/>
  <c r="GA272"/>
  <c r="FF272"/>
  <c r="V272"/>
  <c r="AC272"/>
  <c r="CG272"/>
  <c r="DB272"/>
  <c r="DJ272"/>
  <c r="DK272"/>
  <c r="DL272"/>
  <c r="DN272"/>
  <c r="DP272"/>
  <c r="EK272"/>
  <c r="GH272"/>
  <c r="GO272"/>
  <c r="GV272"/>
  <c r="HC272"/>
  <c r="HJ272"/>
  <c r="HH272"/>
  <c r="GZ272"/>
  <c r="HG272"/>
  <c r="GY272"/>
  <c r="HF272"/>
  <c r="GX272"/>
  <c r="HE272"/>
  <c r="GW272"/>
  <c r="HD272"/>
  <c r="O272"/>
  <c r="FM272"/>
  <c r="HQ272"/>
  <c r="BS272"/>
  <c r="EY272"/>
  <c r="DI271"/>
  <c r="FT271"/>
  <c r="FF271"/>
  <c r="V271"/>
  <c r="AC271"/>
  <c r="DJ271"/>
  <c r="DK271"/>
  <c r="DL271"/>
  <c r="DN271"/>
  <c r="DP271"/>
  <c r="EK271"/>
  <c r="HC271"/>
  <c r="GZ271"/>
  <c r="GY271"/>
  <c r="GX271"/>
  <c r="GW271"/>
  <c r="O271"/>
  <c r="FM271"/>
  <c r="HQ271"/>
  <c r="BS271"/>
  <c r="EY271"/>
  <c r="DI270"/>
  <c r="FT270"/>
  <c r="FF270"/>
  <c r="V270"/>
  <c r="AC270"/>
  <c r="DJ270"/>
  <c r="DK270"/>
  <c r="DL270"/>
  <c r="DN270"/>
  <c r="DP270"/>
  <c r="EK270"/>
  <c r="HC270"/>
  <c r="GZ270"/>
  <c r="GY270"/>
  <c r="GX270"/>
  <c r="GW270"/>
  <c r="O270"/>
  <c r="FM270"/>
  <c r="HQ270"/>
  <c r="BS270"/>
  <c r="EY270"/>
  <c r="DI269"/>
  <c r="FT269"/>
  <c r="GA269"/>
  <c r="FF269"/>
  <c r="V269"/>
  <c r="AC269"/>
  <c r="CG269"/>
  <c r="DB269"/>
  <c r="DJ269"/>
  <c r="DK269"/>
  <c r="DL269"/>
  <c r="DN269"/>
  <c r="DP269"/>
  <c r="EK269"/>
  <c r="GH269"/>
  <c r="GO269"/>
  <c r="GV269"/>
  <c r="HC269"/>
  <c r="HJ269"/>
  <c r="HH269"/>
  <c r="GZ269"/>
  <c r="HG269"/>
  <c r="GY269"/>
  <c r="HF269"/>
  <c r="GX269"/>
  <c r="HE269"/>
  <c r="GW269"/>
  <c r="HD269"/>
  <c r="O269"/>
  <c r="FM269"/>
  <c r="HQ269"/>
  <c r="BS269"/>
  <c r="EY269"/>
  <c r="DI268"/>
  <c r="FT268"/>
  <c r="FF268"/>
  <c r="V268"/>
  <c r="AC268"/>
  <c r="DJ268"/>
  <c r="DK268"/>
  <c r="DL268"/>
  <c r="DN268"/>
  <c r="DP268"/>
  <c r="EK268"/>
  <c r="HC268"/>
  <c r="GZ268"/>
  <c r="GY268"/>
  <c r="GX268"/>
  <c r="GW268"/>
  <c r="O268"/>
  <c r="FM268"/>
  <c r="HQ268"/>
  <c r="BS268"/>
  <c r="EY268"/>
  <c r="DI267"/>
  <c r="FT267"/>
  <c r="FF267"/>
  <c r="V267"/>
  <c r="AC267"/>
  <c r="DJ267"/>
  <c r="DK267"/>
  <c r="DL267"/>
  <c r="DN267"/>
  <c r="DP267"/>
  <c r="EK267"/>
  <c r="HC267"/>
  <c r="GZ267"/>
  <c r="GY267"/>
  <c r="GX267"/>
  <c r="GW267"/>
  <c r="O267"/>
  <c r="FM267"/>
  <c r="HQ267"/>
  <c r="BS267"/>
  <c r="EY267"/>
  <c r="DI266"/>
  <c r="FT266"/>
  <c r="GA266"/>
  <c r="FF266"/>
  <c r="V266"/>
  <c r="AC266"/>
  <c r="CG266"/>
  <c r="DB266"/>
  <c r="DJ266"/>
  <c r="DK266"/>
  <c r="DL266"/>
  <c r="DN266"/>
  <c r="DP266"/>
  <c r="EK266"/>
  <c r="GH266"/>
  <c r="GO266"/>
  <c r="GV266"/>
  <c r="HC266"/>
  <c r="HJ266"/>
  <c r="HH266"/>
  <c r="GZ266"/>
  <c r="HG266"/>
  <c r="GY266"/>
  <c r="HF266"/>
  <c r="GX266"/>
  <c r="HE266"/>
  <c r="GW266"/>
  <c r="HD266"/>
  <c r="O266"/>
  <c r="FM266"/>
  <c r="HQ266"/>
  <c r="BS266"/>
  <c r="EY266"/>
  <c r="DI265"/>
  <c r="FT265"/>
  <c r="FF265"/>
  <c r="V265"/>
  <c r="AC265"/>
  <c r="DJ265"/>
  <c r="DK265"/>
  <c r="DL265"/>
  <c r="DN265"/>
  <c r="DP265"/>
  <c r="EK265"/>
  <c r="HC265"/>
  <c r="GZ265"/>
  <c r="GY265"/>
  <c r="GX265"/>
  <c r="GW265"/>
  <c r="O265"/>
  <c r="FM265"/>
  <c r="HQ265"/>
  <c r="BS265"/>
  <c r="EY265"/>
  <c r="DI264"/>
  <c r="FT264"/>
  <c r="FF264"/>
  <c r="V264"/>
  <c r="AC264"/>
  <c r="DJ264"/>
  <c r="DK264"/>
  <c r="DL264"/>
  <c r="DN264"/>
  <c r="DP264"/>
  <c r="EK264"/>
  <c r="HC264"/>
  <c r="GZ264"/>
  <c r="GY264"/>
  <c r="GX264"/>
  <c r="GW264"/>
  <c r="O264"/>
  <c r="FM264"/>
  <c r="HQ264"/>
  <c r="BS264"/>
  <c r="EY264"/>
  <c r="DI263"/>
  <c r="FT263"/>
  <c r="GA263"/>
  <c r="FF263"/>
  <c r="V263"/>
  <c r="AC263"/>
  <c r="CG263"/>
  <c r="DB263"/>
  <c r="DJ263"/>
  <c r="DK263"/>
  <c r="DL263"/>
  <c r="DM263"/>
  <c r="DN263"/>
  <c r="DP263"/>
  <c r="EK263"/>
  <c r="GH263"/>
  <c r="GO263"/>
  <c r="GV263"/>
  <c r="HC263"/>
  <c r="HJ263"/>
  <c r="HH263"/>
  <c r="GZ263"/>
  <c r="HG263"/>
  <c r="GY263"/>
  <c r="HF263"/>
  <c r="GX263"/>
  <c r="HE263"/>
  <c r="GW263"/>
  <c r="HD263"/>
  <c r="O263"/>
  <c r="FM263"/>
  <c r="HQ263"/>
  <c r="BS263"/>
  <c r="EY263"/>
  <c r="DI262"/>
  <c r="FT262"/>
  <c r="FF262"/>
  <c r="V262"/>
  <c r="AC262"/>
  <c r="DJ262"/>
  <c r="DK262"/>
  <c r="DL262"/>
  <c r="DN262"/>
  <c r="DP262"/>
  <c r="EK262"/>
  <c r="HC262"/>
  <c r="GZ262"/>
  <c r="GY262"/>
  <c r="GX262"/>
  <c r="GW262"/>
  <c r="O262"/>
  <c r="FM262"/>
  <c r="HQ262"/>
  <c r="BS262"/>
  <c r="EY262"/>
  <c r="DI261"/>
  <c r="FT261"/>
  <c r="FF261"/>
  <c r="V261"/>
  <c r="AC261"/>
  <c r="DJ261"/>
  <c r="DK261"/>
  <c r="DL261"/>
  <c r="DN261"/>
  <c r="DP261"/>
  <c r="EK261"/>
  <c r="HC261"/>
  <c r="GZ261"/>
  <c r="GY261"/>
  <c r="GX261"/>
  <c r="GW261"/>
  <c r="O261"/>
  <c r="FM261"/>
  <c r="HQ261"/>
  <c r="BS261"/>
  <c r="EY261"/>
  <c r="DI260"/>
  <c r="FT260"/>
  <c r="GA260"/>
  <c r="FF260"/>
  <c r="V260"/>
  <c r="AC260"/>
  <c r="CG260"/>
  <c r="DB260"/>
  <c r="DJ260"/>
  <c r="DK260"/>
  <c r="DL260"/>
  <c r="DN260"/>
  <c r="DP260"/>
  <c r="EK260"/>
  <c r="GH260"/>
  <c r="GO260"/>
  <c r="GV260"/>
  <c r="HC260"/>
  <c r="HJ260"/>
  <c r="HH260"/>
  <c r="GZ260"/>
  <c r="HG260"/>
  <c r="GY260"/>
  <c r="HF260"/>
  <c r="GX260"/>
  <c r="HE260"/>
  <c r="GW260"/>
  <c r="HD260"/>
  <c r="O260"/>
  <c r="FM260"/>
  <c r="HQ260"/>
  <c r="BS260"/>
  <c r="EY260"/>
  <c r="DI259"/>
  <c r="FT259"/>
  <c r="FF259"/>
  <c r="V259"/>
  <c r="AC259"/>
  <c r="DJ259"/>
  <c r="DK259"/>
  <c r="DL259"/>
  <c r="DN259"/>
  <c r="DP259"/>
  <c r="EK259"/>
  <c r="HC259"/>
  <c r="GZ259"/>
  <c r="GY259"/>
  <c r="GX259"/>
  <c r="GW259"/>
  <c r="O259"/>
  <c r="FM259"/>
  <c r="HQ259"/>
  <c r="BS259"/>
  <c r="EY259"/>
  <c r="DI258"/>
  <c r="FT258"/>
  <c r="FF258"/>
  <c r="V258"/>
  <c r="AC258"/>
  <c r="DJ258"/>
  <c r="DK258"/>
  <c r="DL258"/>
  <c r="DN258"/>
  <c r="DP258"/>
  <c r="EK258"/>
  <c r="HC258"/>
  <c r="GZ258"/>
  <c r="GY258"/>
  <c r="GX258"/>
  <c r="GW258"/>
  <c r="O258"/>
  <c r="FM258"/>
  <c r="HQ258"/>
  <c r="BS258"/>
  <c r="EY258"/>
  <c r="DI257"/>
  <c r="FT257"/>
  <c r="GA257"/>
  <c r="FF257"/>
  <c r="V257"/>
  <c r="AC257"/>
  <c r="CG257"/>
  <c r="DB257"/>
  <c r="DJ257"/>
  <c r="DK257"/>
  <c r="DL257"/>
  <c r="DN257"/>
  <c r="DP257"/>
  <c r="EK257"/>
  <c r="GH257"/>
  <c r="GO257"/>
  <c r="GV257"/>
  <c r="HC257"/>
  <c r="HJ257"/>
  <c r="HH257"/>
  <c r="GZ257"/>
  <c r="HG257"/>
  <c r="GY257"/>
  <c r="HF257"/>
  <c r="GX257"/>
  <c r="HE257"/>
  <c r="GW257"/>
  <c r="HD257"/>
  <c r="O257"/>
  <c r="FM257"/>
  <c r="HQ257"/>
  <c r="BS257"/>
  <c r="EY257"/>
  <c r="DI256"/>
  <c r="FT256"/>
  <c r="FF256"/>
  <c r="V256"/>
  <c r="AC256"/>
  <c r="DJ256"/>
  <c r="DK256"/>
  <c r="DL256"/>
  <c r="DN256"/>
  <c r="DP256"/>
  <c r="HC256"/>
  <c r="GZ256"/>
  <c r="GY256"/>
  <c r="GX256"/>
  <c r="GW256"/>
  <c r="O256"/>
  <c r="FM256"/>
  <c r="HQ256"/>
  <c r="BS256"/>
  <c r="EY256"/>
  <c r="DI255"/>
  <c r="FT255"/>
  <c r="FF255"/>
  <c r="V255"/>
  <c r="AC255"/>
  <c r="DJ255"/>
  <c r="DK255"/>
  <c r="DL255"/>
  <c r="DN255"/>
  <c r="DP255"/>
  <c r="HC255"/>
  <c r="GZ255"/>
  <c r="GY255"/>
  <c r="GX255"/>
  <c r="GW255"/>
  <c r="O255"/>
  <c r="FM255"/>
  <c r="HQ255"/>
  <c r="BS255"/>
  <c r="EY255"/>
  <c r="DI254"/>
  <c r="FT254"/>
  <c r="GA254"/>
  <c r="FF254"/>
  <c r="V254"/>
  <c r="AC254"/>
  <c r="CG254"/>
  <c r="DB254"/>
  <c r="DJ254"/>
  <c r="DK254"/>
  <c r="DL254"/>
  <c r="DM254"/>
  <c r="DN254"/>
  <c r="DP254"/>
  <c r="EK254"/>
  <c r="GH254"/>
  <c r="GO254"/>
  <c r="GV254"/>
  <c r="HC254"/>
  <c r="HJ254"/>
  <c r="HH254"/>
  <c r="GZ254"/>
  <c r="HG254"/>
  <c r="GY254"/>
  <c r="HF254"/>
  <c r="GX254"/>
  <c r="HE254"/>
  <c r="GW254"/>
  <c r="HD254"/>
  <c r="O254"/>
  <c r="FM254"/>
  <c r="HQ254"/>
  <c r="BS254"/>
  <c r="EY254"/>
  <c r="DI253"/>
  <c r="FT253"/>
  <c r="FF253"/>
  <c r="V253"/>
  <c r="AC253"/>
  <c r="DJ253"/>
  <c r="DK253"/>
  <c r="DL253"/>
  <c r="DN253"/>
  <c r="DP253"/>
  <c r="HC253"/>
  <c r="GZ253"/>
  <c r="GY253"/>
  <c r="GX253"/>
  <c r="GW253"/>
  <c r="O253"/>
  <c r="FM253"/>
  <c r="HQ253"/>
  <c r="BS253"/>
  <c r="EY253"/>
  <c r="DI252"/>
  <c r="FT252"/>
  <c r="FF252"/>
  <c r="V252"/>
  <c r="AC252"/>
  <c r="DJ252"/>
  <c r="DK252"/>
  <c r="DL252"/>
  <c r="DN252"/>
  <c r="DP252"/>
  <c r="HC252"/>
  <c r="GZ252"/>
  <c r="GY252"/>
  <c r="GX252"/>
  <c r="GW252"/>
  <c r="O252"/>
  <c r="FM252"/>
  <c r="HQ252"/>
  <c r="BS252"/>
  <c r="EY252"/>
  <c r="DI251"/>
  <c r="FT251"/>
  <c r="GA251"/>
  <c r="FF251"/>
  <c r="V251"/>
  <c r="AC251"/>
  <c r="CG251"/>
  <c r="DB251"/>
  <c r="DJ251"/>
  <c r="DK251"/>
  <c r="DL251"/>
  <c r="DN251"/>
  <c r="DP251"/>
  <c r="EK251"/>
  <c r="GH251"/>
  <c r="GO251"/>
  <c r="GV251"/>
  <c r="HC251"/>
  <c r="HJ251"/>
  <c r="HH251"/>
  <c r="GZ251"/>
  <c r="HG251"/>
  <c r="GY251"/>
  <c r="HF251"/>
  <c r="GX251"/>
  <c r="HE251"/>
  <c r="GW251"/>
  <c r="HD251"/>
  <c r="O251"/>
  <c r="FM251"/>
  <c r="HQ251"/>
  <c r="BS251"/>
  <c r="EY251"/>
  <c r="DI250"/>
  <c r="FT250"/>
  <c r="FF250"/>
  <c r="V250"/>
  <c r="AC250"/>
  <c r="DJ250"/>
  <c r="DK250"/>
  <c r="DL250"/>
  <c r="DN250"/>
  <c r="DP250"/>
  <c r="HC250"/>
  <c r="GZ250"/>
  <c r="GY250"/>
  <c r="GX250"/>
  <c r="GW250"/>
  <c r="O250"/>
  <c r="FM250"/>
  <c r="HQ250"/>
  <c r="BS250"/>
  <c r="EY250"/>
  <c r="DI249"/>
  <c r="FT249"/>
  <c r="FF249"/>
  <c r="V249"/>
  <c r="AC249"/>
  <c r="DJ249"/>
  <c r="DK249"/>
  <c r="DL249"/>
  <c r="DN249"/>
  <c r="DP249"/>
  <c r="HC249"/>
  <c r="GZ249"/>
  <c r="GY249"/>
  <c r="GX249"/>
  <c r="GW249"/>
  <c r="O249"/>
  <c r="FM249"/>
  <c r="HQ249"/>
  <c r="BS249"/>
  <c r="EY249"/>
  <c r="DI248"/>
  <c r="FT248"/>
  <c r="GA248"/>
  <c r="FF248"/>
  <c r="V248"/>
  <c r="AC248"/>
  <c r="CG248"/>
  <c r="DB248"/>
  <c r="DJ248"/>
  <c r="DK248"/>
  <c r="DL248"/>
  <c r="DN248"/>
  <c r="DP248"/>
  <c r="EK248"/>
  <c r="GH248"/>
  <c r="GO248"/>
  <c r="GV248"/>
  <c r="HC248"/>
  <c r="HJ248"/>
  <c r="HH248"/>
  <c r="GZ248"/>
  <c r="HG248"/>
  <c r="GY248"/>
  <c r="HF248"/>
  <c r="GX248"/>
  <c r="HE248"/>
  <c r="GW248"/>
  <c r="HD248"/>
  <c r="O248"/>
  <c r="FM248"/>
  <c r="HQ248"/>
  <c r="BS248"/>
  <c r="EY248"/>
  <c r="DI247"/>
  <c r="FT247"/>
  <c r="FF247"/>
  <c r="V247"/>
  <c r="AC247"/>
  <c r="DJ247"/>
  <c r="DK247"/>
  <c r="DL247"/>
  <c r="DN247"/>
  <c r="DP247"/>
  <c r="HC247"/>
  <c r="GZ247"/>
  <c r="GY247"/>
  <c r="GX247"/>
  <c r="GW247"/>
  <c r="O247"/>
  <c r="FM247"/>
  <c r="HQ247"/>
  <c r="BS247"/>
  <c r="EY247"/>
  <c r="DI246"/>
  <c r="FT246"/>
  <c r="FF246"/>
  <c r="V246"/>
  <c r="AC246"/>
  <c r="DJ246"/>
  <c r="DK246"/>
  <c r="DL246"/>
  <c r="DN246"/>
  <c r="DP246"/>
  <c r="HC246"/>
  <c r="GZ246"/>
  <c r="GY246"/>
  <c r="GX246"/>
  <c r="GW246"/>
  <c r="O246"/>
  <c r="FM246"/>
  <c r="HQ246"/>
  <c r="BS246"/>
  <c r="EY246"/>
  <c r="DI245"/>
  <c r="FT245"/>
  <c r="GA245"/>
  <c r="FF245"/>
  <c r="V245"/>
  <c r="AC245"/>
  <c r="CG245"/>
  <c r="DB245"/>
  <c r="DJ245"/>
  <c r="DK245"/>
  <c r="DL245"/>
  <c r="DN245"/>
  <c r="DP245"/>
  <c r="EK245"/>
  <c r="GH245"/>
  <c r="GO245"/>
  <c r="GV245"/>
  <c r="HC245"/>
  <c r="HJ245"/>
  <c r="HH245"/>
  <c r="GZ245"/>
  <c r="HG245"/>
  <c r="GY245"/>
  <c r="HF245"/>
  <c r="GX245"/>
  <c r="HE245"/>
  <c r="GW245"/>
  <c r="HD245"/>
  <c r="O245"/>
  <c r="FM245"/>
  <c r="HQ245"/>
  <c r="BS245"/>
  <c r="EY245"/>
  <c r="DI244"/>
  <c r="FT244"/>
  <c r="FF244"/>
  <c r="V244"/>
  <c r="AC244"/>
  <c r="DJ244"/>
  <c r="DK244"/>
  <c r="DL244"/>
  <c r="DN244"/>
  <c r="DP244"/>
  <c r="HC244"/>
  <c r="GZ244"/>
  <c r="GY244"/>
  <c r="GX244"/>
  <c r="GW244"/>
  <c r="O244"/>
  <c r="FM244"/>
  <c r="HQ244"/>
  <c r="BS244"/>
  <c r="EY244"/>
  <c r="DI243"/>
  <c r="FT243"/>
  <c r="FF243"/>
  <c r="V243"/>
  <c r="AC243"/>
  <c r="DJ243"/>
  <c r="DK243"/>
  <c r="DL243"/>
  <c r="DN243"/>
  <c r="DP243"/>
  <c r="HC243"/>
  <c r="GZ243"/>
  <c r="GY243"/>
  <c r="GX243"/>
  <c r="GW243"/>
  <c r="O243"/>
  <c r="FM243"/>
  <c r="HQ243"/>
  <c r="BS243"/>
  <c r="EY243"/>
  <c r="DI242"/>
  <c r="FT242"/>
  <c r="GA242"/>
  <c r="FF242"/>
  <c r="V242"/>
  <c r="AC242"/>
  <c r="CG242"/>
  <c r="DB242"/>
  <c r="DJ242"/>
  <c r="DK242"/>
  <c r="DL242"/>
  <c r="DN242"/>
  <c r="DP242"/>
  <c r="EK242"/>
  <c r="GH242"/>
  <c r="GO242"/>
  <c r="GV242"/>
  <c r="HC242"/>
  <c r="HJ242"/>
  <c r="HH242"/>
  <c r="GZ242"/>
  <c r="HG242"/>
  <c r="GY242"/>
  <c r="HF242"/>
  <c r="GX242"/>
  <c r="HE242"/>
  <c r="GW242"/>
  <c r="HD242"/>
  <c r="O242"/>
  <c r="FM242"/>
  <c r="HQ242"/>
  <c r="BS242"/>
  <c r="EY242"/>
  <c r="DI241"/>
  <c r="FT241"/>
  <c r="FF241"/>
  <c r="V241"/>
  <c r="AC241"/>
  <c r="DJ241"/>
  <c r="DK241"/>
  <c r="DL241"/>
  <c r="DN241"/>
  <c r="DP241"/>
  <c r="HC241"/>
  <c r="GZ241"/>
  <c r="GY241"/>
  <c r="GX241"/>
  <c r="GW241"/>
  <c r="O241"/>
  <c r="FM241"/>
  <c r="HQ241"/>
  <c r="BS241"/>
  <c r="EY241"/>
  <c r="DI240"/>
  <c r="FT240"/>
  <c r="FF240"/>
  <c r="V240"/>
  <c r="AC240"/>
  <c r="DJ240"/>
  <c r="DK240"/>
  <c r="DL240"/>
  <c r="DN240"/>
  <c r="DP240"/>
  <c r="HC240"/>
  <c r="GZ240"/>
  <c r="GY240"/>
  <c r="GX240"/>
  <c r="GW240"/>
  <c r="O240"/>
  <c r="FM240"/>
  <c r="HQ240"/>
  <c r="BS240"/>
  <c r="EY240"/>
  <c r="DI239"/>
  <c r="FT239"/>
  <c r="GA239"/>
  <c r="FF239"/>
  <c r="V239"/>
  <c r="AC239"/>
  <c r="CG239"/>
  <c r="DB239"/>
  <c r="DJ239"/>
  <c r="DK239"/>
  <c r="DL239"/>
  <c r="DM239"/>
  <c r="DN239"/>
  <c r="DP239"/>
  <c r="EK239"/>
  <c r="GH239"/>
  <c r="GO239"/>
  <c r="GV239"/>
  <c r="HC239"/>
  <c r="HJ239"/>
  <c r="HH239"/>
  <c r="GZ239"/>
  <c r="HG239"/>
  <c r="GY239"/>
  <c r="HF239"/>
  <c r="GX239"/>
  <c r="HE239"/>
  <c r="GW239"/>
  <c r="HD239"/>
  <c r="O239"/>
  <c r="FM239"/>
  <c r="HQ239"/>
  <c r="BS239"/>
  <c r="EY239"/>
  <c r="DI238"/>
  <c r="FT238"/>
  <c r="FF238"/>
  <c r="V238"/>
  <c r="AC238"/>
  <c r="DJ238"/>
  <c r="DK238"/>
  <c r="DL238"/>
  <c r="DN238"/>
  <c r="DP238"/>
  <c r="HC238"/>
  <c r="GZ238"/>
  <c r="GY238"/>
  <c r="GX238"/>
  <c r="GW238"/>
  <c r="O238"/>
  <c r="FM238"/>
  <c r="HQ238"/>
  <c r="BS238"/>
  <c r="EY238"/>
  <c r="DI237"/>
  <c r="FT237"/>
  <c r="FF237"/>
  <c r="V237"/>
  <c r="AC237"/>
  <c r="DJ237"/>
  <c r="DK237"/>
  <c r="DL237"/>
  <c r="DN237"/>
  <c r="DP237"/>
  <c r="HC237"/>
  <c r="GZ237"/>
  <c r="GY237"/>
  <c r="GX237"/>
  <c r="GW237"/>
  <c r="O237"/>
  <c r="FM237"/>
  <c r="HQ237"/>
  <c r="BS237"/>
  <c r="EY237"/>
  <c r="DI236"/>
  <c r="FT236"/>
  <c r="GA236"/>
  <c r="FF236"/>
  <c r="V236"/>
  <c r="AC236"/>
  <c r="CG236"/>
  <c r="DB236"/>
  <c r="DJ236"/>
  <c r="DK236"/>
  <c r="DL236"/>
  <c r="DN236"/>
  <c r="DP236"/>
  <c r="EK236"/>
  <c r="GH236"/>
  <c r="GO236"/>
  <c r="GV236"/>
  <c r="HC236"/>
  <c r="HJ236"/>
  <c r="HH236"/>
  <c r="GZ236"/>
  <c r="HG236"/>
  <c r="GY236"/>
  <c r="HF236"/>
  <c r="GX236"/>
  <c r="HE236"/>
  <c r="GW236"/>
  <c r="HD236"/>
  <c r="O236"/>
  <c r="FM236"/>
  <c r="HQ236"/>
  <c r="BS236"/>
  <c r="EY236"/>
  <c r="FT235"/>
  <c r="FF235"/>
  <c r="V235"/>
  <c r="AC235"/>
  <c r="DJ235"/>
  <c r="DK235"/>
  <c r="DL235"/>
  <c r="DN235"/>
  <c r="DP235"/>
  <c r="HC235"/>
  <c r="GZ235"/>
  <c r="GY235"/>
  <c r="GX235"/>
  <c r="GW235"/>
  <c r="O235"/>
  <c r="FM235"/>
  <c r="HQ235"/>
  <c r="BS235"/>
  <c r="EY235"/>
  <c r="FT234"/>
  <c r="FF234"/>
  <c r="V234"/>
  <c r="AC234"/>
  <c r="DJ234"/>
  <c r="DK234"/>
  <c r="DL234"/>
  <c r="DM234"/>
  <c r="DN234"/>
  <c r="DP234"/>
  <c r="HC234"/>
  <c r="GZ234"/>
  <c r="GY234"/>
  <c r="GX234"/>
  <c r="GW234"/>
  <c r="O234"/>
  <c r="FM234"/>
  <c r="HQ234"/>
  <c r="BS234"/>
  <c r="EY234"/>
  <c r="FT233"/>
  <c r="GA233"/>
  <c r="FF233"/>
  <c r="V233"/>
  <c r="AC233"/>
  <c r="CG233"/>
  <c r="DB233"/>
  <c r="DJ233"/>
  <c r="DK233"/>
  <c r="DL233"/>
  <c r="DN233"/>
  <c r="DP233"/>
  <c r="EK233"/>
  <c r="GH233"/>
  <c r="GO233"/>
  <c r="GV233"/>
  <c r="HC233"/>
  <c r="HJ233"/>
  <c r="HH233"/>
  <c r="GZ233"/>
  <c r="HG233"/>
  <c r="GY233"/>
  <c r="HF233"/>
  <c r="GX233"/>
  <c r="HE233"/>
  <c r="GW233"/>
  <c r="HD233"/>
  <c r="O233"/>
  <c r="FM233"/>
  <c r="HQ233"/>
  <c r="BS233"/>
  <c r="EY233"/>
  <c r="FT232"/>
  <c r="FF232"/>
  <c r="V232"/>
  <c r="AC232"/>
  <c r="DJ232"/>
  <c r="DK232"/>
  <c r="DL232"/>
  <c r="DN232"/>
  <c r="DP232"/>
  <c r="HC232"/>
  <c r="GZ232"/>
  <c r="GY232"/>
  <c r="GX232"/>
  <c r="GW232"/>
  <c r="O232"/>
  <c r="FM232"/>
  <c r="HQ232"/>
  <c r="BS232"/>
  <c r="EY232"/>
  <c r="FT231"/>
  <c r="FF231"/>
  <c r="V231"/>
  <c r="AC231"/>
  <c r="DJ231"/>
  <c r="DK231"/>
  <c r="DL231"/>
  <c r="DN231"/>
  <c r="DP231"/>
  <c r="HC231"/>
  <c r="GZ231"/>
  <c r="GY231"/>
  <c r="GX231"/>
  <c r="GW231"/>
  <c r="O231"/>
  <c r="FM231"/>
  <c r="HQ231"/>
  <c r="BS231"/>
  <c r="EY231"/>
  <c r="FT230"/>
  <c r="GA230"/>
  <c r="FF230"/>
  <c r="V230"/>
  <c r="AC230"/>
  <c r="CG230"/>
  <c r="DB230"/>
  <c r="DJ230"/>
  <c r="DK230"/>
  <c r="DL230"/>
  <c r="DN230"/>
  <c r="DP230"/>
  <c r="EK230"/>
  <c r="GH230"/>
  <c r="GO230"/>
  <c r="GV230"/>
  <c r="HC230"/>
  <c r="HJ230"/>
  <c r="HH230"/>
  <c r="GZ230"/>
  <c r="HG230"/>
  <c r="GY230"/>
  <c r="HF230"/>
  <c r="GX230"/>
  <c r="HE230"/>
  <c r="GW230"/>
  <c r="HD230"/>
  <c r="O230"/>
  <c r="FM230"/>
  <c r="HQ230"/>
  <c r="BS230"/>
  <c r="EY230"/>
  <c r="FT229"/>
  <c r="FF229"/>
  <c r="V229"/>
  <c r="AC229"/>
  <c r="DJ229"/>
  <c r="DK229"/>
  <c r="DL229"/>
  <c r="DN229"/>
  <c r="DP229"/>
  <c r="HC229"/>
  <c r="GZ229"/>
  <c r="GY229"/>
  <c r="GX229"/>
  <c r="GW229"/>
  <c r="O229"/>
  <c r="FM229"/>
  <c r="HQ229"/>
  <c r="BS229"/>
  <c r="EY229"/>
  <c r="FT228"/>
  <c r="FF228"/>
  <c r="V228"/>
  <c r="AC228"/>
  <c r="DJ228"/>
  <c r="DK228"/>
  <c r="DL228"/>
  <c r="DM228"/>
  <c r="DN228"/>
  <c r="DP228"/>
  <c r="HC228"/>
  <c r="GZ228"/>
  <c r="GY228"/>
  <c r="GX228"/>
  <c r="GW228"/>
  <c r="O228"/>
  <c r="FM228"/>
  <c r="HQ228"/>
  <c r="BS228"/>
  <c r="EY228"/>
  <c r="FT227"/>
  <c r="GA227"/>
  <c r="FF227"/>
  <c r="V227"/>
  <c r="AC227"/>
  <c r="CG227"/>
  <c r="DB227"/>
  <c r="DJ227"/>
  <c r="DK227"/>
  <c r="DL227"/>
  <c r="DN227"/>
  <c r="DP227"/>
  <c r="EK227"/>
  <c r="GH227"/>
  <c r="GO227"/>
  <c r="GV227"/>
  <c r="HC227"/>
  <c r="HJ227"/>
  <c r="HH227"/>
  <c r="GZ227"/>
  <c r="HG227"/>
  <c r="GY227"/>
  <c r="HF227"/>
  <c r="GX227"/>
  <c r="HE227"/>
  <c r="GW227"/>
  <c r="HD227"/>
  <c r="O227"/>
  <c r="FM227"/>
  <c r="HQ227"/>
  <c r="BS227"/>
  <c r="EY227"/>
  <c r="FT226"/>
  <c r="FF226"/>
  <c r="V226"/>
  <c r="AC226"/>
  <c r="DJ226"/>
  <c r="DK226"/>
  <c r="DL226"/>
  <c r="DN226"/>
  <c r="DP226"/>
  <c r="HC226"/>
  <c r="GZ226"/>
  <c r="GY226"/>
  <c r="GX226"/>
  <c r="GW226"/>
  <c r="O226"/>
  <c r="FM226"/>
  <c r="HQ226"/>
  <c r="BS226"/>
  <c r="EY226"/>
  <c r="FT225"/>
  <c r="FF225"/>
  <c r="V225"/>
  <c r="AC225"/>
  <c r="DJ225"/>
  <c r="DK225"/>
  <c r="DL225"/>
  <c r="DN225"/>
  <c r="DP225"/>
  <c r="HC225"/>
  <c r="GZ225"/>
  <c r="GY225"/>
  <c r="GX225"/>
  <c r="GW225"/>
  <c r="O225"/>
  <c r="FM225"/>
  <c r="HQ225"/>
  <c r="BS225"/>
  <c r="EY225"/>
  <c r="FT224"/>
  <c r="FF224"/>
  <c r="V224"/>
  <c r="AC224"/>
  <c r="CG224"/>
  <c r="DB224"/>
  <c r="DJ224"/>
  <c r="DK224"/>
  <c r="DL224"/>
  <c r="DN224"/>
  <c r="DP224"/>
  <c r="EK224"/>
  <c r="GH224"/>
  <c r="GO224"/>
  <c r="GV224"/>
  <c r="HC224"/>
  <c r="HJ224"/>
  <c r="HH224"/>
  <c r="GZ224"/>
  <c r="HG224"/>
  <c r="GY224"/>
  <c r="HF224"/>
  <c r="GX224"/>
  <c r="HE224"/>
  <c r="GW224"/>
  <c r="HD224"/>
  <c r="O224"/>
  <c r="FM224"/>
  <c r="HQ224"/>
  <c r="BS224"/>
  <c r="EY224"/>
  <c r="FT223"/>
  <c r="FF223"/>
  <c r="V223"/>
  <c r="AC223"/>
  <c r="DJ223"/>
  <c r="DK223"/>
  <c r="DL223"/>
  <c r="DN223"/>
  <c r="DP223"/>
  <c r="HC223"/>
  <c r="GZ223"/>
  <c r="GY223"/>
  <c r="GX223"/>
  <c r="GW223"/>
  <c r="O223"/>
  <c r="FM223"/>
  <c r="HQ223"/>
  <c r="BS223"/>
  <c r="EY223"/>
  <c r="FT222"/>
  <c r="FF222"/>
  <c r="V222"/>
  <c r="AC222"/>
  <c r="DJ222"/>
  <c r="DK222"/>
  <c r="DL222"/>
  <c r="DN222"/>
  <c r="DP222"/>
  <c r="HC222"/>
  <c r="GZ222"/>
  <c r="GY222"/>
  <c r="GX222"/>
  <c r="GW222"/>
  <c r="O222"/>
  <c r="FM222"/>
  <c r="HQ222"/>
  <c r="BS222"/>
  <c r="EY222"/>
  <c r="FT221"/>
  <c r="FF221"/>
  <c r="CK221"/>
  <c r="V221"/>
  <c r="AC221"/>
  <c r="CG221"/>
  <c r="DB221"/>
  <c r="DJ221"/>
  <c r="DK221"/>
  <c r="DL221"/>
  <c r="DN221"/>
  <c r="DP221"/>
  <c r="EK221"/>
  <c r="GH221"/>
  <c r="GO221"/>
  <c r="GV221"/>
  <c r="HJ221"/>
  <c r="HH221"/>
  <c r="HG221"/>
  <c r="HF221"/>
  <c r="HE221"/>
  <c r="HD221"/>
  <c r="O221"/>
  <c r="FM221"/>
  <c r="HQ221"/>
  <c r="BS221"/>
  <c r="EY221"/>
  <c r="FT220"/>
  <c r="FF220"/>
  <c r="V220"/>
  <c r="AC220"/>
  <c r="DJ220"/>
  <c r="DK220"/>
  <c r="DL220"/>
  <c r="DN220"/>
  <c r="DP220"/>
  <c r="O220"/>
  <c r="HQ220"/>
  <c r="BS220"/>
  <c r="EY220"/>
  <c r="FT219"/>
  <c r="V219"/>
  <c r="AC219"/>
  <c r="DJ219"/>
  <c r="DK219"/>
  <c r="DL219"/>
  <c r="DN219"/>
  <c r="DP219"/>
  <c r="O219"/>
  <c r="FM219"/>
  <c r="HQ219"/>
  <c r="BS219"/>
  <c r="EY219"/>
  <c r="FT218"/>
  <c r="FF218"/>
  <c r="V218"/>
  <c r="AC218"/>
  <c r="CG218"/>
  <c r="DB218"/>
  <c r="DJ218"/>
  <c r="DK218"/>
  <c r="DL218"/>
  <c r="DN218"/>
  <c r="DP218"/>
  <c r="EK218"/>
  <c r="GH218"/>
  <c r="GO218"/>
  <c r="GV218"/>
  <c r="HJ218"/>
  <c r="HH218"/>
  <c r="HG218"/>
  <c r="HF218"/>
  <c r="HE218"/>
  <c r="HD218"/>
  <c r="O218"/>
  <c r="FM218"/>
  <c r="HQ218"/>
  <c r="BS218"/>
  <c r="EY218"/>
  <c r="FT217"/>
  <c r="V217"/>
  <c r="AC217"/>
  <c r="DJ217"/>
  <c r="DK217"/>
  <c r="DL217"/>
  <c r="DN217"/>
  <c r="DP217"/>
  <c r="O217"/>
  <c r="FM217"/>
  <c r="HQ217"/>
  <c r="BS217"/>
  <c r="EY217"/>
  <c r="FT216"/>
  <c r="V216"/>
  <c r="AC216"/>
  <c r="DJ216"/>
  <c r="DK216"/>
  <c r="DL216"/>
  <c r="DN216"/>
  <c r="DP216"/>
  <c r="O216"/>
  <c r="HQ216"/>
  <c r="BS216"/>
  <c r="EY216"/>
  <c r="FT215"/>
  <c r="FF215"/>
  <c r="V215"/>
  <c r="AC215"/>
  <c r="CG215"/>
  <c r="DB215"/>
  <c r="DJ215"/>
  <c r="DK215"/>
  <c r="DL215"/>
  <c r="DN215"/>
  <c r="DP215"/>
  <c r="EK215"/>
  <c r="GH215"/>
  <c r="GO215"/>
  <c r="GV215"/>
  <c r="HJ215"/>
  <c r="HH215"/>
  <c r="HG215"/>
  <c r="HF215"/>
  <c r="HE215"/>
  <c r="HD215"/>
  <c r="O215"/>
  <c r="HQ215"/>
  <c r="BS215"/>
  <c r="EY215"/>
  <c r="FT214"/>
  <c r="V214"/>
  <c r="AC214"/>
  <c r="DJ214"/>
  <c r="DK214"/>
  <c r="DL214"/>
  <c r="DN214"/>
  <c r="DP214"/>
  <c r="O214"/>
  <c r="BS214"/>
  <c r="EY214"/>
  <c r="FT213"/>
  <c r="V213"/>
  <c r="AC213"/>
  <c r="DJ213"/>
  <c r="DK213"/>
  <c r="DL213"/>
  <c r="DN213"/>
  <c r="DP213"/>
  <c r="O213"/>
  <c r="FM213"/>
  <c r="BS213"/>
  <c r="EY213"/>
  <c r="FT212"/>
  <c r="FF212"/>
  <c r="V212"/>
  <c r="AC212"/>
  <c r="CG212"/>
  <c r="DB212"/>
  <c r="DJ212"/>
  <c r="DK212"/>
  <c r="DL212"/>
  <c r="DN212"/>
  <c r="DP212"/>
  <c r="EK212"/>
  <c r="GH212"/>
  <c r="GO212"/>
  <c r="GV212"/>
  <c r="HJ212"/>
  <c r="HH212"/>
  <c r="HG212"/>
  <c r="HF212"/>
  <c r="HE212"/>
  <c r="HD212"/>
  <c r="O212"/>
  <c r="BS212"/>
  <c r="EY212"/>
  <c r="FT211"/>
  <c r="V211"/>
  <c r="AC211"/>
  <c r="DJ211"/>
  <c r="DK211"/>
  <c r="DL211"/>
  <c r="DN211"/>
  <c r="DP211"/>
  <c r="O211"/>
  <c r="BS211"/>
  <c r="EY211"/>
  <c r="FT210"/>
  <c r="V210"/>
  <c r="AC210"/>
  <c r="DJ210"/>
  <c r="DK210"/>
  <c r="DL210"/>
  <c r="DN210"/>
  <c r="DP210"/>
  <c r="O210"/>
  <c r="BS210"/>
  <c r="EY210"/>
  <c r="FT209"/>
  <c r="FF209"/>
  <c r="CK209"/>
  <c r="V209"/>
  <c r="AC209"/>
  <c r="CG209"/>
  <c r="DB209"/>
  <c r="DJ209"/>
  <c r="DK209"/>
  <c r="DL209"/>
  <c r="DN209"/>
  <c r="DP209"/>
  <c r="EK209"/>
  <c r="GH209"/>
  <c r="GO209"/>
  <c r="GV209"/>
  <c r="HJ209"/>
  <c r="HH209"/>
  <c r="HG209"/>
  <c r="HF209"/>
  <c r="HE209"/>
  <c r="HD209"/>
  <c r="O209"/>
  <c r="BS209"/>
  <c r="EY209"/>
  <c r="FT208"/>
  <c r="FF208"/>
  <c r="V208"/>
  <c r="AC208"/>
  <c r="DJ208"/>
  <c r="DK208"/>
  <c r="DL208"/>
  <c r="DN208"/>
  <c r="DP208"/>
  <c r="O208"/>
  <c r="BS208"/>
  <c r="EY208"/>
  <c r="FT207"/>
  <c r="V207"/>
  <c r="AC207"/>
  <c r="DJ207"/>
  <c r="DK207"/>
  <c r="DL207"/>
  <c r="DN207"/>
  <c r="DP207"/>
  <c r="O207"/>
  <c r="FM207"/>
  <c r="BS207"/>
  <c r="EY207"/>
  <c r="FT206"/>
  <c r="FF206"/>
  <c r="V206"/>
  <c r="AC206"/>
  <c r="CG206"/>
  <c r="DB206"/>
  <c r="DJ206"/>
  <c r="DK206"/>
  <c r="DL206"/>
  <c r="DN206"/>
  <c r="DP206"/>
  <c r="GH206"/>
  <c r="GO206"/>
  <c r="GV206"/>
  <c r="HJ206"/>
  <c r="HH206"/>
  <c r="HG206"/>
  <c r="HF206"/>
  <c r="HE206"/>
  <c r="HD206"/>
  <c r="O206"/>
  <c r="FM206"/>
  <c r="BS206"/>
  <c r="EY206"/>
  <c r="FT205"/>
  <c r="V205"/>
  <c r="AC205"/>
  <c r="DJ205"/>
  <c r="DK205"/>
  <c r="DL205"/>
  <c r="DN205"/>
  <c r="DP205"/>
  <c r="O205"/>
  <c r="BS205"/>
  <c r="EY205"/>
  <c r="FT204"/>
  <c r="V204"/>
  <c r="AC204"/>
  <c r="DJ204"/>
  <c r="DK204"/>
  <c r="DL204"/>
  <c r="DN204"/>
  <c r="DP204"/>
  <c r="O204"/>
  <c r="BS204"/>
  <c r="EY204"/>
  <c r="FT203"/>
  <c r="FF203"/>
  <c r="V203"/>
  <c r="AC203"/>
  <c r="CG203"/>
  <c r="DB203"/>
  <c r="DJ203"/>
  <c r="DK203"/>
  <c r="DL203"/>
  <c r="DN203"/>
  <c r="DP203"/>
  <c r="GH203"/>
  <c r="GO203"/>
  <c r="GV203"/>
  <c r="HJ203"/>
  <c r="HH203"/>
  <c r="HG203"/>
  <c r="HF203"/>
  <c r="HE203"/>
  <c r="HD203"/>
  <c r="O203"/>
  <c r="BS203"/>
  <c r="EY203"/>
  <c r="FT202"/>
  <c r="V202"/>
  <c r="AC202"/>
  <c r="DJ202"/>
  <c r="DK202"/>
  <c r="DL202"/>
  <c r="DN202"/>
  <c r="DP202"/>
  <c r="O202"/>
  <c r="BS202"/>
  <c r="EY202"/>
  <c r="FT201"/>
  <c r="V201"/>
  <c r="AC201"/>
  <c r="DJ201"/>
  <c r="DK201"/>
  <c r="DL201"/>
  <c r="DN201"/>
  <c r="DP201"/>
  <c r="O201"/>
  <c r="FM201"/>
  <c r="BS201"/>
  <c r="EY201"/>
  <c r="FT200"/>
  <c r="FF200"/>
  <c r="V200"/>
  <c r="AC200"/>
  <c r="CG200"/>
  <c r="DB200"/>
  <c r="DJ200"/>
  <c r="DK200"/>
  <c r="DL200"/>
  <c r="DN200"/>
  <c r="DP200"/>
  <c r="EK200"/>
  <c r="GH200"/>
  <c r="GO200"/>
  <c r="GV200"/>
  <c r="HJ200"/>
  <c r="HH200"/>
  <c r="HG200"/>
  <c r="HF200"/>
  <c r="HE200"/>
  <c r="HD200"/>
  <c r="O200"/>
  <c r="BS200"/>
  <c r="EY200"/>
  <c r="FT199"/>
  <c r="V199"/>
  <c r="AC199"/>
  <c r="DJ199"/>
  <c r="DK199"/>
  <c r="DL199"/>
  <c r="DN199"/>
  <c r="DP199"/>
  <c r="O199"/>
  <c r="BS199"/>
  <c r="EY199"/>
  <c r="FT198"/>
  <c r="V198"/>
  <c r="AC198"/>
  <c r="DJ198"/>
  <c r="DK198"/>
  <c r="DL198"/>
  <c r="DM198"/>
  <c r="DN198"/>
  <c r="DP198"/>
  <c r="O198"/>
  <c r="BS198"/>
  <c r="EY198"/>
  <c r="FT197"/>
  <c r="FF197"/>
  <c r="CK197"/>
  <c r="AC197"/>
  <c r="CG197"/>
  <c r="DB197"/>
  <c r="DJ197"/>
  <c r="DK197"/>
  <c r="DL197"/>
  <c r="DN197"/>
  <c r="DP197"/>
  <c r="EK197"/>
  <c r="GH197"/>
  <c r="GO197"/>
  <c r="GV197"/>
  <c r="HJ197"/>
  <c r="HH197"/>
  <c r="HG197"/>
  <c r="HF197"/>
  <c r="HE197"/>
  <c r="HD197"/>
  <c r="O197"/>
  <c r="BS197"/>
  <c r="EY197"/>
  <c r="FT196"/>
  <c r="FF196"/>
  <c r="AC196"/>
  <c r="DJ196"/>
  <c r="DK196"/>
  <c r="DL196"/>
  <c r="DN196"/>
  <c r="DP196"/>
  <c r="O196"/>
  <c r="BS196"/>
  <c r="EY196"/>
  <c r="FT195"/>
  <c r="FF207"/>
  <c r="FF195"/>
  <c r="AC195"/>
  <c r="DJ195"/>
  <c r="DK195"/>
  <c r="DL195"/>
  <c r="DN195"/>
  <c r="DP195"/>
  <c r="O195"/>
  <c r="BS195"/>
  <c r="EY195"/>
  <c r="FT194"/>
  <c r="FF194"/>
  <c r="AC194"/>
  <c r="CG194"/>
  <c r="DB194"/>
  <c r="DJ194"/>
  <c r="DK194"/>
  <c r="DL194"/>
  <c r="DN194"/>
  <c r="DP194"/>
  <c r="GH194"/>
  <c r="GO194"/>
  <c r="GV194"/>
  <c r="HJ194"/>
  <c r="HH194"/>
  <c r="HG194"/>
  <c r="HF194"/>
  <c r="HE194"/>
  <c r="HD194"/>
  <c r="O194"/>
  <c r="BS194"/>
  <c r="EY194"/>
  <c r="FT193"/>
  <c r="FF205"/>
  <c r="FF193"/>
  <c r="AC193"/>
  <c r="DJ193"/>
  <c r="DK193"/>
  <c r="DL193"/>
  <c r="DN193"/>
  <c r="DP193"/>
  <c r="O193"/>
  <c r="BS193"/>
  <c r="EY193"/>
  <c r="FT192"/>
  <c r="FF204"/>
  <c r="FF192"/>
  <c r="AC192"/>
  <c r="DJ192"/>
  <c r="DK192"/>
  <c r="DL192"/>
  <c r="DN192"/>
  <c r="DP192"/>
  <c r="O192"/>
  <c r="BS192"/>
  <c r="EY192"/>
  <c r="FT191"/>
  <c r="FF191"/>
  <c r="AC191"/>
  <c r="CG191"/>
  <c r="DB191"/>
  <c r="DJ191"/>
  <c r="DK191"/>
  <c r="DL191"/>
  <c r="DN191"/>
  <c r="DP191"/>
  <c r="GH191"/>
  <c r="GO191"/>
  <c r="GV191"/>
  <c r="HJ191"/>
  <c r="HH191"/>
  <c r="HG191"/>
  <c r="HF191"/>
  <c r="HE191"/>
  <c r="HD191"/>
  <c r="O191"/>
  <c r="BS191"/>
  <c r="EY191"/>
  <c r="FT190"/>
  <c r="FF202"/>
  <c r="FF190"/>
  <c r="AC190"/>
  <c r="DJ190"/>
  <c r="DK190"/>
  <c r="DL190"/>
  <c r="DN190"/>
  <c r="DP190"/>
  <c r="O190"/>
  <c r="BS190"/>
  <c r="EY190"/>
  <c r="FT189"/>
  <c r="FF201"/>
  <c r="FF189"/>
  <c r="AC189"/>
  <c r="DJ189"/>
  <c r="DK189"/>
  <c r="DL189"/>
  <c r="DN189"/>
  <c r="DP189"/>
  <c r="O189"/>
  <c r="BS189"/>
  <c r="EY189"/>
  <c r="FT188"/>
  <c r="FF188"/>
  <c r="AC188"/>
  <c r="CG188"/>
  <c r="DB188"/>
  <c r="DJ188"/>
  <c r="DK188"/>
  <c r="DL188"/>
  <c r="DN188"/>
  <c r="DP188"/>
  <c r="GH188"/>
  <c r="GO188"/>
  <c r="GV188"/>
  <c r="HJ188"/>
  <c r="HH188"/>
  <c r="HG188"/>
  <c r="HF188"/>
  <c r="HE188"/>
  <c r="HD188"/>
  <c r="O188"/>
  <c r="BS188"/>
  <c r="EY188"/>
  <c r="FT187"/>
  <c r="FF199"/>
  <c r="FF187"/>
  <c r="AC187"/>
  <c r="DJ187"/>
  <c r="DK187"/>
  <c r="DL187"/>
  <c r="DN187"/>
  <c r="DP187"/>
  <c r="O187"/>
  <c r="EY187"/>
  <c r="FT186"/>
  <c r="FF198"/>
  <c r="FF186"/>
  <c r="AC186"/>
  <c r="DJ186"/>
  <c r="DK186"/>
  <c r="DL186"/>
  <c r="DN186"/>
  <c r="DP186"/>
  <c r="O186"/>
  <c r="BS186"/>
  <c r="EY186"/>
  <c r="FT185"/>
  <c r="FF185"/>
  <c r="CK185"/>
  <c r="AC185"/>
  <c r="CG185"/>
  <c r="DB185"/>
  <c r="DJ185"/>
  <c r="DK185"/>
  <c r="DL185"/>
  <c r="DN185"/>
  <c r="DP185"/>
  <c r="EK185"/>
  <c r="GH185"/>
  <c r="GO185"/>
  <c r="GV185"/>
  <c r="HJ185"/>
  <c r="HH185"/>
  <c r="HG185"/>
  <c r="HF185"/>
  <c r="HE185"/>
  <c r="HD185"/>
  <c r="O185"/>
  <c r="BS185"/>
  <c r="EY185"/>
  <c r="FT184"/>
  <c r="AC184"/>
  <c r="DJ184"/>
  <c r="DK184"/>
  <c r="DL184"/>
  <c r="DN184"/>
  <c r="DP184"/>
  <c r="O184"/>
  <c r="BS184"/>
  <c r="EY184"/>
  <c r="FT183"/>
  <c r="AC183"/>
  <c r="DJ183"/>
  <c r="DK183"/>
  <c r="DL183"/>
  <c r="DN183"/>
  <c r="DP183"/>
  <c r="O183"/>
  <c r="BS183"/>
  <c r="EY183"/>
  <c r="FT182"/>
  <c r="AC182"/>
  <c r="CG182"/>
  <c r="DB182"/>
  <c r="DJ182"/>
  <c r="DK182"/>
  <c r="DL182"/>
  <c r="DN182"/>
  <c r="DP182"/>
  <c r="GH182"/>
  <c r="GO182"/>
  <c r="GV182"/>
  <c r="HJ182"/>
  <c r="HH182"/>
  <c r="HG182"/>
  <c r="HF182"/>
  <c r="HE182"/>
  <c r="HD182"/>
  <c r="O182"/>
  <c r="BS182"/>
  <c r="EY182"/>
  <c r="FT181"/>
  <c r="AC181"/>
  <c r="DJ181"/>
  <c r="DK181"/>
  <c r="DL181"/>
  <c r="DN181"/>
  <c r="DP181"/>
  <c r="O181"/>
  <c r="BS181"/>
  <c r="EY181"/>
  <c r="FT180"/>
  <c r="AC180"/>
  <c r="DJ180"/>
  <c r="DK180"/>
  <c r="DL180"/>
  <c r="DN180"/>
  <c r="DP180"/>
  <c r="O180"/>
  <c r="BS180"/>
  <c r="EY180"/>
  <c r="FT179"/>
  <c r="AC179"/>
  <c r="CG179"/>
  <c r="DB179"/>
  <c r="DJ179"/>
  <c r="DK179"/>
  <c r="DL179"/>
  <c r="DN179"/>
  <c r="DP179"/>
  <c r="GH179"/>
  <c r="GO179"/>
  <c r="GV179"/>
  <c r="HJ179"/>
  <c r="HH179"/>
  <c r="HG179"/>
  <c r="HF179"/>
  <c r="HE179"/>
  <c r="HD179"/>
  <c r="O179"/>
  <c r="BS179"/>
  <c r="EY179"/>
  <c r="FT178"/>
  <c r="AC178"/>
  <c r="DJ178"/>
  <c r="DK178"/>
  <c r="DL178"/>
  <c r="DN178"/>
  <c r="DP178"/>
  <c r="O178"/>
  <c r="BS178"/>
  <c r="EY178"/>
  <c r="FT177"/>
  <c r="AC177"/>
  <c r="DJ177"/>
  <c r="DK177"/>
  <c r="DL177"/>
  <c r="DN177"/>
  <c r="DP177"/>
  <c r="O177"/>
  <c r="BS177"/>
  <c r="EY177"/>
  <c r="FT176"/>
  <c r="AC176"/>
  <c r="CG176"/>
  <c r="DB176"/>
  <c r="DJ176"/>
  <c r="DK176"/>
  <c r="DL176"/>
  <c r="DN176"/>
  <c r="DP176"/>
  <c r="GH176"/>
  <c r="GO176"/>
  <c r="GV176"/>
  <c r="HJ176"/>
  <c r="HH176"/>
  <c r="HG176"/>
  <c r="HF176"/>
  <c r="HE176"/>
  <c r="HD176"/>
  <c r="O176"/>
  <c r="BS176"/>
  <c r="EY176"/>
  <c r="FT175"/>
  <c r="AC175"/>
  <c r="DJ175"/>
  <c r="DK175"/>
  <c r="DL175"/>
  <c r="DN175"/>
  <c r="DP175"/>
  <c r="O175"/>
  <c r="EY175"/>
  <c r="FT174"/>
  <c r="AC174"/>
  <c r="DJ174"/>
  <c r="DK174"/>
  <c r="DL174"/>
  <c r="DN174"/>
  <c r="DP174"/>
  <c r="O174"/>
  <c r="BS174"/>
  <c r="EY174"/>
  <c r="FT173"/>
  <c r="FF173"/>
  <c r="AC173"/>
  <c r="CG173"/>
  <c r="DB173"/>
  <c r="DJ173"/>
  <c r="DK173"/>
  <c r="DL173"/>
  <c r="DN173"/>
  <c r="DP173"/>
  <c r="EK173"/>
  <c r="GH173"/>
  <c r="GO173"/>
  <c r="GV173"/>
  <c r="HJ173"/>
  <c r="HH173"/>
  <c r="HG173"/>
  <c r="HF173"/>
  <c r="HE173"/>
  <c r="HD173"/>
  <c r="O173"/>
  <c r="BS173"/>
  <c r="EY173"/>
  <c r="FT172"/>
  <c r="AC172"/>
  <c r="DJ172"/>
  <c r="DK172"/>
  <c r="DL172"/>
  <c r="DN172"/>
  <c r="DP172"/>
  <c r="BS172"/>
  <c r="FT171"/>
  <c r="AC171"/>
  <c r="DJ171"/>
  <c r="DK171"/>
  <c r="DL171"/>
  <c r="DN171"/>
  <c r="DP171"/>
  <c r="BS171"/>
  <c r="FT170"/>
  <c r="AC170"/>
  <c r="CG170"/>
  <c r="DB170"/>
  <c r="DJ170"/>
  <c r="DK170"/>
  <c r="DL170"/>
  <c r="DN170"/>
  <c r="DP170"/>
  <c r="GH170"/>
  <c r="GO170"/>
  <c r="GV170"/>
  <c r="HJ170"/>
  <c r="HH170"/>
  <c r="HG170"/>
  <c r="HF170"/>
  <c r="HE170"/>
  <c r="HD170"/>
  <c r="O170"/>
  <c r="BS170"/>
  <c r="FT169"/>
  <c r="AC169"/>
  <c r="DJ169"/>
  <c r="DK169"/>
  <c r="DL169"/>
  <c r="DN169"/>
  <c r="DP169"/>
  <c r="BS169"/>
  <c r="FT168"/>
  <c r="AC168"/>
  <c r="DJ168"/>
  <c r="DK168"/>
  <c r="DL168"/>
  <c r="DN168"/>
  <c r="DP168"/>
  <c r="BS168"/>
  <c r="FT167"/>
  <c r="AC167"/>
  <c r="CG167"/>
  <c r="DB167"/>
  <c r="DJ167"/>
  <c r="DK167"/>
  <c r="DL167"/>
  <c r="DN167"/>
  <c r="DP167"/>
  <c r="GH167"/>
  <c r="GO167"/>
  <c r="GV167"/>
  <c r="HJ167"/>
  <c r="HH167"/>
  <c r="HG167"/>
  <c r="HF167"/>
  <c r="HE167"/>
  <c r="HD167"/>
  <c r="O167"/>
  <c r="BS167"/>
  <c r="FT166"/>
  <c r="AC166"/>
  <c r="DJ166"/>
  <c r="DK166"/>
  <c r="DL166"/>
  <c r="DN166"/>
  <c r="DP166"/>
  <c r="BS166"/>
  <c r="FT165"/>
  <c r="AC165"/>
  <c r="DJ165"/>
  <c r="DK165"/>
  <c r="DL165"/>
  <c r="DN165"/>
  <c r="DP165"/>
  <c r="BS165"/>
  <c r="FT164"/>
  <c r="D164"/>
  <c r="F164"/>
  <c r="H164"/>
  <c r="AC164"/>
  <c r="CC164"/>
  <c r="CE164"/>
  <c r="CG164"/>
  <c r="CX164"/>
  <c r="CZ164"/>
  <c r="DB164"/>
  <c r="DJ164"/>
  <c r="DK164"/>
  <c r="DL164"/>
  <c r="DN164"/>
  <c r="DP164"/>
  <c r="GD164"/>
  <c r="GF164"/>
  <c r="GH164"/>
  <c r="GK164"/>
  <c r="GM164"/>
  <c r="GO164"/>
  <c r="GR164"/>
  <c r="GT164"/>
  <c r="GV164"/>
  <c r="HJ164"/>
  <c r="HH164"/>
  <c r="HG164"/>
  <c r="HF164"/>
  <c r="HE164"/>
  <c r="HD164"/>
  <c r="BS164"/>
  <c r="FT163"/>
  <c r="AC163"/>
  <c r="DJ163"/>
  <c r="DK163"/>
  <c r="DL163"/>
  <c r="DN163"/>
  <c r="DP163"/>
  <c r="FT162"/>
  <c r="AC162"/>
  <c r="DJ162"/>
  <c r="DK162"/>
  <c r="DL162"/>
  <c r="DN162"/>
  <c r="DP162"/>
  <c r="BS162"/>
  <c r="FF161"/>
  <c r="D161"/>
  <c r="F161"/>
  <c r="H161"/>
  <c r="V161"/>
  <c r="AC161"/>
  <c r="CC161"/>
  <c r="CE161"/>
  <c r="CG161"/>
  <c r="CX161"/>
  <c r="CZ161"/>
  <c r="DB161"/>
  <c r="DJ161"/>
  <c r="DK161"/>
  <c r="DL161"/>
  <c r="DM161"/>
  <c r="DN161"/>
  <c r="DP161"/>
  <c r="EK161"/>
  <c r="GD161"/>
  <c r="GF161"/>
  <c r="GH161"/>
  <c r="GK161"/>
  <c r="GM161"/>
  <c r="GO161"/>
  <c r="GR161"/>
  <c r="GT161"/>
  <c r="GV161"/>
  <c r="HJ161"/>
  <c r="HH161"/>
  <c r="HG161"/>
  <c r="HF161"/>
  <c r="HE161"/>
  <c r="HD161"/>
  <c r="O161"/>
  <c r="BS161"/>
  <c r="EY161"/>
  <c r="AC160"/>
  <c r="BS160"/>
  <c r="AC159"/>
  <c r="BS159"/>
  <c r="D158"/>
  <c r="E158"/>
  <c r="F158"/>
  <c r="H158"/>
  <c r="AC158"/>
  <c r="CC158"/>
  <c r="CE158"/>
  <c r="CG158"/>
  <c r="CX158"/>
  <c r="CZ158"/>
  <c r="DB158"/>
  <c r="DJ158"/>
  <c r="DK158"/>
  <c r="DL158"/>
  <c r="DN158"/>
  <c r="DP158"/>
  <c r="GD158"/>
  <c r="GF158"/>
  <c r="GH158"/>
  <c r="GK158"/>
  <c r="GM158"/>
  <c r="GO158"/>
  <c r="GR158"/>
  <c r="GT158"/>
  <c r="GV158"/>
  <c r="HJ158"/>
  <c r="HH158"/>
  <c r="HG158"/>
  <c r="HF158"/>
  <c r="HE158"/>
  <c r="HD158"/>
  <c r="BS158"/>
  <c r="AC157"/>
  <c r="BS157"/>
  <c r="AC156"/>
  <c r="BS156"/>
  <c r="D155"/>
  <c r="F155"/>
  <c r="H155"/>
  <c r="AC155"/>
  <c r="CC155"/>
  <c r="CE155"/>
  <c r="CG155"/>
  <c r="CX155"/>
  <c r="CZ155"/>
  <c r="DB155"/>
  <c r="DJ155"/>
  <c r="DK155"/>
  <c r="DL155"/>
  <c r="DN155"/>
  <c r="DP155"/>
  <c r="GD155"/>
  <c r="GF155"/>
  <c r="GH155"/>
  <c r="GK155"/>
  <c r="GM155"/>
  <c r="GO155"/>
  <c r="GR155"/>
  <c r="GT155"/>
  <c r="GV155"/>
  <c r="HJ155"/>
  <c r="HH155"/>
  <c r="HG155"/>
  <c r="HF155"/>
  <c r="HE155"/>
  <c r="HD155"/>
  <c r="AC154"/>
  <c r="BS154"/>
  <c r="AC153"/>
  <c r="BS153"/>
  <c r="D152"/>
  <c r="F152"/>
  <c r="H152"/>
  <c r="AC152"/>
  <c r="CC152"/>
  <c r="CE152"/>
  <c r="CG152"/>
  <c r="CX152"/>
  <c r="CZ152"/>
  <c r="DB152"/>
  <c r="DJ152"/>
  <c r="DK152"/>
  <c r="DL152"/>
  <c r="DN152"/>
  <c r="DP152"/>
  <c r="GD152"/>
  <c r="GF152"/>
  <c r="GH152"/>
  <c r="GK152"/>
  <c r="GM152"/>
  <c r="GO152"/>
  <c r="GR152"/>
  <c r="GT152"/>
  <c r="GV152"/>
  <c r="HJ152"/>
  <c r="HH152"/>
  <c r="HG152"/>
  <c r="HF152"/>
  <c r="HE152"/>
  <c r="HD152"/>
  <c r="BS152"/>
  <c r="AC151"/>
  <c r="AC150"/>
  <c r="BS150"/>
  <c r="FF149"/>
  <c r="D149"/>
  <c r="F149"/>
  <c r="H149"/>
  <c r="V149"/>
  <c r="AC149"/>
  <c r="CC149"/>
  <c r="CE149"/>
  <c r="CG149"/>
  <c r="CX149"/>
  <c r="CZ149"/>
  <c r="DB149"/>
  <c r="DJ149"/>
  <c r="DK149"/>
  <c r="DL149"/>
  <c r="DN149"/>
  <c r="DP149"/>
  <c r="EK149"/>
  <c r="GD149"/>
  <c r="GF149"/>
  <c r="GH149"/>
  <c r="GK149"/>
  <c r="GM149"/>
  <c r="GO149"/>
  <c r="GR149"/>
  <c r="GT149"/>
  <c r="GV149"/>
  <c r="HJ149"/>
  <c r="HH149"/>
  <c r="HG149"/>
  <c r="HF149"/>
  <c r="HE149"/>
  <c r="HD149"/>
  <c r="O149"/>
  <c r="BS149"/>
  <c r="EY149"/>
  <c r="AC148"/>
  <c r="BS148"/>
  <c r="AC147"/>
  <c r="BS147"/>
  <c r="D146"/>
  <c r="F146"/>
  <c r="H146"/>
  <c r="AC146"/>
  <c r="CC146"/>
  <c r="CE146"/>
  <c r="CG146"/>
  <c r="CX146"/>
  <c r="CZ146"/>
  <c r="DB146"/>
  <c r="DJ146"/>
  <c r="DK146"/>
  <c r="DL146"/>
  <c r="DN146"/>
  <c r="DP146"/>
  <c r="GD146"/>
  <c r="GF146"/>
  <c r="GH146"/>
  <c r="GK146"/>
  <c r="GM146"/>
  <c r="GO146"/>
  <c r="GR146"/>
  <c r="GT146"/>
  <c r="GV146"/>
  <c r="HJ146"/>
  <c r="HH146"/>
  <c r="HG146"/>
  <c r="HF146"/>
  <c r="HE146"/>
  <c r="HD146"/>
  <c r="BS146"/>
  <c r="AC145"/>
  <c r="BS145"/>
  <c r="AC144"/>
  <c r="BS144"/>
  <c r="D143"/>
  <c r="F143"/>
  <c r="H143"/>
  <c r="AC143"/>
  <c r="CC143"/>
  <c r="CE143"/>
  <c r="CG143"/>
  <c r="CX143"/>
  <c r="CZ143"/>
  <c r="DB143"/>
  <c r="DJ143"/>
  <c r="DK143"/>
  <c r="DL143"/>
  <c r="DN143"/>
  <c r="DP143"/>
  <c r="GD143"/>
  <c r="GF143"/>
  <c r="GH143"/>
  <c r="GK143"/>
  <c r="GM143"/>
  <c r="GO143"/>
  <c r="GR143"/>
  <c r="GT143"/>
  <c r="GV143"/>
  <c r="HJ143"/>
  <c r="HH143"/>
  <c r="HG143"/>
  <c r="HF143"/>
  <c r="HE143"/>
  <c r="HD143"/>
  <c r="AC142"/>
  <c r="BS142"/>
  <c r="AC141"/>
  <c r="BS141"/>
  <c r="D140"/>
  <c r="F140"/>
  <c r="H140"/>
  <c r="AC140"/>
  <c r="CC140"/>
  <c r="CE140"/>
  <c r="CG140"/>
  <c r="CX140"/>
  <c r="CZ140"/>
  <c r="DB140"/>
  <c r="DJ140"/>
  <c r="DK140"/>
  <c r="DL140"/>
  <c r="DN140"/>
  <c r="DP140"/>
  <c r="GD140"/>
  <c r="GF140"/>
  <c r="GH140"/>
  <c r="GK140"/>
  <c r="GM140"/>
  <c r="GO140"/>
  <c r="GR140"/>
  <c r="GT140"/>
  <c r="GV140"/>
  <c r="HJ140"/>
  <c r="HH140"/>
  <c r="HG140"/>
  <c r="HF140"/>
  <c r="HE140"/>
  <c r="HD140"/>
  <c r="BS140"/>
  <c r="AC139"/>
  <c r="AC138"/>
  <c r="BS138"/>
  <c r="AD215"/>
  <c r="AI215"/>
  <c r="AJ215"/>
  <c r="AD212"/>
  <c r="AI212"/>
  <c r="AJ212"/>
  <c r="AD209"/>
  <c r="AI209"/>
  <c r="AJ209"/>
  <c r="AD208"/>
  <c r="AI208"/>
  <c r="AJ208"/>
  <c r="AD207"/>
  <c r="AI207"/>
  <c r="AJ207"/>
  <c r="AD206"/>
  <c r="AI206"/>
  <c r="AJ206"/>
  <c r="AD205"/>
  <c r="AI205"/>
  <c r="AJ205"/>
  <c r="AD204"/>
  <c r="AI204"/>
  <c r="AJ204"/>
  <c r="AD203"/>
  <c r="AI203"/>
  <c r="AJ203"/>
  <c r="AD202"/>
  <c r="AI202"/>
  <c r="AJ202"/>
  <c r="AD201"/>
  <c r="AI201"/>
  <c r="AJ201"/>
  <c r="AD200"/>
  <c r="AI200"/>
  <c r="AJ200"/>
  <c r="FM197"/>
  <c r="AD197"/>
  <c r="AI197"/>
  <c r="AJ197"/>
  <c r="AD194"/>
  <c r="AI194"/>
  <c r="AJ194"/>
  <c r="AD191"/>
  <c r="AI191"/>
  <c r="AJ191"/>
  <c r="AD188"/>
  <c r="AI188"/>
  <c r="AJ188"/>
  <c r="AD185"/>
  <c r="AI185"/>
  <c r="AJ185"/>
  <c r="AD182"/>
  <c r="AI182"/>
  <c r="AJ182"/>
  <c r="AD179"/>
  <c r="AI179"/>
  <c r="AJ179"/>
  <c r="AD176"/>
  <c r="AI176"/>
  <c r="AJ176"/>
  <c r="BS175"/>
  <c r="AD173"/>
  <c r="AI173"/>
  <c r="AJ173"/>
  <c r="O172"/>
  <c r="O171"/>
  <c r="AD170"/>
  <c r="AI170"/>
  <c r="AJ170"/>
  <c r="O169"/>
  <c r="O168"/>
  <c r="AD167"/>
  <c r="AI167"/>
  <c r="AJ167"/>
  <c r="O166"/>
  <c r="AD164"/>
  <c r="AI164"/>
  <c r="AJ164"/>
  <c r="AD161"/>
  <c r="AI161"/>
  <c r="AJ161"/>
  <c r="AD158"/>
  <c r="AI158"/>
  <c r="AJ158"/>
  <c r="AD155"/>
  <c r="AI155"/>
  <c r="AJ155"/>
  <c r="AD152"/>
  <c r="AI152"/>
  <c r="AJ152"/>
  <c r="AD149"/>
  <c r="AI149"/>
  <c r="AJ149"/>
  <c r="AD146"/>
  <c r="AI146"/>
  <c r="AJ146"/>
  <c r="BS143"/>
  <c r="AD143"/>
  <c r="AI143"/>
  <c r="AJ143"/>
  <c r="AD140"/>
  <c r="AI140"/>
  <c r="AJ140"/>
  <c r="HJ137"/>
  <c r="HH137"/>
  <c r="HG137"/>
  <c r="HF137"/>
  <c r="HE137"/>
  <c r="HD137"/>
  <c r="GR137"/>
  <c r="GT137"/>
  <c r="GV137"/>
  <c r="GK137"/>
  <c r="GM137"/>
  <c r="GO137"/>
  <c r="GD137"/>
  <c r="GF137"/>
  <c r="GH137"/>
  <c r="EY137"/>
  <c r="EK137"/>
  <c r="DJ137"/>
  <c r="DK137"/>
  <c r="DL137"/>
  <c r="DN137"/>
  <c r="DP137"/>
  <c r="CX137"/>
  <c r="CZ137"/>
  <c r="DB137"/>
  <c r="CC137"/>
  <c r="CE137"/>
  <c r="CG137"/>
  <c r="AD137"/>
  <c r="AI137"/>
  <c r="AJ137"/>
  <c r="AC137"/>
  <c r="V137"/>
  <c r="D137"/>
  <c r="F137"/>
  <c r="H137"/>
  <c r="BS136"/>
  <c r="AC136"/>
  <c r="BS135"/>
  <c r="AC135"/>
  <c r="HJ134"/>
  <c r="HH134"/>
  <c r="HG134"/>
  <c r="HF134"/>
  <c r="HE134"/>
  <c r="HD134"/>
  <c r="BS134"/>
  <c r="AD134"/>
  <c r="AI134"/>
  <c r="AJ134"/>
  <c r="AC134"/>
  <c r="AC133"/>
  <c r="AC132"/>
  <c r="HJ131"/>
  <c r="HH131"/>
  <c r="HG131"/>
  <c r="HF131"/>
  <c r="HE131"/>
  <c r="HD131"/>
  <c r="AD131"/>
  <c r="AI131"/>
  <c r="AJ131"/>
  <c r="AC131"/>
  <c r="AC130"/>
  <c r="AC129"/>
  <c r="HJ128"/>
  <c r="HH128"/>
  <c r="HG128"/>
  <c r="HF128"/>
  <c r="HE128"/>
  <c r="HD128"/>
  <c r="AD128"/>
  <c r="AI128"/>
  <c r="AJ128"/>
  <c r="AC128"/>
  <c r="AC127"/>
  <c r="AC126"/>
  <c r="HJ125"/>
  <c r="HH125"/>
  <c r="HG125"/>
  <c r="HF125"/>
  <c r="HE125"/>
  <c r="HD125"/>
  <c r="GR125"/>
  <c r="GT125"/>
  <c r="GV125"/>
  <c r="GK125"/>
  <c r="GM125"/>
  <c r="GO125"/>
  <c r="GD125"/>
  <c r="GF125"/>
  <c r="GH125"/>
  <c r="EY125"/>
  <c r="EK125"/>
  <c r="DJ125"/>
  <c r="DK125"/>
  <c r="DL125"/>
  <c r="DP125"/>
  <c r="DN125"/>
  <c r="CX125"/>
  <c r="CZ125"/>
  <c r="DB125"/>
  <c r="CC125"/>
  <c r="CE125"/>
  <c r="CG125"/>
  <c r="AD125"/>
  <c r="AI125"/>
  <c r="AJ125"/>
  <c r="AC125"/>
  <c r="V125"/>
  <c r="D125"/>
  <c r="F125"/>
  <c r="H125"/>
  <c r="AC124"/>
  <c r="AC123"/>
  <c r="HJ122"/>
  <c r="HH122"/>
  <c r="HG122"/>
  <c r="HF122"/>
  <c r="HE122"/>
  <c r="HD122"/>
  <c r="AD122"/>
  <c r="AI122"/>
  <c r="AJ122"/>
  <c r="AC122"/>
  <c r="AC121"/>
  <c r="AC120"/>
  <c r="HJ119"/>
  <c r="HH119"/>
  <c r="HG119"/>
  <c r="HF119"/>
  <c r="HE119"/>
  <c r="HD119"/>
  <c r="AD119"/>
  <c r="AI119"/>
  <c r="AJ119"/>
  <c r="AC119"/>
  <c r="AC118"/>
  <c r="AC117"/>
  <c r="HJ116"/>
  <c r="HH116"/>
  <c r="HG116"/>
  <c r="HF116"/>
  <c r="HE116"/>
  <c r="HD116"/>
  <c r="AD116"/>
  <c r="AI116"/>
  <c r="AJ116"/>
  <c r="AC116"/>
  <c r="AC115"/>
  <c r="AC114"/>
  <c r="HJ113"/>
  <c r="HH113"/>
  <c r="HG113"/>
  <c r="HF113"/>
  <c r="HE113"/>
  <c r="HD113"/>
  <c r="GR113"/>
  <c r="GT113"/>
  <c r="GV113"/>
  <c r="GK113"/>
  <c r="GM113"/>
  <c r="GO113"/>
  <c r="GD113"/>
  <c r="GF113"/>
  <c r="GH113"/>
  <c r="EY113"/>
  <c r="EK113"/>
  <c r="DJ113"/>
  <c r="DK113"/>
  <c r="DL113"/>
  <c r="DP113"/>
  <c r="DN113"/>
  <c r="CX113"/>
  <c r="CZ113"/>
  <c r="DB113"/>
  <c r="CC113"/>
  <c r="CE113"/>
  <c r="CG113"/>
  <c r="AD113"/>
  <c r="AI113"/>
  <c r="AJ113"/>
  <c r="AC113"/>
  <c r="V113"/>
  <c r="D113"/>
  <c r="F113"/>
  <c r="H113"/>
  <c r="AC112"/>
  <c r="AC111"/>
  <c r="HJ110"/>
  <c r="HH110"/>
  <c r="HG110"/>
  <c r="HF110"/>
  <c r="HE110"/>
  <c r="HD110"/>
  <c r="AD110"/>
  <c r="AI110"/>
  <c r="AJ110"/>
  <c r="AC110"/>
  <c r="AC109"/>
  <c r="AC108"/>
  <c r="HJ107"/>
  <c r="HH107"/>
  <c r="HG107"/>
  <c r="HF107"/>
  <c r="HE107"/>
  <c r="HD107"/>
  <c r="AD107"/>
  <c r="AI107"/>
  <c r="AJ107"/>
  <c r="AC107"/>
  <c r="AC106"/>
  <c r="AC105"/>
  <c r="HJ104"/>
  <c r="HH104"/>
  <c r="HG104"/>
  <c r="HF104"/>
  <c r="HE104"/>
  <c r="HD104"/>
  <c r="AD104"/>
  <c r="AI104"/>
  <c r="AJ104"/>
  <c r="AC104"/>
  <c r="AC103"/>
  <c r="AC102"/>
  <c r="HJ101"/>
  <c r="HH101"/>
  <c r="HG101"/>
  <c r="HF101"/>
  <c r="HE101"/>
  <c r="HD101"/>
  <c r="GR101"/>
  <c r="GT101"/>
  <c r="GV101"/>
  <c r="GK101"/>
  <c r="GM101"/>
  <c r="GO101"/>
  <c r="GD101"/>
  <c r="GF101"/>
  <c r="GH101"/>
  <c r="EY101"/>
  <c r="EK101"/>
  <c r="DJ101"/>
  <c r="DK101"/>
  <c r="DL101"/>
  <c r="DP101"/>
  <c r="DN101"/>
  <c r="CX101"/>
  <c r="CZ101"/>
  <c r="DB101"/>
  <c r="CC101"/>
  <c r="CE101"/>
  <c r="CG101"/>
  <c r="AD101"/>
  <c r="AI101"/>
  <c r="AJ101"/>
  <c r="AC101"/>
  <c r="V101"/>
  <c r="D101"/>
  <c r="F101"/>
  <c r="H101"/>
  <c r="AC100"/>
  <c r="AC99"/>
  <c r="HJ98"/>
  <c r="HH98"/>
  <c r="HG98"/>
  <c r="HF98"/>
  <c r="HE98"/>
  <c r="HD98"/>
  <c r="AD98"/>
  <c r="AI98"/>
  <c r="AJ98"/>
  <c r="AC98"/>
  <c r="AC97"/>
  <c r="AC96"/>
  <c r="HJ95"/>
  <c r="HH95"/>
  <c r="HG95"/>
  <c r="HF95"/>
  <c r="HE95"/>
  <c r="HD95"/>
  <c r="AD95"/>
  <c r="AI95"/>
  <c r="AJ95"/>
  <c r="AC95"/>
  <c r="AC94"/>
  <c r="AC93"/>
  <c r="AD92"/>
  <c r="AI92"/>
  <c r="AJ92"/>
  <c r="AC92"/>
  <c r="AC91"/>
  <c r="AC90"/>
  <c r="GR89"/>
  <c r="GT89"/>
  <c r="GV89"/>
  <c r="GK89"/>
  <c r="GM89"/>
  <c r="GO89"/>
  <c r="GD89"/>
  <c r="GF89"/>
  <c r="GH89"/>
  <c r="EK89"/>
  <c r="DJ89"/>
  <c r="DK89"/>
  <c r="DL89"/>
  <c r="DP89"/>
  <c r="DN89"/>
  <c r="CX89"/>
  <c r="CZ89"/>
  <c r="DB89"/>
  <c r="CC89"/>
  <c r="CD89"/>
  <c r="CE89"/>
  <c r="CG89"/>
  <c r="AD89"/>
  <c r="AI89"/>
  <c r="AJ89"/>
  <c r="AC89"/>
  <c r="V89"/>
  <c r="D89"/>
  <c r="F89"/>
  <c r="H89"/>
  <c r="AC88"/>
  <c r="AC87"/>
  <c r="AD86"/>
  <c r="AI86"/>
  <c r="AJ86"/>
  <c r="AC86"/>
  <c r="AC85"/>
  <c r="AC84"/>
  <c r="AD83"/>
  <c r="AI83"/>
  <c r="AJ83"/>
  <c r="AC83"/>
  <c r="AC82"/>
  <c r="AC81"/>
  <c r="AD80"/>
  <c r="AI80"/>
  <c r="AJ80"/>
  <c r="AC80"/>
  <c r="AC79"/>
  <c r="AC78"/>
  <c r="GR77"/>
  <c r="GT77"/>
  <c r="GV77"/>
  <c r="GK77"/>
  <c r="GM77"/>
  <c r="GO77"/>
  <c r="GD77"/>
  <c r="GF77"/>
  <c r="GH77"/>
  <c r="EK77"/>
  <c r="DJ77"/>
  <c r="DK77"/>
  <c r="DL77"/>
  <c r="DP77"/>
  <c r="DN77"/>
  <c r="CX77"/>
  <c r="CY77"/>
  <c r="CZ77"/>
  <c r="DB77"/>
  <c r="CC77"/>
  <c r="CE77"/>
  <c r="CG77"/>
  <c r="AD77"/>
  <c r="AI77"/>
  <c r="AJ77"/>
  <c r="AC77"/>
  <c r="V77"/>
  <c r="D77"/>
  <c r="F77"/>
  <c r="H77"/>
  <c r="AC76"/>
  <c r="AC75"/>
  <c r="AD74"/>
  <c r="AI74"/>
  <c r="AJ74"/>
  <c r="AC74"/>
  <c r="AC73"/>
  <c r="AC72"/>
  <c r="AD71"/>
  <c r="AI71"/>
  <c r="AJ71"/>
  <c r="AC71"/>
  <c r="AC70"/>
  <c r="AC69"/>
  <c r="AD68"/>
  <c r="AI68"/>
  <c r="AJ68"/>
  <c r="AC68"/>
  <c r="AC67"/>
  <c r="AC66"/>
  <c r="EK65"/>
  <c r="AD65"/>
  <c r="AI65"/>
  <c r="AJ65"/>
  <c r="AC65"/>
  <c r="AC64"/>
  <c r="AC63"/>
  <c r="AD62"/>
  <c r="AI62"/>
  <c r="AJ62"/>
  <c r="AC62"/>
  <c r="AC61"/>
  <c r="AC60"/>
  <c r="AD59"/>
  <c r="AI59"/>
  <c r="AJ59"/>
  <c r="AC59"/>
  <c r="AC58"/>
  <c r="AC57"/>
  <c r="AD56"/>
  <c r="AI56"/>
  <c r="AJ56"/>
  <c r="AC56"/>
  <c r="AC55"/>
  <c r="AC54"/>
  <c r="EK53"/>
  <c r="AD53"/>
  <c r="AI53"/>
  <c r="AJ53"/>
  <c r="AC53"/>
  <c r="AC52"/>
  <c r="AC51"/>
  <c r="AD50"/>
  <c r="AI50"/>
  <c r="AJ50"/>
  <c r="AC50"/>
  <c r="AC49"/>
  <c r="AC48"/>
  <c r="AD47"/>
  <c r="AI47"/>
  <c r="AJ47"/>
  <c r="AC47"/>
  <c r="AC46"/>
  <c r="AC45"/>
  <c r="AD44"/>
  <c r="AI44"/>
  <c r="AJ44"/>
  <c r="AC44"/>
  <c r="AC43"/>
  <c r="AC42"/>
  <c r="EK41"/>
  <c r="AD41"/>
  <c r="AI41"/>
  <c r="AJ41"/>
  <c r="AC41"/>
  <c r="AC40"/>
  <c r="AC39"/>
  <c r="AD38"/>
  <c r="AI38"/>
  <c r="AJ38"/>
  <c r="AC38"/>
  <c r="AC37"/>
  <c r="AC36"/>
  <c r="AD35"/>
  <c r="AI35"/>
  <c r="AJ35"/>
  <c r="AC35"/>
  <c r="AC34"/>
  <c r="AC33"/>
  <c r="AD32"/>
  <c r="AI32"/>
  <c r="AJ32"/>
  <c r="AC32"/>
  <c r="AC31"/>
  <c r="AC30"/>
  <c r="AD29"/>
  <c r="AI29"/>
  <c r="AJ29"/>
  <c r="AC29"/>
  <c r="AC28"/>
  <c r="AC27"/>
  <c r="AD26"/>
  <c r="AI26"/>
  <c r="AJ26"/>
  <c r="AC26"/>
  <c r="AC25"/>
  <c r="AC24"/>
  <c r="AD23"/>
  <c r="AI23"/>
  <c r="AJ23"/>
  <c r="AC23"/>
  <c r="AC22"/>
  <c r="AC21"/>
  <c r="AD20"/>
  <c r="AI20"/>
  <c r="AJ20"/>
  <c r="AC20"/>
  <c r="AC19"/>
  <c r="AC18"/>
  <c r="AD17"/>
  <c r="AI17"/>
  <c r="AJ17"/>
  <c r="AD14"/>
  <c r="AI14"/>
  <c r="AJ14"/>
  <c r="AD11"/>
  <c r="AI11"/>
  <c r="AJ11"/>
  <c r="AD8"/>
  <c r="AI8"/>
  <c r="AJ8"/>
  <c r="GP322" i="3"/>
  <c r="GB322"/>
  <c r="FV322"/>
  <c r="FV323"/>
  <c r="FV310"/>
  <c r="FV311"/>
  <c r="FV312"/>
  <c r="FU322"/>
  <c r="FU323"/>
  <c r="FU310"/>
  <c r="FU311"/>
  <c r="FU312"/>
  <c r="FP322"/>
  <c r="FP323"/>
  <c r="FP310"/>
  <c r="FP311"/>
  <c r="FP312"/>
  <c r="FJ322"/>
  <c r="FJ323"/>
  <c r="FJ310"/>
  <c r="FJ311"/>
  <c r="FJ312"/>
  <c r="FD322"/>
  <c r="FD323"/>
  <c r="FD310"/>
  <c r="FD311"/>
  <c r="FD312"/>
  <c r="EX322"/>
  <c r="EX323"/>
  <c r="EX324"/>
  <c r="EX310"/>
  <c r="EX311"/>
  <c r="EX312"/>
  <c r="EL322"/>
  <c r="EL323"/>
  <c r="EL324"/>
  <c r="EF322"/>
  <c r="EF323"/>
  <c r="EF310"/>
  <c r="EF311"/>
  <c r="EF312"/>
  <c r="DZ322"/>
  <c r="DZ323"/>
  <c r="DZ310"/>
  <c r="DZ311"/>
  <c r="DZ312"/>
  <c r="DB322"/>
  <c r="DB323"/>
  <c r="DB310"/>
  <c r="DB311"/>
  <c r="DB312"/>
  <c r="CR322"/>
  <c r="CR323"/>
  <c r="CR310"/>
  <c r="CR311"/>
  <c r="CR312"/>
  <c r="CJ322"/>
  <c r="CJ323"/>
  <c r="CJ324"/>
  <c r="CJ310"/>
  <c r="CJ311"/>
  <c r="CJ312"/>
  <c r="CD322"/>
  <c r="CD323"/>
  <c r="CD310"/>
  <c r="CD311"/>
  <c r="CD312"/>
  <c r="BX322"/>
  <c r="BX323"/>
  <c r="BX310"/>
  <c r="BX311"/>
  <c r="BX312"/>
  <c r="BR322"/>
  <c r="BR323"/>
  <c r="BR310"/>
  <c r="BR311"/>
  <c r="BR312"/>
  <c r="BL322"/>
  <c r="BL323"/>
  <c r="BL310"/>
  <c r="BL311"/>
  <c r="BL312"/>
  <c r="BF322"/>
  <c r="BF323"/>
  <c r="BF324"/>
  <c r="BF310"/>
  <c r="BF311"/>
  <c r="BF312"/>
  <c r="BE322"/>
  <c r="BE323"/>
  <c r="BE324"/>
  <c r="BE310"/>
  <c r="BE311"/>
  <c r="BE312"/>
  <c r="I322"/>
  <c r="I323"/>
  <c r="D322"/>
  <c r="D323"/>
  <c r="D310"/>
  <c r="D311"/>
  <c r="D312"/>
  <c r="GP319"/>
  <c r="GP320"/>
  <c r="GP321"/>
  <c r="GB319"/>
  <c r="GB320"/>
  <c r="GB321"/>
  <c r="FV319"/>
  <c r="FV320"/>
  <c r="FV321"/>
  <c r="FV307"/>
  <c r="FV308"/>
  <c r="FV309"/>
  <c r="FU319"/>
  <c r="FU320"/>
  <c r="FU321"/>
  <c r="FU307"/>
  <c r="FU308"/>
  <c r="FU309"/>
  <c r="FP319"/>
  <c r="FP320"/>
  <c r="FP321"/>
  <c r="FP307"/>
  <c r="FP308"/>
  <c r="FP309"/>
  <c r="FJ319"/>
  <c r="FJ320"/>
  <c r="FJ321"/>
  <c r="FJ307"/>
  <c r="FJ308"/>
  <c r="FJ309"/>
  <c r="FD319"/>
  <c r="FD320"/>
  <c r="FD321"/>
  <c r="FD307"/>
  <c r="FD308"/>
  <c r="FD309"/>
  <c r="EX319"/>
  <c r="EX320"/>
  <c r="EX321"/>
  <c r="EX307"/>
  <c r="EX308"/>
  <c r="EX309"/>
  <c r="EL319"/>
  <c r="EL320"/>
  <c r="EL321"/>
  <c r="EF319"/>
  <c r="EF320"/>
  <c r="EF321"/>
  <c r="EF307"/>
  <c r="EF308"/>
  <c r="EF309"/>
  <c r="DZ319"/>
  <c r="DZ320"/>
  <c r="DZ321"/>
  <c r="DZ307"/>
  <c r="DZ308"/>
  <c r="DZ309"/>
  <c r="DT319"/>
  <c r="DT320"/>
  <c r="DT321"/>
  <c r="DT307"/>
  <c r="DT308"/>
  <c r="DT309"/>
  <c r="DN319"/>
  <c r="DN320"/>
  <c r="DN321"/>
  <c r="DN307"/>
  <c r="DN308"/>
  <c r="DN309"/>
  <c r="DB319"/>
  <c r="DB320"/>
  <c r="DB321"/>
  <c r="DB307"/>
  <c r="DB308"/>
  <c r="DB309"/>
  <c r="CU319"/>
  <c r="CU320"/>
  <c r="CU321"/>
  <c r="CU307"/>
  <c r="CU308"/>
  <c r="CU309"/>
  <c r="CR319"/>
  <c r="CR320"/>
  <c r="CR321"/>
  <c r="CR307"/>
  <c r="CR308"/>
  <c r="CR309"/>
  <c r="CJ319"/>
  <c r="CJ320"/>
  <c r="CJ321"/>
  <c r="CJ307"/>
  <c r="CJ308"/>
  <c r="CJ309"/>
  <c r="CD319"/>
  <c r="CD320"/>
  <c r="CD321"/>
  <c r="CD307"/>
  <c r="CD308"/>
  <c r="CD309"/>
  <c r="BX319"/>
  <c r="BX320"/>
  <c r="BX321"/>
  <c r="BX307"/>
  <c r="BX308"/>
  <c r="BX309"/>
  <c r="BR319"/>
  <c r="BR320"/>
  <c r="BR321"/>
  <c r="BL319"/>
  <c r="BL320"/>
  <c r="BL321"/>
  <c r="BL307"/>
  <c r="BL308"/>
  <c r="BL309"/>
  <c r="BF319"/>
  <c r="BF320"/>
  <c r="BF321"/>
  <c r="BF307"/>
  <c r="BF308"/>
  <c r="BF309"/>
  <c r="BE319"/>
  <c r="BE320"/>
  <c r="BE321"/>
  <c r="BE307"/>
  <c r="BE308"/>
  <c r="BE309"/>
  <c r="V319"/>
  <c r="V320"/>
  <c r="V307"/>
  <c r="V308"/>
  <c r="V309"/>
  <c r="U319"/>
  <c r="U320"/>
  <c r="U307"/>
  <c r="U308"/>
  <c r="U309"/>
  <c r="P319"/>
  <c r="P320"/>
  <c r="P321"/>
  <c r="P307"/>
  <c r="P308"/>
  <c r="P309"/>
  <c r="I319"/>
  <c r="I320"/>
  <c r="I321"/>
  <c r="D319"/>
  <c r="D320"/>
  <c r="D321"/>
  <c r="D307"/>
  <c r="D308"/>
  <c r="D309"/>
  <c r="GP316"/>
  <c r="GP317"/>
  <c r="GP318"/>
  <c r="GB316"/>
  <c r="GB317"/>
  <c r="GB318"/>
  <c r="FV316"/>
  <c r="FV317"/>
  <c r="FV318"/>
  <c r="FV304"/>
  <c r="FV305"/>
  <c r="FV306"/>
  <c r="FU316"/>
  <c r="FU317"/>
  <c r="FU318"/>
  <c r="FU304"/>
  <c r="FU305"/>
  <c r="FU306"/>
  <c r="FP316"/>
  <c r="FP317"/>
  <c r="FP318"/>
  <c r="FP304"/>
  <c r="FP305"/>
  <c r="FP306"/>
  <c r="FJ316"/>
  <c r="FJ317"/>
  <c r="FJ318"/>
  <c r="FJ304"/>
  <c r="FJ305"/>
  <c r="FJ306"/>
  <c r="FD316"/>
  <c r="FD317"/>
  <c r="FD318"/>
  <c r="FD304"/>
  <c r="FD305"/>
  <c r="FD306"/>
  <c r="EX316"/>
  <c r="EX317"/>
  <c r="EX318"/>
  <c r="EX304"/>
  <c r="EX305"/>
  <c r="EX306"/>
  <c r="EL316"/>
  <c r="EL317"/>
  <c r="EL318"/>
  <c r="EF316"/>
  <c r="EF317"/>
  <c r="EF318"/>
  <c r="EF304"/>
  <c r="EF305"/>
  <c r="EF306"/>
  <c r="DZ316"/>
  <c r="DZ317"/>
  <c r="DZ318"/>
  <c r="DZ304"/>
  <c r="DZ305"/>
  <c r="DZ306"/>
  <c r="DT316"/>
  <c r="DT317"/>
  <c r="DT318"/>
  <c r="DT304"/>
  <c r="DT305"/>
  <c r="DT306"/>
  <c r="DN316"/>
  <c r="DN317"/>
  <c r="DN318"/>
  <c r="DN304"/>
  <c r="DN305"/>
  <c r="DN306"/>
  <c r="DB316"/>
  <c r="DB317"/>
  <c r="DB318"/>
  <c r="DB304"/>
  <c r="DB305"/>
  <c r="DB306"/>
  <c r="CU316"/>
  <c r="CU317"/>
  <c r="CU318"/>
  <c r="CU304"/>
  <c r="CU305"/>
  <c r="CU306"/>
  <c r="CR316"/>
  <c r="CR317"/>
  <c r="CR318"/>
  <c r="CR304"/>
  <c r="CR305"/>
  <c r="CR306"/>
  <c r="CJ316"/>
  <c r="CJ317"/>
  <c r="CJ318"/>
  <c r="CJ304"/>
  <c r="CJ305"/>
  <c r="CJ306"/>
  <c r="CD316"/>
  <c r="CD317"/>
  <c r="CD318"/>
  <c r="CD304"/>
  <c r="CD305"/>
  <c r="CD306"/>
  <c r="BX316"/>
  <c r="BX317"/>
  <c r="BX318"/>
  <c r="BX304"/>
  <c r="BX305"/>
  <c r="BX306"/>
  <c r="BR316"/>
  <c r="BR317"/>
  <c r="BR318"/>
  <c r="BL316"/>
  <c r="BL317"/>
  <c r="BL318"/>
  <c r="BL304"/>
  <c r="BL305"/>
  <c r="BL306"/>
  <c r="BF316"/>
  <c r="BF317"/>
  <c r="BF318"/>
  <c r="BF304"/>
  <c r="BF305"/>
  <c r="BF306"/>
  <c r="BE316"/>
  <c r="BE317"/>
  <c r="BE318"/>
  <c r="BE304"/>
  <c r="BE305"/>
  <c r="BE306"/>
  <c r="AZ316"/>
  <c r="AZ317"/>
  <c r="AZ318"/>
  <c r="AZ304"/>
  <c r="AZ305"/>
  <c r="AZ306"/>
  <c r="V316"/>
  <c r="V317"/>
  <c r="V318"/>
  <c r="V304"/>
  <c r="V305"/>
  <c r="V306"/>
  <c r="U316"/>
  <c r="U317"/>
  <c r="U318"/>
  <c r="U304"/>
  <c r="U305"/>
  <c r="U306"/>
  <c r="P316"/>
  <c r="P317"/>
  <c r="P318"/>
  <c r="P304"/>
  <c r="P305"/>
  <c r="P306"/>
  <c r="I316"/>
  <c r="I317"/>
  <c r="I318"/>
  <c r="D316"/>
  <c r="D317"/>
  <c r="D318"/>
  <c r="D304"/>
  <c r="D305"/>
  <c r="D306"/>
  <c r="FV313"/>
  <c r="FV314"/>
  <c r="FV315"/>
  <c r="FU313"/>
  <c r="FU314"/>
  <c r="FU315"/>
  <c r="FP313"/>
  <c r="FP314"/>
  <c r="FP315"/>
  <c r="FJ313"/>
  <c r="FJ314"/>
  <c r="FJ315"/>
  <c r="FD313"/>
  <c r="FD314"/>
  <c r="FD315"/>
  <c r="EX313"/>
  <c r="EX314"/>
  <c r="EX315"/>
  <c r="EX301"/>
  <c r="EX302"/>
  <c r="EX303"/>
  <c r="EF313"/>
  <c r="EF314"/>
  <c r="EF315"/>
  <c r="DZ313"/>
  <c r="DZ314"/>
  <c r="DZ315"/>
  <c r="DZ301"/>
  <c r="DZ302"/>
  <c r="DZ303"/>
  <c r="DT313"/>
  <c r="DT314"/>
  <c r="DT315"/>
  <c r="DN313"/>
  <c r="DN314"/>
  <c r="DN315"/>
  <c r="DN301"/>
  <c r="DN302"/>
  <c r="DN303"/>
  <c r="DB313"/>
  <c r="DB314"/>
  <c r="DB315"/>
  <c r="CU313"/>
  <c r="CU314"/>
  <c r="CU315"/>
  <c r="CR313"/>
  <c r="CR314"/>
  <c r="CR315"/>
  <c r="CJ313"/>
  <c r="CJ314"/>
  <c r="CJ315"/>
  <c r="CD313"/>
  <c r="CD314"/>
  <c r="CD315"/>
  <c r="BX313"/>
  <c r="BX314"/>
  <c r="BX315"/>
  <c r="BR313"/>
  <c r="BR314"/>
  <c r="BR315"/>
  <c r="BL313"/>
  <c r="BL314"/>
  <c r="BL315"/>
  <c r="BF313"/>
  <c r="BF314"/>
  <c r="BF315"/>
  <c r="BE313"/>
  <c r="BE314"/>
  <c r="BE315"/>
  <c r="AZ313"/>
  <c r="AZ314"/>
  <c r="AZ315"/>
  <c r="AZ301"/>
  <c r="AZ302"/>
  <c r="AZ303"/>
  <c r="AG313"/>
  <c r="AG314"/>
  <c r="AG315"/>
  <c r="V313"/>
  <c r="V314"/>
  <c r="V315"/>
  <c r="U313"/>
  <c r="U314"/>
  <c r="U315"/>
  <c r="P313"/>
  <c r="P314"/>
  <c r="P315"/>
  <c r="D313"/>
  <c r="D314"/>
  <c r="D315"/>
  <c r="EX298"/>
  <c r="EX299"/>
  <c r="EX300"/>
  <c r="DZ298"/>
  <c r="DZ299"/>
  <c r="DZ300"/>
  <c r="DT310"/>
  <c r="DT311"/>
  <c r="DT312"/>
  <c r="DN310"/>
  <c r="DN311"/>
  <c r="DN312"/>
  <c r="DN298"/>
  <c r="DN299"/>
  <c r="DN300"/>
  <c r="CU310"/>
  <c r="CU311"/>
  <c r="CU312"/>
  <c r="AZ310"/>
  <c r="AZ311"/>
  <c r="AZ312"/>
  <c r="AZ298"/>
  <c r="AZ299"/>
  <c r="AZ300"/>
  <c r="AG310"/>
  <c r="AG311"/>
  <c r="AG312"/>
  <c r="V310"/>
  <c r="V311"/>
  <c r="V312"/>
  <c r="U310"/>
  <c r="U311"/>
  <c r="U312"/>
  <c r="P310"/>
  <c r="P311"/>
  <c r="P312"/>
  <c r="EX295"/>
  <c r="EX296"/>
  <c r="EX297"/>
  <c r="DZ295"/>
  <c r="DZ296"/>
  <c r="DZ297"/>
  <c r="DN295"/>
  <c r="DN296"/>
  <c r="DN297"/>
  <c r="AZ307"/>
  <c r="AZ308"/>
  <c r="AZ309"/>
  <c r="AZ295"/>
  <c r="AZ296"/>
  <c r="AZ297"/>
  <c r="AG307"/>
  <c r="AG308"/>
  <c r="AG309"/>
  <c r="EX292"/>
  <c r="EX293"/>
  <c r="EX294"/>
  <c r="DZ292"/>
  <c r="DZ293"/>
  <c r="DZ294"/>
  <c r="DN292"/>
  <c r="DN293"/>
  <c r="DN294"/>
  <c r="AZ292"/>
  <c r="AZ293"/>
  <c r="AZ294"/>
  <c r="AG304"/>
  <c r="AG305"/>
  <c r="AG306"/>
  <c r="EX289"/>
  <c r="EX290"/>
  <c r="EX291"/>
  <c r="DZ289"/>
  <c r="DZ290"/>
  <c r="DZ291"/>
  <c r="AZ289"/>
  <c r="AZ290"/>
  <c r="AZ291"/>
  <c r="EX286"/>
  <c r="EX287"/>
  <c r="EX288"/>
  <c r="DZ286"/>
  <c r="DZ287"/>
  <c r="DZ288"/>
  <c r="AZ286"/>
  <c r="AZ287"/>
  <c r="AZ288"/>
  <c r="EX283"/>
  <c r="EX284"/>
  <c r="EX285"/>
  <c r="DZ283"/>
  <c r="DZ284"/>
  <c r="DZ285"/>
  <c r="AZ283"/>
  <c r="AZ284"/>
  <c r="AZ285"/>
  <c r="EX280"/>
  <c r="EX281"/>
  <c r="EX282"/>
  <c r="DZ280"/>
  <c r="DZ281"/>
  <c r="DZ282"/>
  <c r="AZ280"/>
  <c r="AZ281"/>
  <c r="AZ282"/>
  <c r="EX277"/>
  <c r="EX278"/>
  <c r="EX279"/>
  <c r="DZ277"/>
  <c r="DZ278"/>
  <c r="DZ279"/>
  <c r="AZ277"/>
  <c r="AZ278"/>
  <c r="AZ279"/>
  <c r="EX274"/>
  <c r="EX275"/>
  <c r="EX276"/>
  <c r="DZ274"/>
  <c r="DZ275"/>
  <c r="DZ276"/>
  <c r="AZ274"/>
  <c r="AZ275"/>
  <c r="AZ276"/>
  <c r="EX271"/>
  <c r="EX272"/>
  <c r="EX273"/>
  <c r="DZ271"/>
  <c r="DZ272"/>
  <c r="DZ273"/>
  <c r="AZ271"/>
  <c r="AZ272"/>
  <c r="AZ273"/>
  <c r="EX268"/>
  <c r="EX269"/>
  <c r="EX270"/>
  <c r="DZ268"/>
  <c r="DZ269"/>
  <c r="DZ270"/>
  <c r="AZ268"/>
  <c r="AZ269"/>
  <c r="AZ270"/>
  <c r="EX265"/>
  <c r="EX266"/>
  <c r="EX267"/>
  <c r="DZ265"/>
  <c r="DZ266"/>
  <c r="DZ267"/>
  <c r="AZ265"/>
  <c r="AZ266"/>
  <c r="AZ267"/>
  <c r="EX262"/>
  <c r="EX263"/>
  <c r="EX264"/>
  <c r="DZ262"/>
  <c r="DZ263"/>
  <c r="DZ264"/>
  <c r="AZ262"/>
  <c r="AZ263"/>
  <c r="AZ264"/>
  <c r="EX259"/>
  <c r="EX260"/>
  <c r="EX261"/>
  <c r="DZ259"/>
  <c r="DZ260"/>
  <c r="DZ261"/>
  <c r="AZ259"/>
  <c r="AZ260"/>
  <c r="AZ261"/>
  <c r="EX256"/>
  <c r="EX257"/>
  <c r="EX258"/>
  <c r="DZ256"/>
  <c r="DZ257"/>
  <c r="DZ258"/>
  <c r="AZ256"/>
  <c r="AZ257"/>
  <c r="AZ258"/>
  <c r="EX253"/>
  <c r="EX254"/>
  <c r="EX255"/>
  <c r="DZ253"/>
  <c r="DZ254"/>
  <c r="DZ255"/>
  <c r="AZ253"/>
  <c r="AZ254"/>
  <c r="AZ255"/>
  <c r="EX250"/>
  <c r="EX251"/>
  <c r="EX252"/>
  <c r="DZ250"/>
  <c r="DZ251"/>
  <c r="DZ252"/>
  <c r="AZ250"/>
  <c r="AZ251"/>
  <c r="AZ252"/>
  <c r="EX247"/>
  <c r="EX248"/>
  <c r="EX249"/>
  <c r="DZ247"/>
  <c r="DZ248"/>
  <c r="DZ249"/>
  <c r="AZ247"/>
  <c r="AZ248"/>
  <c r="AZ249"/>
  <c r="EX244"/>
  <c r="EX245"/>
  <c r="EX246"/>
  <c r="DZ244"/>
  <c r="DZ245"/>
  <c r="DZ246"/>
  <c r="AZ244"/>
  <c r="AZ245"/>
  <c r="AZ246"/>
  <c r="EX241"/>
  <c r="EX242"/>
  <c r="EX243"/>
  <c r="DZ241"/>
  <c r="DZ242"/>
  <c r="DZ243"/>
  <c r="AZ241"/>
  <c r="AZ242"/>
  <c r="AZ243"/>
  <c r="EX238"/>
  <c r="EX239"/>
  <c r="EX240"/>
  <c r="DZ238"/>
  <c r="DZ239"/>
  <c r="DZ240"/>
  <c r="AZ238"/>
  <c r="AZ239"/>
  <c r="AZ240"/>
  <c r="EX235"/>
  <c r="EX236"/>
  <c r="EX237"/>
  <c r="DZ235"/>
  <c r="DZ236"/>
  <c r="DZ237"/>
  <c r="AZ235"/>
  <c r="AZ236"/>
  <c r="AZ237"/>
  <c r="EX232"/>
  <c r="EX233"/>
  <c r="EX234"/>
  <c r="DZ232"/>
  <c r="DZ233"/>
  <c r="DZ234"/>
  <c r="AZ232"/>
  <c r="AZ233"/>
  <c r="AZ234"/>
  <c r="DT323"/>
  <c r="DT322"/>
  <c r="AG318"/>
  <c r="AG317"/>
  <c r="AG316"/>
  <c r="EX231"/>
  <c r="DZ231"/>
  <c r="AZ231"/>
  <c r="EX230"/>
  <c r="DZ230"/>
  <c r="AZ230"/>
  <c r="EX229"/>
  <c r="DZ229"/>
  <c r="AZ229"/>
  <c r="EX228"/>
  <c r="DZ228"/>
  <c r="AZ228"/>
  <c r="EX227"/>
  <c r="DZ227"/>
  <c r="AZ227"/>
  <c r="EX226"/>
  <c r="DZ226"/>
  <c r="AZ226"/>
  <c r="EX225"/>
  <c r="DZ225"/>
  <c r="AZ225"/>
  <c r="EX224"/>
  <c r="DZ224"/>
  <c r="AZ224"/>
  <c r="EX223"/>
  <c r="DZ223"/>
  <c r="AZ223"/>
  <c r="EX222"/>
  <c r="DZ222"/>
  <c r="AZ222"/>
  <c r="EX221"/>
  <c r="DZ221"/>
  <c r="AZ221"/>
  <c r="EX220"/>
  <c r="DZ220"/>
  <c r="AZ220"/>
  <c r="EX219"/>
  <c r="DZ219"/>
  <c r="AZ219"/>
  <c r="EX218"/>
  <c r="DZ218"/>
  <c r="AZ218"/>
  <c r="EX217"/>
  <c r="DZ217"/>
  <c r="AZ217"/>
  <c r="EX216"/>
  <c r="DZ216"/>
  <c r="AZ216"/>
  <c r="EX215"/>
  <c r="DZ215"/>
  <c r="AZ215"/>
  <c r="EX214"/>
  <c r="DZ214"/>
  <c r="AZ214"/>
  <c r="EX213"/>
  <c r="DZ213"/>
  <c r="AZ213"/>
  <c r="EX212"/>
  <c r="DZ212"/>
  <c r="AZ212"/>
  <c r="EX211"/>
  <c r="DZ211"/>
  <c r="AZ211"/>
  <c r="EX210"/>
  <c r="DZ210"/>
  <c r="AZ210"/>
  <c r="EX209"/>
  <c r="DZ209"/>
  <c r="AZ209"/>
  <c r="EX208"/>
  <c r="DZ208"/>
  <c r="AZ208"/>
  <c r="EX207"/>
  <c r="DZ207"/>
  <c r="AZ207"/>
  <c r="EX206"/>
  <c r="DZ206"/>
  <c r="AZ206"/>
  <c r="EX205"/>
  <c r="DZ205"/>
  <c r="AZ205"/>
  <c r="EX204"/>
  <c r="DZ204"/>
  <c r="AZ204"/>
  <c r="EX203"/>
  <c r="DZ203"/>
  <c r="AZ203"/>
  <c r="EX202"/>
  <c r="DZ202"/>
  <c r="AZ202"/>
  <c r="EX201"/>
  <c r="DZ201"/>
  <c r="AZ201"/>
  <c r="EX200"/>
  <c r="DZ200"/>
  <c r="AZ200"/>
  <c r="EX199"/>
  <c r="DZ199"/>
  <c r="AZ199"/>
  <c r="EX198"/>
  <c r="DZ198"/>
  <c r="AZ198"/>
  <c r="EX197"/>
  <c r="DZ197"/>
  <c r="AZ197"/>
  <c r="EX196"/>
  <c r="DZ196"/>
  <c r="AZ196"/>
  <c r="EX195"/>
  <c r="DZ195"/>
  <c r="AZ195"/>
  <c r="EX194"/>
  <c r="DZ194"/>
  <c r="AZ194"/>
  <c r="EX193"/>
  <c r="DZ193"/>
  <c r="AZ193"/>
  <c r="EX192"/>
  <c r="DZ192"/>
  <c r="AZ192"/>
  <c r="EX191"/>
  <c r="DZ191"/>
  <c r="AZ191"/>
  <c r="EX190"/>
  <c r="DZ190"/>
  <c r="AZ190"/>
  <c r="EX189"/>
  <c r="DZ189"/>
  <c r="AZ189"/>
  <c r="EX188"/>
  <c r="DZ188"/>
  <c r="AZ188"/>
  <c r="EX187"/>
  <c r="DZ187"/>
  <c r="AZ187"/>
  <c r="EX186"/>
  <c r="DZ186"/>
  <c r="AZ186"/>
  <c r="EX185"/>
  <c r="DZ185"/>
  <c r="AZ185"/>
  <c r="EX184"/>
  <c r="DZ184"/>
  <c r="AZ184"/>
  <c r="EX183"/>
  <c r="DZ183"/>
  <c r="AZ183"/>
  <c r="EX182"/>
  <c r="DZ182"/>
  <c r="AZ182"/>
  <c r="EX181"/>
  <c r="DZ181"/>
  <c r="AZ181"/>
  <c r="EX180"/>
  <c r="DZ180"/>
  <c r="AZ180"/>
  <c r="EX179"/>
  <c r="DZ179"/>
  <c r="AZ179"/>
  <c r="EX178"/>
  <c r="DZ178"/>
  <c r="AZ178"/>
  <c r="EX177"/>
  <c r="DZ177"/>
  <c r="AZ177"/>
  <c r="EX176"/>
  <c r="DZ176"/>
  <c r="AZ176"/>
  <c r="EX175"/>
  <c r="DZ175"/>
  <c r="AZ175"/>
  <c r="EX174"/>
  <c r="DZ174"/>
  <c r="AZ174"/>
  <c r="EX173"/>
  <c r="DZ173"/>
  <c r="AZ173"/>
  <c r="EX172"/>
  <c r="DZ172"/>
  <c r="AZ172"/>
  <c r="EX171"/>
  <c r="DZ171"/>
  <c r="AZ171"/>
  <c r="EX170"/>
  <c r="DZ170"/>
  <c r="AZ170"/>
  <c r="EX169"/>
  <c r="DZ169"/>
  <c r="AZ169"/>
  <c r="EX168"/>
  <c r="DZ168"/>
  <c r="AZ168"/>
  <c r="EX167"/>
  <c r="DZ167"/>
  <c r="AZ167"/>
  <c r="EX166"/>
  <c r="DZ166"/>
  <c r="AZ166"/>
  <c r="EX165"/>
  <c r="DZ165"/>
  <c r="AZ165"/>
  <c r="EX164"/>
  <c r="DZ164"/>
  <c r="AZ164"/>
  <c r="EX163"/>
  <c r="DZ163"/>
  <c r="AZ163"/>
  <c r="EX162"/>
  <c r="DZ162"/>
  <c r="AZ162"/>
  <c r="EX161"/>
  <c r="DZ161"/>
  <c r="AZ161"/>
  <c r="EX160"/>
  <c r="DZ160"/>
  <c r="AZ160"/>
  <c r="EX159"/>
  <c r="DZ159"/>
  <c r="AZ159"/>
  <c r="EX158"/>
  <c r="DZ158"/>
  <c r="AZ158"/>
  <c r="EX157"/>
  <c r="DZ157"/>
  <c r="AZ157"/>
  <c r="EX156"/>
  <c r="DZ156"/>
  <c r="AZ156"/>
  <c r="EX155"/>
  <c r="DZ155"/>
  <c r="AZ155"/>
  <c r="EX154"/>
  <c r="DZ154"/>
  <c r="AZ154"/>
  <c r="EX153"/>
  <c r="DZ153"/>
  <c r="AZ153"/>
  <c r="EX152"/>
  <c r="DZ152"/>
  <c r="AZ152"/>
  <c r="EX151"/>
  <c r="DZ151"/>
  <c r="AZ151"/>
  <c r="EX150"/>
  <c r="DZ150"/>
  <c r="AZ150"/>
  <c r="EX149"/>
  <c r="DZ149"/>
  <c r="AZ149"/>
  <c r="EX148"/>
  <c r="DZ148"/>
  <c r="AZ148"/>
  <c r="EX147"/>
  <c r="DZ147"/>
  <c r="AZ147"/>
  <c r="GB146"/>
  <c r="FD146"/>
  <c r="EL146"/>
  <c r="DZ146"/>
  <c r="CU146"/>
  <c r="AT146"/>
  <c r="AB146"/>
  <c r="GB145"/>
  <c r="FD145"/>
  <c r="EL145"/>
  <c r="DZ145"/>
  <c r="CU145"/>
  <c r="AT145"/>
  <c r="AB145"/>
  <c r="GB144"/>
  <c r="FD144"/>
  <c r="EL144"/>
  <c r="DZ144"/>
  <c r="CU144"/>
  <c r="AT144"/>
  <c r="AB144"/>
  <c r="GB143"/>
  <c r="FD143"/>
  <c r="EL143"/>
  <c r="DZ143"/>
  <c r="CU143"/>
  <c r="AT143"/>
  <c r="AB143"/>
  <c r="GB142"/>
  <c r="FD142"/>
  <c r="EL142"/>
  <c r="DZ142"/>
  <c r="CU142"/>
  <c r="AT142"/>
  <c r="AB142"/>
  <c r="GB141"/>
  <c r="FD141"/>
  <c r="EL141"/>
  <c r="DZ141"/>
  <c r="CU141"/>
  <c r="AT141"/>
  <c r="AB141"/>
  <c r="GB140"/>
  <c r="FD140"/>
  <c r="EL140"/>
  <c r="DZ140"/>
  <c r="CU140"/>
  <c r="AT140"/>
  <c r="AB140"/>
  <c r="GB139"/>
  <c r="FD139"/>
  <c r="EL139"/>
  <c r="DZ139"/>
  <c r="CU139"/>
  <c r="AT139"/>
  <c r="AB139"/>
  <c r="GB138"/>
  <c r="FD138"/>
  <c r="EL138"/>
  <c r="DZ138"/>
  <c r="CU138"/>
  <c r="AT138"/>
  <c r="AB138"/>
  <c r="GB137"/>
  <c r="FD137"/>
  <c r="EL137"/>
  <c r="DZ137"/>
  <c r="CU137"/>
  <c r="AT137"/>
  <c r="AB137"/>
  <c r="GB136"/>
  <c r="FD136"/>
  <c r="EL136"/>
  <c r="DZ136"/>
  <c r="CU136"/>
  <c r="AT136"/>
  <c r="AB136"/>
  <c r="GB135"/>
  <c r="FD135"/>
  <c r="EL135"/>
  <c r="DZ135"/>
  <c r="CU135"/>
  <c r="AT135"/>
  <c r="AB135"/>
  <c r="P135"/>
  <c r="GB134"/>
  <c r="FD134"/>
  <c r="EL134"/>
  <c r="DZ134"/>
  <c r="CU134"/>
  <c r="AT134"/>
  <c r="AB134"/>
  <c r="GB133"/>
  <c r="FD133"/>
  <c r="EL133"/>
  <c r="DZ133"/>
  <c r="CU133"/>
  <c r="AT133"/>
  <c r="AB133"/>
  <c r="GB132"/>
  <c r="FD132"/>
  <c r="EL132"/>
  <c r="DZ132"/>
  <c r="CU132"/>
  <c r="AT132"/>
  <c r="AB132"/>
  <c r="FD131"/>
  <c r="EL131"/>
  <c r="DZ131"/>
  <c r="CU131"/>
  <c r="AT131"/>
  <c r="AB131"/>
  <c r="FD130"/>
  <c r="EL130"/>
  <c r="DZ130"/>
  <c r="CU130"/>
  <c r="AT130"/>
  <c r="AB130"/>
  <c r="FD129"/>
  <c r="EL129"/>
  <c r="DZ129"/>
  <c r="CU129"/>
  <c r="AT129"/>
  <c r="AB129"/>
  <c r="FD128"/>
  <c r="EL128"/>
  <c r="DZ128"/>
  <c r="CU128"/>
  <c r="AT128"/>
  <c r="AB128"/>
  <c r="FD127"/>
  <c r="EL127"/>
  <c r="DZ127"/>
  <c r="CU127"/>
  <c r="AT127"/>
  <c r="AB127"/>
  <c r="FD126"/>
  <c r="EL126"/>
  <c r="DZ126"/>
  <c r="CU126"/>
  <c r="AT126"/>
  <c r="AB126"/>
  <c r="FD125"/>
  <c r="EL125"/>
  <c r="DZ125"/>
  <c r="CU125"/>
  <c r="AT125"/>
  <c r="AB125"/>
  <c r="FD124"/>
  <c r="EL124"/>
  <c r="DZ124"/>
  <c r="CU124"/>
  <c r="AT124"/>
  <c r="AB124"/>
  <c r="FD123"/>
  <c r="EL123"/>
  <c r="DZ123"/>
  <c r="CU123"/>
  <c r="AT123"/>
  <c r="AB123"/>
  <c r="P123"/>
  <c r="EL122"/>
  <c r="CU122"/>
  <c r="AT122"/>
  <c r="AB122"/>
  <c r="EL121"/>
  <c r="CU121"/>
  <c r="AT121"/>
  <c r="AB121"/>
  <c r="EL120"/>
  <c r="CU120"/>
  <c r="AT120"/>
  <c r="AB120"/>
  <c r="EL119"/>
  <c r="CU119"/>
  <c r="AT119"/>
  <c r="AB119"/>
  <c r="EL118"/>
  <c r="CU118"/>
  <c r="AT118"/>
  <c r="AB118"/>
  <c r="EL117"/>
  <c r="CU117"/>
  <c r="AT117"/>
  <c r="AB117"/>
  <c r="EL116"/>
  <c r="CU116"/>
  <c r="AT116"/>
  <c r="AB116"/>
  <c r="EL115"/>
  <c r="CU115"/>
  <c r="AT115"/>
  <c r="AB115"/>
  <c r="EL114"/>
  <c r="CU114"/>
  <c r="AT114"/>
  <c r="AB114"/>
  <c r="EL113"/>
  <c r="CU113"/>
  <c r="AT113"/>
  <c r="AB113"/>
  <c r="EL112"/>
  <c r="CU112"/>
  <c r="AT112"/>
  <c r="AB112"/>
  <c r="EL111"/>
  <c r="CU111"/>
  <c r="AT111"/>
  <c r="AB111"/>
  <c r="P111"/>
  <c r="EL110"/>
  <c r="CU110"/>
  <c r="AT110"/>
  <c r="AB110"/>
  <c r="EL109"/>
  <c r="CU109"/>
  <c r="AT109"/>
  <c r="AB109"/>
  <c r="EL108"/>
  <c r="CU108"/>
  <c r="AT108"/>
  <c r="AB108"/>
  <c r="EL107"/>
  <c r="CU107"/>
  <c r="AT107"/>
  <c r="AB107"/>
  <c r="EL106"/>
  <c r="CU106"/>
  <c r="AT106"/>
  <c r="AB106"/>
  <c r="EL105"/>
  <c r="CU105"/>
  <c r="AT105"/>
  <c r="AB105"/>
  <c r="EL104"/>
  <c r="CU104"/>
  <c r="AT104"/>
  <c r="AB104"/>
  <c r="EL103"/>
  <c r="CU103"/>
  <c r="AT103"/>
  <c r="AB103"/>
  <c r="EL102"/>
  <c r="CU102"/>
  <c r="AT102"/>
  <c r="AB102"/>
  <c r="EL101"/>
  <c r="CU101"/>
  <c r="AT101"/>
  <c r="AB101"/>
  <c r="EL100"/>
  <c r="CU100"/>
  <c r="AT100"/>
  <c r="AB100"/>
  <c r="EL99"/>
  <c r="CU99"/>
  <c r="AB99"/>
  <c r="P99"/>
  <c r="EL98"/>
  <c r="CU98"/>
  <c r="AB98"/>
  <c r="EL97"/>
  <c r="CU97"/>
  <c r="AB97"/>
  <c r="EL96"/>
  <c r="CU96"/>
  <c r="AB96"/>
  <c r="EL95"/>
  <c r="CU95"/>
  <c r="AB95"/>
  <c r="EL94"/>
  <c r="CU94"/>
  <c r="AB94"/>
  <c r="EL93"/>
  <c r="CU93"/>
  <c r="AB93"/>
  <c r="EL92"/>
  <c r="CU92"/>
  <c r="AB92"/>
  <c r="EL91"/>
  <c r="CU91"/>
  <c r="AB91"/>
  <c r="EL90"/>
  <c r="CU90"/>
  <c r="AB90"/>
  <c r="EL89"/>
  <c r="CU89"/>
  <c r="AB89"/>
  <c r="EL88"/>
  <c r="CU88"/>
  <c r="AB88"/>
  <c r="EL87"/>
  <c r="CU87"/>
  <c r="AB87"/>
  <c r="P87"/>
  <c r="EL86"/>
  <c r="CU86"/>
  <c r="AB86"/>
  <c r="EL85"/>
  <c r="CU85"/>
  <c r="AB85"/>
  <c r="EL84"/>
  <c r="CU84"/>
  <c r="AB84"/>
  <c r="EL83"/>
  <c r="CU83"/>
  <c r="AB83"/>
  <c r="EL82"/>
  <c r="CU82"/>
  <c r="AB82"/>
  <c r="EL81"/>
  <c r="CU81"/>
  <c r="AB81"/>
  <c r="EL80"/>
  <c r="CU80"/>
  <c r="AB80"/>
  <c r="EL79"/>
  <c r="CU79"/>
  <c r="AB79"/>
  <c r="EL78"/>
  <c r="CU78"/>
  <c r="AB78"/>
  <c r="EL77"/>
  <c r="CU77"/>
  <c r="AB77"/>
  <c r="EL76"/>
  <c r="CU76"/>
  <c r="AB76"/>
  <c r="EL75"/>
  <c r="CU75"/>
  <c r="AB75"/>
  <c r="P75"/>
  <c r="EL74"/>
  <c r="CU74"/>
  <c r="AB74"/>
  <c r="EL73"/>
  <c r="CU73"/>
  <c r="AB73"/>
  <c r="EL72"/>
  <c r="CU72"/>
  <c r="AB72"/>
  <c r="EL71"/>
  <c r="CU71"/>
  <c r="AB71"/>
  <c r="EL70"/>
  <c r="CU70"/>
  <c r="AB70"/>
  <c r="EL69"/>
  <c r="CU69"/>
  <c r="AB69"/>
  <c r="EL68"/>
  <c r="CU68"/>
  <c r="AB68"/>
  <c r="EL67"/>
  <c r="CU67"/>
  <c r="AB67"/>
  <c r="EL66"/>
  <c r="CU66"/>
  <c r="AB66"/>
  <c r="EL65"/>
  <c r="CU65"/>
  <c r="AB65"/>
  <c r="EL64"/>
  <c r="CU64"/>
  <c r="AB64"/>
  <c r="CU63"/>
  <c r="AB63"/>
  <c r="P63"/>
  <c r="CU62"/>
  <c r="AB62"/>
  <c r="CU61"/>
  <c r="AB61"/>
  <c r="CU60"/>
  <c r="AB60"/>
  <c r="CU59"/>
  <c r="AB59"/>
  <c r="CU58"/>
  <c r="AB58"/>
  <c r="CU57"/>
  <c r="AB57"/>
  <c r="CU56"/>
  <c r="AB56"/>
  <c r="CU55"/>
  <c r="AB55"/>
  <c r="CU54"/>
  <c r="AB54"/>
  <c r="CU53"/>
  <c r="AB53"/>
  <c r="CU52"/>
  <c r="AB52"/>
  <c r="CU51"/>
  <c r="AB51"/>
  <c r="P51"/>
  <c r="CU50"/>
  <c r="AB50"/>
  <c r="CU49"/>
  <c r="AB49"/>
  <c r="CU48"/>
  <c r="AB48"/>
  <c r="CU47"/>
  <c r="AB47"/>
  <c r="CU46"/>
  <c r="AB46"/>
  <c r="CU45"/>
  <c r="AB45"/>
  <c r="CU44"/>
  <c r="AB44"/>
  <c r="CU43"/>
  <c r="AB43"/>
  <c r="CU42"/>
  <c r="AB42"/>
  <c r="CU41"/>
  <c r="AB41"/>
  <c r="CU40"/>
  <c r="AB40"/>
  <c r="CU39"/>
  <c r="AB39"/>
  <c r="P39"/>
  <c r="CU38"/>
  <c r="AB38"/>
  <c r="CU37"/>
  <c r="AB37"/>
  <c r="CU36"/>
  <c r="AB36"/>
  <c r="CU35"/>
  <c r="AB35"/>
  <c r="CU34"/>
  <c r="AB34"/>
  <c r="CU33"/>
  <c r="AB33"/>
  <c r="CU32"/>
  <c r="AB32"/>
  <c r="CU31"/>
  <c r="AB31"/>
  <c r="CU30"/>
  <c r="AB30"/>
  <c r="CU29"/>
  <c r="AB29"/>
  <c r="CU28"/>
  <c r="AB28"/>
  <c r="CU27"/>
  <c r="AB27"/>
  <c r="CU26"/>
  <c r="AB26"/>
  <c r="CU25"/>
  <c r="AB25"/>
  <c r="CU24"/>
  <c r="AB24"/>
  <c r="CU23"/>
  <c r="AB23"/>
  <c r="CU22"/>
  <c r="AB22"/>
  <c r="CU21"/>
  <c r="AB21"/>
  <c r="CU20"/>
  <c r="AB20"/>
  <c r="CU19"/>
  <c r="AB19"/>
  <c r="CU18"/>
  <c r="AB18"/>
  <c r="CU17"/>
  <c r="AB17"/>
  <c r="CU16"/>
  <c r="AB16"/>
  <c r="CU15"/>
  <c r="AB15"/>
  <c r="CU14"/>
  <c r="AB14"/>
  <c r="CU13"/>
  <c r="AB13"/>
  <c r="CU12"/>
  <c r="AB12"/>
  <c r="CU11"/>
  <c r="AB11"/>
  <c r="CU10"/>
  <c r="AB10"/>
  <c r="CU9"/>
  <c r="AB9"/>
  <c r="CU8"/>
  <c r="AB8"/>
  <c r="CU7"/>
  <c r="AB7"/>
  <c r="CU6"/>
  <c r="AB6"/>
  <c r="CU5"/>
  <c r="AB5"/>
  <c r="CU4"/>
  <c r="AB4"/>
</calcChain>
</file>

<file path=xl/comments1.xml><?xml version="1.0" encoding="utf-8"?>
<comments xmlns="http://schemas.openxmlformats.org/spreadsheetml/2006/main">
  <authors>
    <author>Alejandra Acevedo</author>
    <author>user7</author>
  </authors>
  <commentList>
    <comment ref="O1" authorId="0">
      <text>
        <r>
          <rPr>
            <b/>
            <sz val="8"/>
            <color indexed="81"/>
            <rFont val="Tahoma"/>
            <family val="2"/>
          </rPr>
          <t>sistema financiero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M1" authorId="0">
      <text>
        <r>
          <rPr>
            <b/>
            <sz val="8"/>
            <color indexed="81"/>
            <rFont val="Tahoma"/>
            <family val="2"/>
          </rPr>
          <t xml:space="preserve">Crédito interno
de los 6 mayores bancos comerciales universales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J2" authorId="0">
      <text>
        <r>
          <rPr>
            <b/>
            <sz val="8"/>
            <color indexed="81"/>
            <rFont val="Tahoma"/>
            <family val="2"/>
          </rPr>
          <t>no financiero</t>
        </r>
      </text>
    </comment>
    <comment ref="M2" authorId="0">
      <text>
        <r>
          <rPr>
            <b/>
            <sz val="8"/>
            <color indexed="81"/>
            <rFont val="Tahoma"/>
            <family val="2"/>
          </rPr>
          <t>no financiero</t>
        </r>
      </text>
    </comment>
    <comment ref="AR2" authorId="0">
      <text>
        <r>
          <rPr>
            <b/>
            <sz val="8"/>
            <color indexed="81"/>
            <rFont val="Tahoma"/>
            <family val="2"/>
          </rPr>
          <t>Crédito a instituciones financieras no bancarias</t>
        </r>
      </text>
    </comment>
    <comment ref="AX2" authorId="1">
      <text>
        <r>
          <rPr>
            <b/>
            <sz val="9"/>
            <color indexed="81"/>
            <rFont val="Tahoma"/>
            <family val="2"/>
          </rPr>
          <t>Activos no financieros del Banco Central y del Banco del Estado, más créditos menos obligaciones con empresas públicas, menos el patrimonio neto, más activos menos pasivos interbancarios no consolidados, más otros activos menos pasivossin clasificar.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2" authorId="0">
      <text>
        <r>
          <rPr>
            <b/>
            <sz val="8"/>
            <color indexed="81"/>
            <rFont val="Tahoma"/>
            <family val="2"/>
          </rPr>
          <t>Incluye las aportaciones y otros conceptos componentes del capital</t>
        </r>
      </text>
    </comment>
    <comment ref="CT2" authorId="0">
      <text>
        <r>
          <rPr>
            <b/>
            <sz val="8"/>
            <color indexed="81"/>
            <rFont val="Tahoma"/>
            <family val="2"/>
          </rPr>
          <t>Crédito a instituciones financieras no bancarias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L2" authorId="0">
      <text>
        <r>
          <rPr>
            <b/>
            <sz val="8"/>
            <color indexed="81"/>
            <rFont val="Tahoma"/>
            <family val="2"/>
          </rPr>
          <t>Otras instituciones financieras</t>
        </r>
      </text>
    </comment>
    <comment ref="DR2" authorId="0">
      <text>
        <r>
          <rPr>
            <b/>
            <sz val="8"/>
            <color indexed="81"/>
            <rFont val="Tahoma"/>
            <family val="2"/>
          </rPr>
          <t>instituciones financieras no bancarias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Z2" authorId="0">
      <text>
        <r>
          <rPr>
            <b/>
            <sz val="8"/>
            <color indexed="81"/>
            <rFont val="Tahoma"/>
            <family val="2"/>
          </rPr>
          <t>Instituciones financieras no bancarias</t>
        </r>
      </text>
    </comment>
    <comment ref="GL2" authorId="0">
      <text>
        <r>
          <rPr>
            <sz val="8"/>
            <color indexed="81"/>
            <rFont val="Tahoma"/>
            <family val="2"/>
          </rPr>
          <t xml:space="preserve">Letras de regulación monetaria y otras cuentas netas
</t>
        </r>
      </text>
    </comment>
    <comment ref="GR2" authorId="0">
      <text>
        <r>
          <rPr>
            <b/>
            <sz val="8"/>
            <color indexed="81"/>
            <rFont val="Tahoma"/>
            <family val="2"/>
          </rPr>
          <t xml:space="preserve">Crédito al sector financiero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Alejandra Acevedo</author>
    <author>NACEVEDO</author>
    <author>Usuario</author>
    <author>user7</author>
  </authors>
  <commentList>
    <comment ref="W4" authorId="0">
      <text>
        <r>
          <rPr>
            <b/>
            <sz val="8"/>
            <color indexed="81"/>
            <rFont val="Tahoma"/>
            <family val="2"/>
          </rPr>
          <t>Bancos comerciales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M4" authorId="1">
      <text>
        <r>
          <rPr>
            <b/>
            <sz val="8"/>
            <color indexed="81"/>
            <rFont val="Tahoma"/>
            <family val="2"/>
          </rPr>
          <t>Sistema financiero.</t>
        </r>
        <r>
          <rPr>
            <sz val="8"/>
            <color indexed="81"/>
            <rFont val="Tahoma"/>
            <family val="2"/>
          </rPr>
          <t xml:space="preserve">
Cambio de metodología de clasificación a partir de octubre de 2006.</t>
        </r>
      </text>
    </comment>
    <comment ref="EL4" authorId="2">
      <text>
        <r>
          <rPr>
            <b/>
            <sz val="8"/>
            <color indexed="81"/>
            <rFont val="Tahoma"/>
            <family val="2"/>
          </rPr>
          <t>Cartera vigente y vencida de la banca múltiple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G4" authorId="2">
      <text>
        <r>
          <rPr>
            <b/>
            <sz val="8"/>
            <color indexed="81"/>
            <rFont val="Tahoma"/>
            <family val="2"/>
          </rPr>
          <t>créditos brutos del sistema bancario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N4" authorId="0">
      <text>
        <r>
          <rPr>
            <b/>
            <sz val="8"/>
            <color indexed="81"/>
            <rFont val="Tahoma"/>
            <family val="2"/>
          </rPr>
          <t>Banca Múltiple</t>
        </r>
        <r>
          <rPr>
            <sz val="8"/>
            <color indexed="81"/>
            <rFont val="Tahoma"/>
            <family val="2"/>
          </rPr>
          <t xml:space="preserve">
Cambio en la serie a partir de 2001.</t>
        </r>
      </text>
    </comment>
    <comment ref="D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H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O5" authorId="3">
      <text>
        <r>
          <rPr>
            <sz val="9"/>
            <color indexed="81"/>
            <rFont val="Tahoma"/>
            <family val="2"/>
          </rPr>
          <t xml:space="preserve">Incluye Adelantos, Docs. A sola firma, Prendarios, Otros, Intereses y cotizxaciones devengadas  por cobrar
</t>
        </r>
      </text>
    </comment>
    <comment ref="R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5" authorId="0">
      <text>
        <r>
          <rPr>
            <b/>
            <sz val="8"/>
            <color indexed="81"/>
            <rFont val="Tahoma"/>
            <family val="2"/>
          </rPr>
          <t>Corresponde a construcción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V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
</t>
        </r>
      </text>
    </comment>
    <comment ref="Y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5" authorId="0">
      <text>
        <r>
          <rPr>
            <b/>
            <sz val="8"/>
            <color indexed="81"/>
            <rFont val="Tahoma"/>
            <family val="2"/>
          </rPr>
          <t>Corresponde a construcción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A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C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
</t>
        </r>
      </text>
    </comment>
    <comment ref="AF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G5" authorId="0">
      <text>
        <r>
          <rPr>
            <b/>
            <sz val="8"/>
            <color indexed="81"/>
            <rFont val="Tahoma"/>
            <family val="2"/>
          </rPr>
          <t>Corresponde a edificación, construcción y actividad inmobiliaria.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H5" authorId="0">
      <text>
        <r>
          <rPr>
            <b/>
            <sz val="8"/>
            <color indexed="81"/>
            <rFont val="Tahoma"/>
            <family val="2"/>
          </rPr>
          <t>Ccrédito a las personas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I5" authorId="3">
      <text>
        <r>
          <rPr>
            <b/>
            <sz val="9"/>
            <color indexed="81"/>
            <rFont val="Tahoma"/>
            <family val="2"/>
          </rPr>
          <t>Development Finance Corporation. Banco de desarrollo público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5" authorId="0">
      <text>
        <r>
          <rPr>
            <sz val="10"/>
            <color indexed="81"/>
            <rFont val="Tahoma"/>
            <family val="2"/>
          </rPr>
          <t xml:space="preserve">Incluye Agricultura, pesca, minería, transporte, sector público, inst,. Financieras privadas, servicios profesionales y otros, y misceláneos. Además de préstamos de cooperativas.
</t>
        </r>
      </text>
    </comment>
    <comment ref="AM5" authorId="0">
      <text>
        <r>
          <rPr>
            <b/>
            <sz val="8"/>
            <color indexed="81"/>
            <rFont val="Tahoma"/>
            <family val="2"/>
          </rPr>
          <t>A partir de Septiembre de 2010 se clasifica como crédito comercial los créditos empresariales y créditos a las PyMe</t>
        </r>
      </text>
    </comment>
    <comment ref="AQ5" authorId="0">
      <text>
        <r>
          <rPr>
            <b/>
            <sz val="8"/>
            <color indexed="81"/>
            <rFont val="Tahoma"/>
            <family val="2"/>
          </rPr>
          <t>Crédito debidamente garantizado al sector público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U5" authorId="0">
      <text>
        <r>
          <rPr>
            <b/>
            <sz val="8"/>
            <color indexed="81"/>
            <rFont val="Tahoma"/>
            <family val="2"/>
          </rPr>
          <t>Habitaçao, incluye, administración directa, indirecta y servicios empresariales.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V5" authorId="0">
      <text>
        <r>
          <rPr>
            <b/>
            <sz val="8"/>
            <color indexed="81"/>
            <rFont val="Tahoma"/>
            <family val="2"/>
          </rPr>
          <t>Crédito a las personas</t>
        </r>
      </text>
    </comment>
    <comment ref="AX5" authorId="0">
      <text>
        <r>
          <rPr>
            <b/>
            <sz val="8"/>
            <color indexed="81"/>
            <rFont val="Tahoma"/>
            <family val="2"/>
          </rPr>
          <t>Otros servicios, crédito rural y crédito al sector público</t>
        </r>
      </text>
    </comment>
    <comment ref="BF5" authorId="0">
      <text>
        <r>
          <rPr>
            <b/>
            <sz val="8"/>
            <color indexed="81"/>
            <rFont val="Tahoma"/>
            <family val="2"/>
          </rPr>
          <t>Total descontadas las provisiones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C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D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E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CG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CM5" authorId="0">
      <text>
        <r>
          <rPr>
            <b/>
            <sz val="8"/>
            <color indexed="81"/>
            <rFont val="Tahoma"/>
            <family val="2"/>
          </rPr>
          <t>Microempresa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P5" authorId="0">
      <text>
        <r>
          <rPr>
            <b/>
            <sz val="8"/>
            <color indexed="81"/>
            <rFont val="Tahoma"/>
            <family val="2"/>
          </rPr>
          <t>Industria manufacturera</t>
        </r>
      </text>
    </comment>
    <comment ref="CQ5" authorId="0">
      <text>
        <r>
          <rPr>
            <b/>
            <sz val="8"/>
            <color indexed="81"/>
            <rFont val="Tahoma"/>
            <family val="2"/>
          </rPr>
          <t>Crédito al comercio</t>
        </r>
      </text>
    </comment>
    <comment ref="CU5" authorId="0">
      <text>
        <r>
          <rPr>
            <b/>
            <sz val="8"/>
            <color indexed="81"/>
            <rFont val="Tahoma"/>
            <family val="2"/>
          </rPr>
          <t>Incluye créditos a los sectores: agropecuario, minería y canteras, construcción, electricidad, agua, gas y servicios,transporte, alamcenaje y comunicación, servicios, instituciones financieras y otras actividades.</t>
        </r>
      </text>
    </comment>
    <comment ref="CX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Y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Z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DB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DI5" authorId="0">
      <text>
        <r>
          <rPr>
            <b/>
            <sz val="8"/>
            <color indexed="81"/>
            <rFont val="Tahoma"/>
            <family val="2"/>
          </rPr>
          <t xml:space="preserve">Corresponde a Transferencias, otros destinos, Agricultura, ganadería, caza y pesca, Explotación de minas y canteras, Electricidad, gas y agua, construcción, Transporte y Almacenamiento, Establecimientos Financieros, Bienes Inmuebles y Servicios Prestados a las Empresas, Servicios Comunales, Sociales y Personales
</t>
        </r>
      </text>
    </comment>
    <comment ref="DL5" authorId="0">
      <text>
        <r>
          <rPr>
            <b/>
            <sz val="8"/>
            <color indexed="81"/>
            <rFont val="Tahoma"/>
            <family val="2"/>
          </rPr>
          <t>Entretención y distribución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M5" authorId="0">
      <text>
        <r>
          <rPr>
            <b/>
            <sz val="8"/>
            <color indexed="81"/>
            <rFont val="Tahoma"/>
            <family val="2"/>
          </rPr>
          <t xml:space="preserve">Hasta 2008 es Housing, a partir de 2009 corresponde a home improvements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D5" authorId="0">
      <text>
        <r>
          <rPr>
            <b/>
            <sz val="8"/>
            <color indexed="81"/>
            <rFont val="Tahoma"/>
            <family val="2"/>
          </rPr>
          <t>Créditos a relacionados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G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H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I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EK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EM5" authorId="0">
      <text>
        <r>
          <rPr>
            <b/>
            <sz val="8"/>
            <color indexed="81"/>
            <rFont val="Tahoma"/>
            <family val="2"/>
          </rPr>
          <t>Corresponde a crédito a Empresas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N5" authorId="0">
      <text>
        <r>
          <rPr>
            <b/>
            <sz val="8"/>
            <color indexed="81"/>
            <rFont val="Tahoma"/>
            <family val="2"/>
          </rPr>
          <t>Corresponde a crédito a entidades financieras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R5" authorId="0">
      <text>
        <r>
          <rPr>
            <b/>
            <sz val="8"/>
            <color indexed="81"/>
            <rFont val="Tahoma"/>
            <family val="2"/>
          </rPr>
          <t>Corresponde a crédito a entidades gubernamentales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EU5" authorId="3">
      <text>
        <r>
          <rPr>
            <b/>
            <sz val="9"/>
            <color indexed="81"/>
            <rFont val="Tahoma"/>
            <family val="2"/>
          </rPr>
          <t>De enero-abril 2008 incluye los sectores agrícolas, ganaderos e industrial.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W5" authorId="3">
      <text>
        <r>
          <rPr>
            <b/>
            <sz val="9"/>
            <color indexed="81"/>
            <rFont val="Tahoma"/>
            <family val="2"/>
          </rPr>
          <t>Incluye créditos personales y tarjetas de crédito.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Y5" authorId="3">
      <text>
        <r>
          <rPr>
            <b/>
            <sz val="9"/>
            <color indexed="81"/>
            <rFont val="Tahoma"/>
            <family val="2"/>
          </rPr>
          <t>Incluye crédito al sector agrícola, al sector ganadero, e intereses y comisiones por cobrar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E5" authorId="3">
      <text>
        <r>
          <rPr>
            <b/>
            <sz val="9"/>
            <color indexed="81"/>
            <rFont val="Tahoma"/>
            <family val="2"/>
          </rPr>
          <t>(*) A partir del Segundo Semestre del 2011, se está registrando los créditos de microcrédito bajo la actividad económica a que se destinó el desembolso.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5" authorId="3">
      <text>
        <r>
          <rPr>
            <b/>
            <sz val="9"/>
            <color indexed="81"/>
            <rFont val="Tahoma"/>
            <family val="2"/>
          </rPr>
          <t>Incluye crédito al sector público, empresas financieras y de seguros, agricultura, ganadería, pesca, minas y canteras y construcción.</t>
        </r>
      </text>
    </comment>
    <comment ref="FM5" authorId="0">
      <text>
        <r>
          <rPr>
            <b/>
            <sz val="8"/>
            <color indexed="81"/>
            <rFont val="Tahoma"/>
            <family val="2"/>
          </rPr>
          <t>Incluye créditos para Agricultura, ganadería,</t>
        </r>
        <r>
          <rPr>
            <sz val="8"/>
            <color indexed="81"/>
            <rFont val="Tahoma"/>
            <family val="2"/>
          </rPr>
          <t xml:space="preserve">
servicios, exportación y sector financiero
</t>
        </r>
      </text>
    </comment>
    <comment ref="FO5" authorId="0">
      <text>
        <r>
          <rPr>
            <b/>
            <sz val="8"/>
            <color indexed="81"/>
            <rFont val="Tahoma"/>
            <family val="2"/>
          </rPr>
          <t>Corresponde al crédito a la industria manufacturera</t>
        </r>
      </text>
    </comment>
    <comment ref="FP5" authorId="0">
      <text>
        <r>
          <rPr>
            <b/>
            <sz val="8"/>
            <color indexed="81"/>
            <rFont val="Tahoma"/>
            <family val="2"/>
          </rPr>
          <t>Corresponde al crédito al comercio</t>
        </r>
      </text>
    </comment>
    <comment ref="FT5" authorId="0">
      <text>
        <r>
          <rPr>
            <b/>
            <sz val="8"/>
            <color indexed="81"/>
            <rFont val="Tahoma"/>
            <family val="2"/>
          </rPr>
          <t xml:space="preserve"> Agricultura, Ganadería, Caza y Silvicutura, Pesca, Minería, electricidad, Gas y Agua, Construcción, Hoteles y restaurantes, Transporte, alamcenamiento y comunicaciones, Enseñanza, Servicios Financieros, Actividades inmobiliarias y alquiler,</t>
        </r>
        <r>
          <rPr>
            <sz val="8"/>
            <color indexed="81"/>
            <rFont val="Tahoma"/>
            <family val="2"/>
          </rPr>
          <t xml:space="preserve">
Administración pública y de defensa, servicios sociales y de salud, Otras actividades de servicio comunitario, Hogares privados c/ serv. doméstico y Órganos Extraterritoriales</t>
        </r>
      </text>
    </comment>
    <comment ref="FX5" authorId="3">
      <text>
        <r>
          <rPr>
            <sz val="9"/>
            <color indexed="81"/>
            <rFont val="Tahoma"/>
            <family val="2"/>
          </rPr>
          <t>ACTIVIDADES INMOBILIARIAS, ALQUILER Y ACTIVIDADES EMPRESARIALES 
 y COMPRA Y REMODELACIÓN DE VIVIENDAS</t>
        </r>
      </text>
    </comment>
    <comment ref="GD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E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F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H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GK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L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M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O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GR5" authorId="0">
      <text>
        <r>
          <rPr>
            <b/>
            <sz val="8"/>
            <color indexed="81"/>
            <rFont val="Tahoma"/>
            <family val="2"/>
          </rPr>
          <t>Incluye actividades de distribución comercial, turismo y entretención.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S5" authorId="0">
      <text>
        <r>
          <rPr>
            <b/>
            <sz val="8"/>
            <color indexed="81"/>
            <rFont val="Tahoma"/>
            <family val="2"/>
          </rPr>
          <t>Compra de propiedades y tierras y Renovación y construcción de propiedades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T5" authorId="0">
      <text>
        <r>
          <rPr>
            <b/>
            <sz val="8"/>
            <color indexed="81"/>
            <rFont val="Tahoma"/>
            <family val="2"/>
          </rPr>
          <t>Consumo de durables y Préstamos personales</t>
        </r>
      </text>
    </comment>
    <comment ref="GV5" authorId="0">
      <text>
        <r>
          <rPr>
            <sz val="10"/>
            <color indexed="81"/>
            <rFont val="Tahoma"/>
            <family val="2"/>
          </rPr>
          <t>Incluye Agricultura, pesca, transportes, servicios públicos, construcción, servicios de gobierno, servicios profesionales, servicios financieros.</t>
        </r>
      </text>
    </comment>
    <comment ref="HF5" authorId="3">
      <text>
        <r>
          <rPr>
            <b/>
            <sz val="9"/>
            <color indexed="81"/>
            <rFont val="Tahoma"/>
            <family val="2"/>
          </rPr>
          <t>Distribución, hoteles &amp; casas de huéspedes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N5" authorId="0">
      <text>
        <r>
          <rPr>
            <b/>
            <sz val="8"/>
            <color indexed="81"/>
            <rFont val="Tahoma"/>
            <family val="2"/>
          </rPr>
          <t>Construcción.</t>
        </r>
      </text>
    </comment>
    <comment ref="HO5" authorId="0">
      <text>
        <r>
          <rPr>
            <b/>
            <sz val="8"/>
            <color indexed="81"/>
            <rFont val="Tahoma"/>
            <family val="2"/>
          </rPr>
          <t>Familias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W5" authorId="0">
      <text>
        <r>
          <rPr>
            <b/>
            <sz val="8"/>
            <color indexed="81"/>
            <rFont val="Tahoma"/>
            <family val="2"/>
          </rPr>
          <t>Crédito a microempresarios</t>
        </r>
      </text>
    </comment>
    <comment ref="HX5" authorId="0">
      <text>
        <r>
          <rPr>
            <b/>
            <sz val="8"/>
            <color indexed="81"/>
            <rFont val="Tahoma"/>
            <family val="2"/>
          </rPr>
          <t>Incluye créditos agríolas y al turismo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R294" authorId="3">
      <text>
        <r>
          <rPr>
            <b/>
            <sz val="9"/>
            <color indexed="81"/>
            <rFont val="Tahoma"/>
            <family val="2"/>
          </rPr>
          <t>Cambio en la serie desde 2012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306" authorId="3">
      <text>
        <r>
          <rPr>
            <b/>
            <sz val="9"/>
            <color indexed="81"/>
            <rFont val="Tahoma"/>
            <family val="2"/>
          </rPr>
          <t>Cambio en la serie, industria-construcción.
Credito do sistema financeiro
Saldo por actividade economica</t>
        </r>
      </text>
    </comment>
    <comment ref="BF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H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I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J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  <comment ref="BK330" authorId="3">
      <text>
        <r>
          <rPr>
            <sz val="9"/>
            <color indexed="81"/>
            <rFont val="Tahoma"/>
            <family val="2"/>
          </rPr>
          <t xml:space="preserve">Aplicación de nuevas normas contables
</t>
        </r>
      </text>
    </comment>
  </commentList>
</comments>
</file>

<file path=xl/sharedStrings.xml><?xml version="1.0" encoding="utf-8"?>
<sst xmlns="http://schemas.openxmlformats.org/spreadsheetml/2006/main" count="2637" uniqueCount="685">
  <si>
    <t>TASA  DE POLÍTICA MONETARIA</t>
  </si>
  <si>
    <t>Antigua y Barbuda</t>
  </si>
  <si>
    <t>Argentina</t>
  </si>
  <si>
    <t>Bahamas</t>
  </si>
  <si>
    <t>Barbados</t>
  </si>
  <si>
    <t>Belice</t>
  </si>
  <si>
    <t>Bolivia</t>
  </si>
  <si>
    <t>Brasil</t>
  </si>
  <si>
    <t>Chile</t>
  </si>
  <si>
    <t>Colombia</t>
  </si>
  <si>
    <t>Costa Rica</t>
  </si>
  <si>
    <t>Cuba</t>
  </si>
  <si>
    <t>Dominica</t>
  </si>
  <si>
    <t>Ecuador</t>
  </si>
  <si>
    <t>El Salvador</t>
  </si>
  <si>
    <t>Granada</t>
  </si>
  <si>
    <t>Guatemala</t>
  </si>
  <si>
    <t>Guyana</t>
  </si>
  <si>
    <t>Haití</t>
  </si>
  <si>
    <t>Honduras</t>
  </si>
  <si>
    <t>Jamaica</t>
  </si>
  <si>
    <t>México</t>
  </si>
  <si>
    <t>Nicaragua</t>
  </si>
  <si>
    <t>Panamá</t>
  </si>
  <si>
    <t>Paraguay</t>
  </si>
  <si>
    <t>Perú</t>
  </si>
  <si>
    <t>República Dominicana</t>
  </si>
  <si>
    <t>Saint Kitts y Nevis</t>
  </si>
  <si>
    <t>San Vicente y las Ganadinas</t>
  </si>
  <si>
    <t>Santa Lucía</t>
  </si>
  <si>
    <t>Suriname</t>
  </si>
  <si>
    <t>Trinidad y Tabago</t>
  </si>
  <si>
    <t>Uruguay</t>
  </si>
  <si>
    <t>Venezuela</t>
  </si>
  <si>
    <t>1986-M1</t>
  </si>
  <si>
    <t>1986-M2</t>
  </si>
  <si>
    <t>1986-M3</t>
  </si>
  <si>
    <t>1986-M4</t>
  </si>
  <si>
    <t>1986-M5</t>
  </si>
  <si>
    <t>1986-M6</t>
  </si>
  <si>
    <t>1986-M7</t>
  </si>
  <si>
    <t>1986-M8</t>
  </si>
  <si>
    <t>1986-M9</t>
  </si>
  <si>
    <t>1986-M10</t>
  </si>
  <si>
    <t>1986-M11</t>
  </si>
  <si>
    <t>1986-M12</t>
  </si>
  <si>
    <t>1987-M1</t>
  </si>
  <si>
    <t>1987-M2</t>
  </si>
  <si>
    <t>1987-M3</t>
  </si>
  <si>
    <t>1987-M4</t>
  </si>
  <si>
    <t>1987-M5</t>
  </si>
  <si>
    <t>1987-M6</t>
  </si>
  <si>
    <t>1987-M7</t>
  </si>
  <si>
    <t>1987-M8</t>
  </si>
  <si>
    <t>1987-M9</t>
  </si>
  <si>
    <t>1987-M10</t>
  </si>
  <si>
    <t>1987-M11</t>
  </si>
  <si>
    <t>1987-M12</t>
  </si>
  <si>
    <t>1988-M1</t>
  </si>
  <si>
    <t>1988-M2</t>
  </si>
  <si>
    <t>1988-M3</t>
  </si>
  <si>
    <t>1988-M4</t>
  </si>
  <si>
    <t>1988-M5</t>
  </si>
  <si>
    <t>1988-M6</t>
  </si>
  <si>
    <t>1988-M7</t>
  </si>
  <si>
    <t>1988-M8</t>
  </si>
  <si>
    <t>1988-M9</t>
  </si>
  <si>
    <t>1988-M10</t>
  </si>
  <si>
    <t>1988-M11</t>
  </si>
  <si>
    <t>1988-M12</t>
  </si>
  <si>
    <t>1989-M1</t>
  </si>
  <si>
    <t>1989-M2</t>
  </si>
  <si>
    <t>1989-M3</t>
  </si>
  <si>
    <t>1989-M4</t>
  </si>
  <si>
    <t>1989-M5</t>
  </si>
  <si>
    <t>1989-M6</t>
  </si>
  <si>
    <t>1989-M7</t>
  </si>
  <si>
    <t>1989-M8</t>
  </si>
  <si>
    <t>1989-M9</t>
  </si>
  <si>
    <t>1989-M10</t>
  </si>
  <si>
    <t>1989-M11</t>
  </si>
  <si>
    <t>1989-M12</t>
  </si>
  <si>
    <t>1990-M1</t>
  </si>
  <si>
    <t>.</t>
  </si>
  <si>
    <t>1990-M2</t>
  </si>
  <si>
    <t>1990-M3</t>
  </si>
  <si>
    <t>1990-M4</t>
  </si>
  <si>
    <t>1990-M5</t>
  </si>
  <si>
    <t>1990-M6</t>
  </si>
  <si>
    <t>1990-M7</t>
  </si>
  <si>
    <t>1990-M8</t>
  </si>
  <si>
    <t>1990-M9</t>
  </si>
  <si>
    <t>1990-M10</t>
  </si>
  <si>
    <t>1990-M11</t>
  </si>
  <si>
    <t>1990-M12</t>
  </si>
  <si>
    <t>1991-M1</t>
  </si>
  <si>
    <t>1991-M2</t>
  </si>
  <si>
    <t>1991-M3</t>
  </si>
  <si>
    <t>1991-M4</t>
  </si>
  <si>
    <t>1991-M5</t>
  </si>
  <si>
    <t>1991-M6</t>
  </si>
  <si>
    <t>1991-M7</t>
  </si>
  <si>
    <t>1991-M8</t>
  </si>
  <si>
    <t>1991-M9</t>
  </si>
  <si>
    <t>1991-M10</t>
  </si>
  <si>
    <t>1991-M11</t>
  </si>
  <si>
    <t>1991-M12</t>
  </si>
  <si>
    <t>1992-M1</t>
  </si>
  <si>
    <t>1992-M2</t>
  </si>
  <si>
    <t>1992-M3</t>
  </si>
  <si>
    <t>1992-M4</t>
  </si>
  <si>
    <t>1992-M5</t>
  </si>
  <si>
    <t>1992-M6</t>
  </si>
  <si>
    <t>1992-M7</t>
  </si>
  <si>
    <t>1992-M8</t>
  </si>
  <si>
    <t>1992-M9</t>
  </si>
  <si>
    <t>1992-M10</t>
  </si>
  <si>
    <t>1992-M11</t>
  </si>
  <si>
    <t>1992-M12</t>
  </si>
  <si>
    <t>1993-M1</t>
  </si>
  <si>
    <t>1993-M2</t>
  </si>
  <si>
    <t>1993-M3</t>
  </si>
  <si>
    <t>1993-M4</t>
  </si>
  <si>
    <t>1993-M5</t>
  </si>
  <si>
    <t>1993-M6</t>
  </si>
  <si>
    <t>1993-M7</t>
  </si>
  <si>
    <t>1993-M8</t>
  </si>
  <si>
    <t>1993-M9</t>
  </si>
  <si>
    <t>1993-M10</t>
  </si>
  <si>
    <t>1993-M11</t>
  </si>
  <si>
    <t>1993-M12</t>
  </si>
  <si>
    <t>1994-M1</t>
  </si>
  <si>
    <t>1994-M2</t>
  </si>
  <si>
    <t>1994-M3</t>
  </si>
  <si>
    <t>1994-M4</t>
  </si>
  <si>
    <t>1994-M5</t>
  </si>
  <si>
    <t>1994-M6</t>
  </si>
  <si>
    <t>1994-M7</t>
  </si>
  <si>
    <t>1994-M8</t>
  </si>
  <si>
    <t>1994-M9</t>
  </si>
  <si>
    <t>1994-M10</t>
  </si>
  <si>
    <t>1994-M11</t>
  </si>
  <si>
    <t>1994-M12</t>
  </si>
  <si>
    <t>1995-M1</t>
  </si>
  <si>
    <t>1995-M2</t>
  </si>
  <si>
    <t>1995-M3</t>
  </si>
  <si>
    <t>1995-M4</t>
  </si>
  <si>
    <t>1995-M5</t>
  </si>
  <si>
    <t>1995-M6</t>
  </si>
  <si>
    <t>1995-M7</t>
  </si>
  <si>
    <t>1995-M8</t>
  </si>
  <si>
    <t>1995-M9</t>
  </si>
  <si>
    <t>1995-M10</t>
  </si>
  <si>
    <t>1995-M11</t>
  </si>
  <si>
    <t>1995-M12</t>
  </si>
  <si>
    <t>1996-M1</t>
  </si>
  <si>
    <t>1996-M2</t>
  </si>
  <si>
    <t>1996-M3</t>
  </si>
  <si>
    <t>1996-M4</t>
  </si>
  <si>
    <t>1996-M5</t>
  </si>
  <si>
    <t>1996-M6</t>
  </si>
  <si>
    <t>1996-M7</t>
  </si>
  <si>
    <t>1996-M8</t>
  </si>
  <si>
    <t>1996-M9</t>
  </si>
  <si>
    <t>1996-M10</t>
  </si>
  <si>
    <t>1996-M11</t>
  </si>
  <si>
    <t>1996-M12</t>
  </si>
  <si>
    <t>1997-M1</t>
  </si>
  <si>
    <t>1997-M2</t>
  </si>
  <si>
    <t>1997-M3</t>
  </si>
  <si>
    <t>1997-M4</t>
  </si>
  <si>
    <t>1997-M5</t>
  </si>
  <si>
    <t>1997-M6</t>
  </si>
  <si>
    <t>1997-M7</t>
  </si>
  <si>
    <t>1997-M8</t>
  </si>
  <si>
    <t>1997-M9</t>
  </si>
  <si>
    <t>1997-M10</t>
  </si>
  <si>
    <t>1997-M11</t>
  </si>
  <si>
    <t>1997-M12</t>
  </si>
  <si>
    <t>1998-M1</t>
  </si>
  <si>
    <t>1998-M2</t>
  </si>
  <si>
    <t>1998-M3</t>
  </si>
  <si>
    <t>1998-M4</t>
  </si>
  <si>
    <t>1998-M5</t>
  </si>
  <si>
    <t>1998-M6</t>
  </si>
  <si>
    <t>1998-M7</t>
  </si>
  <si>
    <t>1998-M8</t>
  </si>
  <si>
    <t>1998-M9</t>
  </si>
  <si>
    <t>1998-M10</t>
  </si>
  <si>
    <t>1998-M11</t>
  </si>
  <si>
    <t>1998-M12</t>
  </si>
  <si>
    <t>1999-M1</t>
  </si>
  <si>
    <t>1999-M2</t>
  </si>
  <si>
    <t>1999-M3</t>
  </si>
  <si>
    <t>1999-M4</t>
  </si>
  <si>
    <t>1999-M5</t>
  </si>
  <si>
    <t>1999-M6</t>
  </si>
  <si>
    <t>1999-M7</t>
  </si>
  <si>
    <t>1999-M8</t>
  </si>
  <si>
    <t>1999-M9</t>
  </si>
  <si>
    <t>1999-M10</t>
  </si>
  <si>
    <t>1999-M11</t>
  </si>
  <si>
    <t>1999-M12</t>
  </si>
  <si>
    <t>2000-M1</t>
  </si>
  <si>
    <t>2000-M2</t>
  </si>
  <si>
    <t>2000-M3</t>
  </si>
  <si>
    <t>2000-M4</t>
  </si>
  <si>
    <t>2000-M5</t>
  </si>
  <si>
    <t>2000-M6</t>
  </si>
  <si>
    <t>2000-M7</t>
  </si>
  <si>
    <t>2000-M8</t>
  </si>
  <si>
    <t>2000-M9</t>
  </si>
  <si>
    <t>2000-M10</t>
  </si>
  <si>
    <t>2000-M11</t>
  </si>
  <si>
    <t>2000-M12</t>
  </si>
  <si>
    <t>2001-M1</t>
  </si>
  <si>
    <t>2001-M2</t>
  </si>
  <si>
    <t>2001-M3</t>
  </si>
  <si>
    <t>2001-M4</t>
  </si>
  <si>
    <t>2001-M5</t>
  </si>
  <si>
    <t>2001-M6</t>
  </si>
  <si>
    <t>2001-M7</t>
  </si>
  <si>
    <t>2001-M8</t>
  </si>
  <si>
    <t>2001-M9</t>
  </si>
  <si>
    <t>2001-M10</t>
  </si>
  <si>
    <t>2001-M11</t>
  </si>
  <si>
    <t>2001-M12</t>
  </si>
  <si>
    <t>2002-M1</t>
  </si>
  <si>
    <t>2002-M2</t>
  </si>
  <si>
    <t>2002-M3</t>
  </si>
  <si>
    <t>2002-M4</t>
  </si>
  <si>
    <t>2002-M5</t>
  </si>
  <si>
    <t>2002-M6</t>
  </si>
  <si>
    <t>2002-M7</t>
  </si>
  <si>
    <t>2002-M8</t>
  </si>
  <si>
    <t>2002-M9</t>
  </si>
  <si>
    <t>2002-M10</t>
  </si>
  <si>
    <t>2002-M11</t>
  </si>
  <si>
    <t>2002-M12</t>
  </si>
  <si>
    <t>2003-M1</t>
  </si>
  <si>
    <t>2003-M2</t>
  </si>
  <si>
    <t>2003-M3</t>
  </si>
  <si>
    <t>2003-M4</t>
  </si>
  <si>
    <t>2003-M5</t>
  </si>
  <si>
    <t>2003-M6</t>
  </si>
  <si>
    <t>2003-M7</t>
  </si>
  <si>
    <t>2003-M8</t>
  </si>
  <si>
    <t>2003-M9</t>
  </si>
  <si>
    <t>2003-M10</t>
  </si>
  <si>
    <t>2003-M11</t>
  </si>
  <si>
    <t>2003-M12</t>
  </si>
  <si>
    <t>2004-M1</t>
  </si>
  <si>
    <t>2004-M2</t>
  </si>
  <si>
    <t>2004-M3</t>
  </si>
  <si>
    <t>2004-M4</t>
  </si>
  <si>
    <t>2004-M5</t>
  </si>
  <si>
    <t>2004-M6</t>
  </si>
  <si>
    <t>2004-M7</t>
  </si>
  <si>
    <t>2004-M8</t>
  </si>
  <si>
    <t>2004-M9</t>
  </si>
  <si>
    <t>2004-M10</t>
  </si>
  <si>
    <t>2004-M11</t>
  </si>
  <si>
    <t>2004-M12</t>
  </si>
  <si>
    <t>2005-M1</t>
  </si>
  <si>
    <t>2005-M2</t>
  </si>
  <si>
    <t>2005-M3</t>
  </si>
  <si>
    <t>2005-M4</t>
  </si>
  <si>
    <t>2005-M5</t>
  </si>
  <si>
    <t>2005-M6</t>
  </si>
  <si>
    <t>2005-M7</t>
  </si>
  <si>
    <t>2005-M8</t>
  </si>
  <si>
    <t>2005-M9</t>
  </si>
  <si>
    <t>2005-M10</t>
  </si>
  <si>
    <t>2005-M11</t>
  </si>
  <si>
    <t>2005-M12</t>
  </si>
  <si>
    <t>2006-M1</t>
  </si>
  <si>
    <t>2006-M2</t>
  </si>
  <si>
    <t>2006-M3</t>
  </si>
  <si>
    <t>2006-M4</t>
  </si>
  <si>
    <t>2006-M5</t>
  </si>
  <si>
    <t>2006-M6</t>
  </si>
  <si>
    <t>2006-M7</t>
  </si>
  <si>
    <t>2006-M8</t>
  </si>
  <si>
    <t>2006-M9</t>
  </si>
  <si>
    <t>2006-M10</t>
  </si>
  <si>
    <t>2006-M11</t>
  </si>
  <si>
    <t>2006-M12</t>
  </si>
  <si>
    <t>2007-ENE</t>
  </si>
  <si>
    <t>2007-FEB</t>
  </si>
  <si>
    <t>MAR</t>
  </si>
  <si>
    <t>ABR</t>
  </si>
  <si>
    <t>MAY</t>
  </si>
  <si>
    <t>JUN</t>
  </si>
  <si>
    <t>JUL</t>
  </si>
  <si>
    <t>AGO</t>
  </si>
  <si>
    <t>SEP</t>
  </si>
  <si>
    <t>5% ± 1%</t>
  </si>
  <si>
    <t>OCT</t>
  </si>
  <si>
    <t>7% ± 1%</t>
  </si>
  <si>
    <t>NOV</t>
  </si>
  <si>
    <t>7.25% ± 1%</t>
  </si>
  <si>
    <t>DIC</t>
  </si>
  <si>
    <t>Enero 2008</t>
  </si>
  <si>
    <t xml:space="preserve"> </t>
  </si>
  <si>
    <t>7.25 ± 1</t>
  </si>
  <si>
    <t>Febrero 2008</t>
  </si>
  <si>
    <t>Marzo 2008</t>
  </si>
  <si>
    <t>Abril 2008</t>
  </si>
  <si>
    <t>Mayo 2008</t>
  </si>
  <si>
    <t>Junio 2008</t>
  </si>
  <si>
    <t>Julio 2008</t>
  </si>
  <si>
    <t>Agosto 2008</t>
  </si>
  <si>
    <t>Septiembre 2008</t>
  </si>
  <si>
    <t xml:space="preserve"> Octubre 2008</t>
  </si>
  <si>
    <t>Noviembre 2008</t>
  </si>
  <si>
    <t>Diciembre 2008</t>
  </si>
  <si>
    <t>Enero 2009</t>
  </si>
  <si>
    <t>Febrero 2009</t>
  </si>
  <si>
    <t>Marzo 2009</t>
  </si>
  <si>
    <t>Abril 2009</t>
  </si>
  <si>
    <t>Mayo 2009</t>
  </si>
  <si>
    <t>Junio 2009</t>
  </si>
  <si>
    <t>Julio 2009</t>
  </si>
  <si>
    <t>Agosto 2009</t>
  </si>
  <si>
    <t>Septiembre 2009</t>
  </si>
  <si>
    <t xml:space="preserve"> Octubre 2009</t>
  </si>
  <si>
    <t>Noviembre 2009</t>
  </si>
  <si>
    <t>Diciembre 2009</t>
  </si>
  <si>
    <t>Enero 2010</t>
  </si>
  <si>
    <t>Febrero 2010</t>
  </si>
  <si>
    <t>Marzo 2010</t>
  </si>
  <si>
    <t>Abril 2010</t>
  </si>
  <si>
    <t>Mayo 2010</t>
  </si>
  <si>
    <t>Junio 2010</t>
  </si>
  <si>
    <t>Julio 2010</t>
  </si>
  <si>
    <t>Agosto 2010</t>
  </si>
  <si>
    <t>Septiembre 2010</t>
  </si>
  <si>
    <t xml:space="preserve"> Octubre 2010</t>
  </si>
  <si>
    <t>Noviembre 2010</t>
  </si>
  <si>
    <t>Diciembre 2010</t>
  </si>
  <si>
    <t>Enero 2011</t>
  </si>
  <si>
    <t>Febrero 2011</t>
  </si>
  <si>
    <t>Marzo 2011</t>
  </si>
  <si>
    <t>Abril 2011</t>
  </si>
  <si>
    <t>Mayo 2011</t>
  </si>
  <si>
    <t>Junio 2011</t>
  </si>
  <si>
    <t>Julio 2011</t>
  </si>
  <si>
    <t>Agosto 2011</t>
  </si>
  <si>
    <t>Septiembre 2011</t>
  </si>
  <si>
    <t xml:space="preserve"> Octubre 2011</t>
  </si>
  <si>
    <t>Noviembre 2011</t>
  </si>
  <si>
    <t>Diciembre 2011</t>
  </si>
  <si>
    <t>Enero 2012</t>
  </si>
  <si>
    <t>Febrero 2012</t>
  </si>
  <si>
    <t>Marzo 2012</t>
  </si>
  <si>
    <t>Abril 2012</t>
  </si>
  <si>
    <t>Mayo 2012</t>
  </si>
  <si>
    <t>Junio 2012</t>
  </si>
  <si>
    <t>Julio 2012</t>
  </si>
  <si>
    <t>Agosto 2012</t>
  </si>
  <si>
    <t>Septiembre 2012</t>
  </si>
  <si>
    <t xml:space="preserve"> Octubre 2012</t>
  </si>
  <si>
    <t>Noviembre 2012</t>
  </si>
  <si>
    <t>Diciembre 2012</t>
  </si>
  <si>
    <t>Enero 2013</t>
  </si>
  <si>
    <t>Febrero 2013</t>
  </si>
  <si>
    <t>Marzo 2013</t>
  </si>
  <si>
    <t>Abril 2013</t>
  </si>
  <si>
    <t>Mayo 2013</t>
  </si>
  <si>
    <t>Junio 2013</t>
  </si>
  <si>
    <t>Julio 2013</t>
  </si>
  <si>
    <t>Agosto 2013</t>
  </si>
  <si>
    <t>Septiembre 2013</t>
  </si>
  <si>
    <t xml:space="preserve"> Octubre 2013</t>
  </si>
  <si>
    <t>Noviembre 2013</t>
  </si>
  <si>
    <t>Diciembre 2013</t>
  </si>
  <si>
    <t>Enero 2014</t>
  </si>
  <si>
    <t>Febrero 2014</t>
  </si>
  <si>
    <t>Marzo 2014</t>
  </si>
  <si>
    <t>Abril 2014</t>
  </si>
  <si>
    <t>Mayo 2014</t>
  </si>
  <si>
    <t>Junio 2014</t>
  </si>
  <si>
    <t>Julio 2014</t>
  </si>
  <si>
    <t>Agosto 2014</t>
  </si>
  <si>
    <t>Septiembre 2014</t>
  </si>
  <si>
    <t xml:space="preserve"> Octubre 2014</t>
  </si>
  <si>
    <t>Noviembre 2014</t>
  </si>
  <si>
    <t>Diciembre 2014</t>
  </si>
  <si>
    <t>Enero 2015</t>
  </si>
  <si>
    <t>Febrero 2015</t>
  </si>
  <si>
    <t>Marzo 2015</t>
  </si>
  <si>
    <t>Abril 2015</t>
  </si>
  <si>
    <t>Mayo 2015</t>
  </si>
  <si>
    <t>Junio 2015</t>
  </si>
  <si>
    <t>Julio 2015</t>
  </si>
  <si>
    <t>Agosto 2015</t>
  </si>
  <si>
    <t>-</t>
  </si>
  <si>
    <t>Septiembre 2015</t>
  </si>
  <si>
    <t xml:space="preserve"> Octubre 2015</t>
  </si>
  <si>
    <t>Noviembre 2015</t>
  </si>
  <si>
    <t>Diciembre 2015</t>
  </si>
  <si>
    <t>Enero 2016</t>
  </si>
  <si>
    <t>...</t>
  </si>
  <si>
    <t>Febrero 2016</t>
  </si>
  <si>
    <t>Marzo 2016</t>
  </si>
  <si>
    <t>n.d</t>
  </si>
  <si>
    <t>Abril 2016</t>
  </si>
  <si>
    <t>Mayo 2016</t>
  </si>
  <si>
    <t>Junio 2016</t>
  </si>
  <si>
    <t>Julio 2016</t>
  </si>
  <si>
    <t>Agosto 2016</t>
  </si>
  <si>
    <t>Septiembre 2016</t>
  </si>
  <si>
    <t xml:space="preserve"> Octubre 2016</t>
  </si>
  <si>
    <t>Noviembre 2016</t>
  </si>
  <si>
    <t>Diciembre 2016</t>
  </si>
  <si>
    <t>2004 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</si>
  <si>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</si>
  <si>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</si>
  <si>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</si>
  <si>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</si>
  <si>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</si>
  <si>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</si>
  <si>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</si>
  <si>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</si>
  <si>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</si>
  <si>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</si>
  <si>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</si>
  <si>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2005 Enero</t>
  </si>
  <si>
    <t>2006 Enero</t>
  </si>
  <si>
    <t>2007 Enero</t>
  </si>
  <si>
    <t>2008Enero</t>
  </si>
  <si>
    <t>2009Enero</t>
  </si>
  <si>
    <t>2010Enero</t>
  </si>
  <si>
    <t>2011 Enero</t>
  </si>
  <si>
    <t>2012 Enero</t>
  </si>
  <si>
    <t>2013 Enero</t>
  </si>
  <si>
    <t>2014 Enero</t>
  </si>
  <si>
    <t>2015 Enero</t>
  </si>
  <si>
    <t>2016 Enero</t>
  </si>
  <si>
    <t>2017 Enero</t>
  </si>
  <si>
    <t>2018 Enero</t>
  </si>
  <si>
    <t>Meta de inflación</t>
  </si>
  <si>
    <t>BRASIL</t>
  </si>
  <si>
    <t>CHILE</t>
  </si>
  <si>
    <t>COLOMBIA</t>
  </si>
  <si>
    <t>MÉXICO</t>
  </si>
  <si>
    <t>PERÚ</t>
  </si>
  <si>
    <t>Límite superior meta de inflación</t>
  </si>
  <si>
    <t>Límite inferior meta de inflación</t>
  </si>
  <si>
    <t>CRÉDITO INTERNO</t>
  </si>
  <si>
    <r>
      <rPr>
        <b/>
        <sz val="8"/>
        <rFont val="Helvetica"/>
        <family val="2"/>
      </rPr>
      <t xml:space="preserve">Antigua y Barbuda </t>
    </r>
    <r>
      <rPr>
        <sz val="8"/>
        <rFont val="Helvetica"/>
        <family val="2"/>
      </rPr>
      <t>(mills. de dólares del Caribe Oriental)</t>
    </r>
  </si>
  <si>
    <r>
      <rPr>
        <b/>
        <sz val="8"/>
        <rFont val="Helvetica"/>
        <family val="2"/>
      </rPr>
      <t xml:space="preserve">Argentina </t>
    </r>
    <r>
      <rPr>
        <sz val="8"/>
        <rFont val="Helvetica"/>
        <family val="2"/>
      </rPr>
      <t>(millones de pesos)</t>
    </r>
  </si>
  <si>
    <r>
      <rPr>
        <b/>
        <sz val="8"/>
        <rFont val="Helvetica"/>
        <family val="2"/>
      </rPr>
      <t xml:space="preserve">Bahamas </t>
    </r>
    <r>
      <rPr>
        <sz val="8"/>
        <rFont val="Helvetica"/>
        <family val="2"/>
      </rPr>
      <t>(mills. De dólares de Bahamas)</t>
    </r>
  </si>
  <si>
    <r>
      <rPr>
        <b/>
        <sz val="8"/>
        <rFont val="Helvetica"/>
        <family val="2"/>
      </rPr>
      <t xml:space="preserve">Barbados </t>
    </r>
    <r>
      <rPr>
        <sz val="8"/>
        <rFont val="Helvetica"/>
        <family val="2"/>
      </rPr>
      <t>(mills. De dólares de Barbados)</t>
    </r>
  </si>
  <si>
    <r>
      <rPr>
        <b/>
        <sz val="8"/>
        <rFont val="Helvetica"/>
        <family val="2"/>
      </rPr>
      <t xml:space="preserve">Belice </t>
    </r>
    <r>
      <rPr>
        <sz val="8"/>
        <rFont val="Helvetica"/>
        <family val="2"/>
      </rPr>
      <t>(mills. de dólares de Belice)</t>
    </r>
  </si>
  <si>
    <r>
      <rPr>
        <b/>
        <sz val="8"/>
        <rFont val="Helvetica"/>
        <family val="2"/>
      </rPr>
      <t>Bolivia</t>
    </r>
    <r>
      <rPr>
        <sz val="8"/>
        <rFont val="Helvetica"/>
        <family val="2"/>
      </rPr>
      <t xml:space="preserve"> (mills. de bolivianos)</t>
    </r>
  </si>
  <si>
    <r>
      <rPr>
        <b/>
        <sz val="8"/>
        <rFont val="Helvetica"/>
        <family val="2"/>
      </rPr>
      <t>Brasil</t>
    </r>
    <r>
      <rPr>
        <sz val="8"/>
        <rFont val="Helvetica"/>
        <family val="2"/>
      </rPr>
      <t xml:space="preserve"> (mills. De reales)</t>
    </r>
  </si>
  <si>
    <r>
      <rPr>
        <b/>
        <sz val="8"/>
        <rFont val="Helvetica"/>
        <family val="2"/>
      </rPr>
      <t>Chile</t>
    </r>
    <r>
      <rPr>
        <sz val="8"/>
        <rFont val="Helvetica"/>
        <family val="2"/>
      </rPr>
      <t xml:space="preserve"> (millones de pesos)</t>
    </r>
  </si>
  <si>
    <r>
      <rPr>
        <b/>
        <sz val="8"/>
        <rFont val="Helvetica"/>
        <family val="2"/>
      </rPr>
      <t>Colombia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</si>
  <si>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Costa Rica</t>
    </r>
    <r>
      <rPr>
        <sz val="8"/>
        <rFont val="Helvetica"/>
        <family val="2"/>
      </rPr>
      <t xml:space="preserve"> (mills. De colones)</t>
    </r>
  </si>
  <si>
    <r>
      <rPr>
        <b/>
        <sz val="8"/>
        <rFont val="Helvetica"/>
        <family val="2"/>
      </rPr>
      <t>Dominica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</si>
  <si>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Ecuador</t>
    </r>
    <r>
      <rPr>
        <sz val="8"/>
        <rFont val="Helvetica"/>
        <family val="2"/>
      </rPr>
      <t xml:space="preserve"> (mills. De dólares)</t>
    </r>
  </si>
  <si>
    <r>
      <rPr>
        <b/>
        <sz val="8"/>
        <rFont val="Helvetica"/>
        <family val="2"/>
      </rPr>
      <t xml:space="preserve">El Salvador </t>
    </r>
    <r>
      <rPr>
        <sz val="8"/>
        <rFont val="Helvetica"/>
        <family val="2"/>
      </rPr>
      <t>(mills. de dólares)</t>
    </r>
  </si>
  <si>
    <r>
      <rPr>
        <b/>
        <sz val="8"/>
        <rFont val="Helvetica"/>
        <family val="2"/>
      </rPr>
      <t xml:space="preserve">Granada </t>
    </r>
    <r>
      <rPr>
        <sz val="8"/>
        <rFont val="Helvetica"/>
        <family val="2"/>
      </rPr>
      <t>(mills. de dólares del Caribe oriental)</t>
    </r>
  </si>
  <si>
    <r>
      <rPr>
        <b/>
        <sz val="8"/>
        <rFont val="Helvetica"/>
        <family val="2"/>
      </rPr>
      <t>Guatemala</t>
    </r>
    <r>
      <rPr>
        <sz val="8"/>
        <rFont val="Helvetica"/>
        <family val="2"/>
      </rPr>
      <t xml:space="preserve"> (mills. de quetzales)</t>
    </r>
  </si>
  <si>
    <r>
      <rPr>
        <b/>
        <sz val="8"/>
        <rFont val="Helvetica"/>
        <family val="2"/>
      </rPr>
      <t xml:space="preserve">Guyana </t>
    </r>
    <r>
      <rPr>
        <sz val="8"/>
        <rFont val="Helvetica"/>
        <family val="2"/>
      </rPr>
      <t>(mills.de $G)</t>
    </r>
  </si>
  <si>
    <r>
      <rPr>
        <b/>
        <sz val="8"/>
        <rFont val="Helvetica"/>
        <family val="2"/>
      </rPr>
      <t>Haití</t>
    </r>
    <r>
      <rPr>
        <sz val="8"/>
        <rFont val="Helvetica"/>
        <family val="2"/>
      </rPr>
      <t xml:space="preserve"> (mills. De gourdes)</t>
    </r>
  </si>
  <si>
    <r>
      <rPr>
        <b/>
        <sz val="8"/>
        <rFont val="Helvetica"/>
        <family val="2"/>
      </rPr>
      <t>Honduras</t>
    </r>
    <r>
      <rPr>
        <sz val="8"/>
        <rFont val="Helvetica"/>
        <family val="2"/>
      </rPr>
      <t xml:space="preserve"> (mills. de lempiras)</t>
    </r>
  </si>
  <si>
    <r>
      <t>Jamaica</t>
    </r>
    <r>
      <rPr>
        <b/>
        <sz val="8"/>
        <color rgb="FFFF0000"/>
        <rFont val="Helvetica"/>
        <family val="2"/>
      </rPr>
      <t xml:space="preserve"> </t>
    </r>
    <r>
      <rPr>
        <sz val="8"/>
        <rFont val="Helvetica"/>
        <family val="2"/>
      </rPr>
      <t>(mills de dólares de Jamaica)</t>
    </r>
  </si>
  <si>
    <r>
      <rPr>
        <b/>
        <sz val="8"/>
        <rFont val="Helvetica"/>
        <family val="2"/>
      </rPr>
      <t>México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</si>
  <si>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Nicaragua</t>
    </r>
    <r>
      <rPr>
        <sz val="8"/>
        <rFont val="Helvetica"/>
        <family val="2"/>
      </rPr>
      <t xml:space="preserve"> (mills. De córdobas)</t>
    </r>
  </si>
  <si>
    <t>OECO</t>
  </si>
  <si>
    <r>
      <rPr>
        <b/>
        <sz val="8"/>
        <rFont val="Helvetica"/>
        <family val="2"/>
      </rPr>
      <t>Panamá</t>
    </r>
    <r>
      <rPr>
        <sz val="8"/>
        <rFont val="Helvetica"/>
        <family val="2"/>
      </rPr>
      <t xml:space="preserve"> (mills. de balboas)</t>
    </r>
  </si>
  <si>
    <r>
      <rPr>
        <b/>
        <sz val="8"/>
        <rFont val="Helvetica"/>
        <family val="2"/>
      </rPr>
      <t>Paraguay</t>
    </r>
    <r>
      <rPr>
        <sz val="8"/>
        <rFont val="Helvetica"/>
        <family val="2"/>
      </rPr>
      <t xml:space="preserve"> (mills. de guaraníes) </t>
    </r>
  </si>
  <si>
    <r>
      <rPr>
        <b/>
        <sz val="8"/>
        <rFont val="Helvetica"/>
        <family val="2"/>
      </rPr>
      <t>Perú</t>
    </r>
    <r>
      <rPr>
        <sz val="8"/>
        <rFont val="Helvetica"/>
        <family val="2"/>
      </rPr>
      <t xml:space="preserve"> (mills. de nuevos soles)</t>
    </r>
  </si>
  <si>
    <t>Rep. Dominicana (mills. de RD$)</t>
  </si>
  <si>
    <r>
      <rPr>
        <b/>
        <sz val="8"/>
        <rFont val="Helvetica"/>
        <family val="2"/>
      </rPr>
      <t>San Kitts y Nevis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</si>
  <si>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San Vicente y las Granadinas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</si>
  <si>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Santa Lucia</t>
    </r>
    <r>
      <rPr>
        <sz val="8"/>
        <rFont val="Helvetica"/>
        <family val="2"/>
      </rPr>
      <t xml:space="preserve"> (mills. de dólares del Caribe Oriental)</t>
    </r>
  </si>
  <si>
    <r>
      <rPr>
        <b/>
        <sz val="8"/>
        <rFont val="Helvetica"/>
        <family val="2"/>
      </rPr>
      <t>Surinam</t>
    </r>
    <r>
      <rPr>
        <sz val="8"/>
        <rFont val="Helvetica"/>
        <family val="2"/>
      </rPr>
      <t xml:space="preserve"> (mills. De dólares de Suriname)</t>
    </r>
  </si>
  <si>
    <r>
      <rPr>
        <b/>
        <sz val="8"/>
        <rFont val="Helvetica"/>
        <family val="2"/>
      </rPr>
      <t>Trinidad y Tabago</t>
    </r>
    <r>
      <rPr>
        <sz val="8"/>
        <rFont val="Helvetica"/>
        <family val="2"/>
      </rPr>
      <t xml:space="preserve"> (mills. de dólares de Trinidad y Tabago)</t>
    </r>
  </si>
  <si>
    <r>
      <rPr>
        <b/>
        <sz val="8"/>
        <rFont val="Helvetica"/>
        <family val="2"/>
      </rPr>
      <t>Uruguay</t>
    </r>
    <r>
      <rPr>
        <sz val="8"/>
        <rFont val="Helvetica"/>
        <family val="2"/>
      </rPr>
      <t xml:space="preserve"> (mills. de pesos)</t>
    </r>
  </si>
  <si>
    <r>
      <rPr>
        <b/>
        <sz val="8"/>
        <rFont val="Helvetica"/>
        <family val="2"/>
      </rPr>
      <t>República Bolivariana de Venezuela</t>
    </r>
    <r>
      <rPr>
        <sz val="8"/>
        <rFont val="Helvetica"/>
        <family val="2"/>
      </rPr>
      <t xml:space="preserve"> (mills. de bolívares)</t>
    </r>
  </si>
  <si>
    <t>TOTAL</t>
  </si>
  <si>
    <t>Al sector público</t>
  </si>
  <si>
    <t>Gobierno</t>
  </si>
  <si>
    <t>Otros</t>
  </si>
  <si>
    <t>al sector privado</t>
  </si>
  <si>
    <t>Total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</si>
  <si>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</si>
  <si>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</si>
  <si>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</si>
  <si>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</si>
  <si>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</si>
  <si>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</si>
  <si>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</si>
  <si>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</si>
  <si>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</si>
  <si>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</si>
  <si>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</si>
  <si>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</si>
  <si>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288.5</t>
  </si>
  <si>
    <t>336.0</t>
  </si>
  <si>
    <t>409.5</t>
  </si>
  <si>
    <t>CARTERA VENCIDA</t>
  </si>
  <si>
    <t>% del total de la cartera</t>
  </si>
  <si>
    <t>Rep. Dominicana</t>
  </si>
  <si>
    <t>2007-M1</t>
  </si>
  <si>
    <t>2007-M2</t>
  </si>
  <si>
    <t>2007-M3</t>
  </si>
  <si>
    <t>2007-M4</t>
  </si>
  <si>
    <t>2007-M5</t>
  </si>
  <si>
    <t>2007-M6</t>
  </si>
  <si>
    <t>2007-M7</t>
  </si>
  <si>
    <t>2007-M8</t>
  </si>
  <si>
    <t>2007-M9</t>
  </si>
  <si>
    <t>2007-M10</t>
  </si>
  <si>
    <t>2007-M11</t>
  </si>
  <si>
    <t>2007-M12</t>
  </si>
  <si>
    <t>2008-M1</t>
  </si>
  <si>
    <t>2008-M2</t>
  </si>
  <si>
    <t>2008-M3</t>
  </si>
  <si>
    <t>2008-M4</t>
  </si>
  <si>
    <t>2008-M5</t>
  </si>
  <si>
    <t>2008-M6</t>
  </si>
  <si>
    <t>2008-M7</t>
  </si>
  <si>
    <t>2008-M8</t>
  </si>
  <si>
    <t>2008-M9</t>
  </si>
  <si>
    <t>2008-M10</t>
  </si>
  <si>
    <t>2008-M11</t>
  </si>
  <si>
    <t>2008-M12</t>
  </si>
  <si>
    <t>2009-M1</t>
  </si>
  <si>
    <t>2009-M2</t>
  </si>
  <si>
    <t>2009-M3</t>
  </si>
  <si>
    <t>2009-M4</t>
  </si>
  <si>
    <t>2009-M5</t>
  </si>
  <si>
    <t>2009-M6</t>
  </si>
  <si>
    <t>2009-M7</t>
  </si>
  <si>
    <t>2009-M8</t>
  </si>
  <si>
    <t>2009-M9</t>
  </si>
  <si>
    <t>2009-M10</t>
  </si>
  <si>
    <t>2009-M11</t>
  </si>
  <si>
    <t>2009-M12</t>
  </si>
  <si>
    <t>2010-M1</t>
  </si>
  <si>
    <t>2010-M2</t>
  </si>
  <si>
    <t>2010-M3</t>
  </si>
  <si>
    <t>2010-M4</t>
  </si>
  <si>
    <t>2010-M5</t>
  </si>
  <si>
    <t>2010-M6</t>
  </si>
  <si>
    <t>2010-M7</t>
  </si>
  <si>
    <t>2010-M8</t>
  </si>
  <si>
    <t>2010-M9</t>
  </si>
  <si>
    <t>2010-M10</t>
  </si>
  <si>
    <t>2010-M11</t>
  </si>
  <si>
    <t>2010-M12</t>
  </si>
  <si>
    <t>2011-M1</t>
  </si>
  <si>
    <t>2011-M2</t>
  </si>
  <si>
    <t>2011-M3</t>
  </si>
  <si>
    <t>2011-M4</t>
  </si>
  <si>
    <t>2011-M5</t>
  </si>
  <si>
    <t>2011-M6</t>
  </si>
  <si>
    <t>2011-M7</t>
  </si>
  <si>
    <t>2011-M8</t>
  </si>
  <si>
    <t>2011-M9</t>
  </si>
  <si>
    <t>2011-M10</t>
  </si>
  <si>
    <t>2011-M11</t>
  </si>
  <si>
    <t>2011-M12</t>
  </si>
  <si>
    <t>2012-M1</t>
  </si>
  <si>
    <t>2012-M2</t>
  </si>
  <si>
    <t>2012-M3</t>
  </si>
  <si>
    <t>2012-M4</t>
  </si>
  <si>
    <t>2012-M5</t>
  </si>
  <si>
    <t>2012-M6</t>
  </si>
  <si>
    <t>2012-M7</t>
  </si>
  <si>
    <t>2012-M8</t>
  </si>
  <si>
    <t>2012-M9</t>
  </si>
  <si>
    <t>2012-M10</t>
  </si>
  <si>
    <t>2012-M11</t>
  </si>
  <si>
    <t>2012-M12</t>
  </si>
  <si>
    <t>2013-M1</t>
  </si>
  <si>
    <t>2013-M2</t>
  </si>
  <si>
    <t>2013-M3</t>
  </si>
  <si>
    <t>2013-M4</t>
  </si>
  <si>
    <t>2013-M5</t>
  </si>
  <si>
    <t>2013-M6</t>
  </si>
  <si>
    <t>2013-M7</t>
  </si>
  <si>
    <t>2013-M8</t>
  </si>
  <si>
    <t>2013-M9</t>
  </si>
  <si>
    <t>2013-M10</t>
  </si>
  <si>
    <t>2013-M11</t>
  </si>
  <si>
    <t>2013-M12</t>
  </si>
  <si>
    <t>2014-M1</t>
  </si>
  <si>
    <t>2014-M2</t>
  </si>
  <si>
    <t>2014-M3</t>
  </si>
  <si>
    <t>2014-M4</t>
  </si>
  <si>
    <t>2014-M5</t>
  </si>
  <si>
    <t>2014-M6</t>
  </si>
  <si>
    <t>2014-M7</t>
  </si>
  <si>
    <t>2014-M8</t>
  </si>
  <si>
    <t>2014-M9</t>
  </si>
  <si>
    <t>2014-M10</t>
  </si>
  <si>
    <t>2014-M11</t>
  </si>
  <si>
    <t>2014-M12</t>
  </si>
  <si>
    <t>2015-M1</t>
  </si>
  <si>
    <t>2015-M2</t>
  </si>
  <si>
    <t>2015-M3</t>
  </si>
  <si>
    <t>2015-M4</t>
  </si>
  <si>
    <t>2015-M5</t>
  </si>
  <si>
    <t>2015-M6</t>
  </si>
  <si>
    <t>2015-M7</t>
  </si>
  <si>
    <t>2015-M8</t>
  </si>
  <si>
    <t>2015-M9</t>
  </si>
  <si>
    <t>2015-M10</t>
  </si>
  <si>
    <t>2015-M11</t>
  </si>
  <si>
    <t>2015-M12</t>
  </si>
  <si>
    <t>2016-M1</t>
  </si>
  <si>
    <t>2016-M2</t>
  </si>
  <si>
    <t>2016-M3</t>
  </si>
  <si>
    <t>2016-M4</t>
  </si>
  <si>
    <t>2016-M5</t>
  </si>
  <si>
    <t>2016-M6</t>
  </si>
  <si>
    <t>2016-M7</t>
  </si>
  <si>
    <t>2016-M8</t>
  </si>
  <si>
    <t>2016-M9</t>
  </si>
  <si>
    <t>2016-M10</t>
  </si>
  <si>
    <t>2016-M11</t>
  </si>
  <si>
    <t>2016-M12</t>
  </si>
  <si>
    <t>Crédito bancario</t>
  </si>
  <si>
    <t>millones de unidades de moneda nacional</t>
  </si>
  <si>
    <t>Bolivia (millones de dólares)</t>
  </si>
  <si>
    <r>
      <t xml:space="preserve">Ecuador </t>
    </r>
    <r>
      <rPr>
        <sz val="11"/>
        <rFont val="Calibri"/>
        <family val="2"/>
        <scheme val="minor"/>
      </rPr>
      <t>(miles de dólares)</t>
    </r>
  </si>
  <si>
    <r>
      <t>El Salvador</t>
    </r>
    <r>
      <rPr>
        <sz val="11"/>
        <rFont val="Calibri"/>
        <family val="2"/>
        <scheme val="minor"/>
      </rPr>
      <t xml:space="preserve"> (millones de dólares)</t>
    </r>
  </si>
  <si>
    <t>Haití (millones de gourdes)</t>
  </si>
  <si>
    <t>Honduras (millones de lempiras)</t>
  </si>
  <si>
    <t>México (Banca múltiple)</t>
  </si>
  <si>
    <t>Nicaragua (millones de córdobas)</t>
  </si>
  <si>
    <r>
      <t>Perú</t>
    </r>
    <r>
      <rPr>
        <sz val="11"/>
        <rFont val="Calibri"/>
        <family val="2"/>
        <scheme val="minor"/>
      </rPr>
      <t xml:space="preserve"> (Banca múltiple)</t>
    </r>
  </si>
  <si>
    <r>
      <t xml:space="preserve">República Dominicana </t>
    </r>
    <r>
      <rPr>
        <sz val="11"/>
        <rFont val="Calibri"/>
        <family val="2"/>
        <scheme val="minor"/>
      </rPr>
      <t>(millones de pesos)</t>
    </r>
  </si>
  <si>
    <t>San Vicente y las Granadinas</t>
  </si>
  <si>
    <r>
      <t xml:space="preserve">Uruguay </t>
    </r>
    <r>
      <rPr>
        <sz val="11"/>
        <rFont val="Calibri"/>
        <family val="2"/>
        <scheme val="minor"/>
      </rPr>
      <t>(Millones de dólares)</t>
    </r>
  </si>
  <si>
    <r>
      <t xml:space="preserve">Venezuela </t>
    </r>
    <r>
      <rPr>
        <sz val="11"/>
        <rFont val="Calibri"/>
        <family val="2"/>
        <scheme val="minor"/>
      </rPr>
      <t>(miles de bolívares)</t>
    </r>
  </si>
  <si>
    <t xml:space="preserve"> Total</t>
  </si>
  <si>
    <t xml:space="preserve"> Industrial</t>
  </si>
  <si>
    <t xml:space="preserve"> Comercial</t>
  </si>
  <si>
    <t xml:space="preserve"> Hipotecario</t>
  </si>
  <si>
    <t>Consumo</t>
  </si>
  <si>
    <t>Microcrédito</t>
  </si>
  <si>
    <t>Industrial</t>
  </si>
  <si>
    <t>Comercial</t>
  </si>
  <si>
    <t>Hipotecario</t>
  </si>
  <si>
    <t>Crédito Total</t>
  </si>
  <si>
    <t>Crédito Industrial</t>
  </si>
  <si>
    <t>Crédito Comercial</t>
  </si>
  <si>
    <t>Crédito Hipotecario</t>
  </si>
  <si>
    <t>Crédito de Consumo</t>
  </si>
  <si>
    <t>Ene-1988</t>
  </si>
  <si>
    <t>Ene-1989</t>
  </si>
  <si>
    <t>Ene-1990</t>
  </si>
  <si>
    <t>Ene-1991</t>
  </si>
  <si>
    <t>Ene-1992</t>
  </si>
  <si>
    <t>Ene-1993</t>
  </si>
  <si>
    <t>Ene-1994</t>
  </si>
  <si>
    <t>Ene-1995</t>
  </si>
  <si>
    <t>Ene-1996</t>
  </si>
  <si>
    <t>Ene-1997</t>
  </si>
  <si>
    <t>Ene-1998</t>
  </si>
  <si>
    <t>Ene-1999</t>
  </si>
  <si>
    <t>Ene-2000</t>
  </si>
  <si>
    <t>Ene-2001</t>
  </si>
  <si>
    <t>Ene-2002</t>
  </si>
  <si>
    <t>Ene-2003</t>
  </si>
  <si>
    <t>Ene-2004</t>
  </si>
  <si>
    <t>Ene-2005</t>
  </si>
  <si>
    <t>Ene-2006</t>
  </si>
  <si>
    <t>Ene-2007</t>
  </si>
  <si>
    <t>Ene-2008</t>
  </si>
  <si>
    <t>Ene-2009</t>
  </si>
  <si>
    <t>Ene-2010</t>
  </si>
  <si>
    <t>Ene-2011</t>
  </si>
  <si>
    <t>Ene-2012</t>
  </si>
  <si>
    <t>Ene-2013</t>
  </si>
  <si>
    <t>Ene-2014</t>
  </si>
  <si>
    <t>Ene-2015</t>
  </si>
  <si>
    <t>Ene-2016</t>
  </si>
  <si>
    <t>Desde 2013 faltan datos de las cooperativas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</si>
</sst>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#,##0.0"/>
    <numFmt numFmtId="165" formatCode="0.0"/>
    <numFmt numFmtId="166" formatCode="_(* #,##0.0_);_(* \(#,##0.0\);_(* &quot;-&quot;??_);_(@_)"/>
    <numFmt numFmtId="167" formatCode="#,##0.000"/>
    <numFmt numFmtId="168" formatCode="#,##0.0000"/>
    <numFmt numFmtId="169" formatCode="#\ ###\ ##0\ 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indexed="48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indexed="10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3366FF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8"/>
      <name val="Helvetica"/>
      <family val="2"/>
    </font>
    <font>
      <sz val="8"/>
      <name val="Helvetica"/>
      <family val="2"/>
    </font>
    <font>
      <b/>
      <sz val="8"/>
      <color rgb="FFFF0000"/>
      <name val="Helvetica"/>
      <family val="2"/>
    </font>
    <font>
      <b/>
      <sz val="8"/>
      <color indexed="10"/>
      <name val="Helvetica"/>
      <family val="2"/>
    </font>
    <font>
      <sz val="8"/>
      <color rgb="FFFF0000"/>
      <name val="Helvetica"/>
      <family val="2"/>
    </font>
    <font>
      <sz val="8"/>
      <color indexed="18"/>
      <name val="Helvetica"/>
      <family val="2"/>
    </font>
    <font>
      <sz val="8"/>
      <color indexed="62"/>
      <name val="Helvetica"/>
      <family val="2"/>
    </font>
    <font>
      <sz val="8"/>
      <color indexed="10"/>
      <name val="Helvetica"/>
      <family val="2"/>
    </font>
    <font>
      <sz val="10"/>
      <name val="Courier"/>
      <family val="3"/>
    </font>
    <font>
      <sz val="8"/>
      <color indexed="8"/>
      <name val="Helvetica"/>
      <family val="2"/>
    </font>
    <font>
      <sz val="8"/>
      <color indexed="29"/>
      <name val="Helvetic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7"/>
      <name val="Arial"/>
      <family val="2"/>
    </font>
    <font>
      <sz val="10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1" fillId="0" borderId="0"/>
  </cellStyleXfs>
  <cellXfs count="233">
    <xf numFmtId="0" fontId="0" fillId="0" borderId="0" xfId="0"/>
    <xf numFmtId="49" fontId="3" fillId="0" borderId="0" xfId="2" applyNumberFormat="1" applyFont="1" applyFill="1" applyAlignment="1">
      <alignment horizontal="left"/>
    </xf>
    <xf numFmtId="49" fontId="4" fillId="0" borderId="0" xfId="2" applyNumberFormat="1" applyFont="1" applyFill="1" applyAlignment="1">
      <alignment horizontal="right"/>
    </xf>
    <xf numFmtId="49" fontId="5" fillId="0" borderId="0" xfId="2" applyNumberFormat="1" applyFont="1" applyFill="1" applyAlignment="1">
      <alignment horizontal="right"/>
    </xf>
    <xf numFmtId="49" fontId="6" fillId="0" borderId="0" xfId="2" applyNumberFormat="1" applyFont="1" applyFill="1" applyAlignment="1">
      <alignment horizontal="right"/>
    </xf>
    <xf numFmtId="49" fontId="5" fillId="0" borderId="0" xfId="2" applyNumberFormat="1" applyFont="1" applyFill="1" applyAlignment="1">
      <alignment horizontal="left"/>
    </xf>
    <xf numFmtId="49" fontId="5" fillId="0" borderId="0" xfId="2" applyNumberFormat="1" applyFont="1" applyFill="1" applyAlignment="1">
      <alignment horizontal="left" wrapText="1"/>
    </xf>
    <xf numFmtId="49" fontId="4" fillId="0" borderId="0" xfId="2" applyNumberFormat="1" applyFont="1" applyFill="1" applyAlignment="1">
      <alignment horizontal="center" wrapText="1"/>
    </xf>
    <xf numFmtId="49" fontId="7" fillId="0" borderId="0" xfId="2" applyNumberFormat="1" applyFont="1" applyFill="1" applyAlignment="1">
      <alignment horizontal="center" wrapText="1"/>
    </xf>
    <xf numFmtId="49" fontId="5" fillId="0" borderId="0" xfId="2" applyNumberFormat="1" applyFont="1" applyFill="1" applyAlignment="1">
      <alignment horizontal="center" wrapText="1"/>
    </xf>
    <xf numFmtId="0" fontId="5" fillId="0" borderId="0" xfId="2" applyFont="1" applyFill="1" applyAlignment="1"/>
    <xf numFmtId="49" fontId="8" fillId="0" borderId="0" xfId="2" applyNumberFormat="1" applyFont="1" applyFill="1" applyAlignment="1">
      <alignment horizontal="center"/>
    </xf>
    <xf numFmtId="4" fontId="4" fillId="0" borderId="1" xfId="2" applyNumberFormat="1" applyFont="1" applyFill="1" applyBorder="1" applyAlignment="1">
      <alignment horizontal="right"/>
    </xf>
    <xf numFmtId="4" fontId="5" fillId="0" borderId="1" xfId="2" applyNumberFormat="1" applyFont="1" applyFill="1" applyBorder="1" applyAlignment="1">
      <alignment horizontal="right"/>
    </xf>
    <xf numFmtId="0" fontId="5" fillId="0" borderId="0" xfId="2" applyFont="1" applyFill="1" applyAlignment="1">
      <alignment horizontal="right"/>
    </xf>
    <xf numFmtId="49" fontId="4" fillId="0" borderId="1" xfId="2" applyNumberFormat="1" applyFont="1" applyFill="1" applyBorder="1" applyAlignment="1">
      <alignment horizontal="center" wrapText="1"/>
    </xf>
    <xf numFmtId="49" fontId="7" fillId="0" borderId="1" xfId="2" applyNumberFormat="1" applyFont="1" applyFill="1" applyBorder="1" applyAlignment="1">
      <alignment horizontal="center" wrapText="1"/>
    </xf>
    <xf numFmtId="0" fontId="5" fillId="0" borderId="1" xfId="2" applyFont="1" applyFill="1" applyBorder="1" applyAlignment="1"/>
    <xf numFmtId="2" fontId="4" fillId="0" borderId="0" xfId="2" applyNumberFormat="1" applyFont="1" applyFill="1" applyAlignment="1">
      <alignment horizontal="right" wrapText="1"/>
    </xf>
    <xf numFmtId="2" fontId="4" fillId="0" borderId="1" xfId="2" applyNumberFormat="1" applyFont="1" applyFill="1" applyBorder="1" applyAlignment="1">
      <alignment horizontal="right" wrapText="1"/>
    </xf>
    <xf numFmtId="2" fontId="4" fillId="0" borderId="0" xfId="2" applyNumberFormat="1" applyFont="1" applyFill="1" applyBorder="1" applyAlignment="1">
      <alignment horizontal="right" wrapText="1"/>
    </xf>
    <xf numFmtId="4" fontId="4" fillId="0" borderId="0" xfId="2" applyNumberFormat="1" applyFont="1" applyFill="1" applyAlignment="1">
      <alignment horizontal="right"/>
    </xf>
    <xf numFmtId="4" fontId="5" fillId="0" borderId="0" xfId="2" applyNumberFormat="1" applyFont="1" applyFill="1" applyAlignment="1">
      <alignment horizontal="right"/>
    </xf>
    <xf numFmtId="49" fontId="5" fillId="0" borderId="1" xfId="2" applyNumberFormat="1" applyFont="1" applyFill="1" applyBorder="1" applyAlignment="1">
      <alignment horizontal="left"/>
    </xf>
    <xf numFmtId="49" fontId="5" fillId="0" borderId="0" xfId="2" applyNumberFormat="1" applyFont="1" applyFill="1" applyBorder="1" applyAlignment="1">
      <alignment horizontal="left"/>
    </xf>
    <xf numFmtId="4" fontId="4" fillId="0" borderId="0" xfId="2" applyNumberFormat="1" applyFont="1" applyFill="1" applyBorder="1" applyAlignment="1">
      <alignment horizontal="right"/>
    </xf>
    <xf numFmtId="4" fontId="5" fillId="0" borderId="0" xfId="2" applyNumberFormat="1" applyFont="1" applyFill="1" applyBorder="1" applyAlignment="1">
      <alignment horizontal="right"/>
    </xf>
    <xf numFmtId="3" fontId="4" fillId="0" borderId="0" xfId="2" applyNumberFormat="1" applyFont="1" applyFill="1" applyAlignment="1">
      <alignment horizontal="right"/>
    </xf>
    <xf numFmtId="4" fontId="9" fillId="0" borderId="0" xfId="2" applyNumberFormat="1" applyFont="1" applyFill="1" applyAlignment="1">
      <alignment horizontal="right"/>
    </xf>
    <xf numFmtId="4" fontId="9" fillId="0" borderId="0" xfId="2" applyNumberFormat="1" applyFont="1" applyFill="1" applyBorder="1" applyAlignment="1">
      <alignment horizontal="right"/>
    </xf>
    <xf numFmtId="2" fontId="10" fillId="0" borderId="1" xfId="0" applyNumberFormat="1" applyFont="1" applyFill="1" applyBorder="1"/>
    <xf numFmtId="0" fontId="5" fillId="0" borderId="0" xfId="3" applyFont="1" applyFill="1" applyAlignment="1"/>
    <xf numFmtId="4" fontId="4" fillId="0" borderId="0" xfId="3" applyNumberFormat="1" applyFont="1" applyFill="1" applyBorder="1" applyAlignment="1">
      <alignment horizontal="right"/>
    </xf>
    <xf numFmtId="4" fontId="4" fillId="0" borderId="0" xfId="3" applyNumberFormat="1" applyFont="1" applyFill="1" applyAlignment="1">
      <alignment horizontal="right"/>
    </xf>
    <xf numFmtId="2" fontId="4" fillId="0" borderId="0" xfId="3" applyNumberFormat="1" applyFont="1" applyFill="1" applyAlignment="1">
      <alignment horizontal="right" wrapText="1"/>
    </xf>
    <xf numFmtId="4" fontId="5" fillId="0" borderId="0" xfId="3" applyNumberFormat="1" applyFont="1" applyFill="1" applyAlignment="1">
      <alignment horizontal="right"/>
    </xf>
    <xf numFmtId="2" fontId="9" fillId="0" borderId="0" xfId="0" applyNumberFormat="1" applyFont="1" applyFill="1"/>
    <xf numFmtId="2" fontId="10" fillId="0" borderId="0" xfId="0" applyNumberFormat="1" applyFont="1" applyFill="1"/>
    <xf numFmtId="4" fontId="5" fillId="0" borderId="0" xfId="3" applyNumberFormat="1" applyFont="1" applyFill="1" applyBorder="1" applyAlignment="1">
      <alignment horizontal="right"/>
    </xf>
    <xf numFmtId="0" fontId="5" fillId="0" borderId="1" xfId="3" applyFont="1" applyFill="1" applyBorder="1" applyAlignment="1"/>
    <xf numFmtId="4" fontId="4" fillId="0" borderId="1" xfId="3" applyNumberFormat="1" applyFont="1" applyFill="1" applyBorder="1" applyAlignment="1">
      <alignment horizontal="right"/>
    </xf>
    <xf numFmtId="2" fontId="4" fillId="0" borderId="1" xfId="3" applyNumberFormat="1" applyFont="1" applyFill="1" applyBorder="1" applyAlignment="1">
      <alignment horizontal="right" wrapText="1"/>
    </xf>
    <xf numFmtId="4" fontId="5" fillId="0" borderId="1" xfId="3" applyNumberFormat="1" applyFont="1" applyFill="1" applyBorder="1" applyAlignment="1">
      <alignment horizontal="right"/>
    </xf>
    <xf numFmtId="4" fontId="10" fillId="0" borderId="0" xfId="3" applyNumberFormat="1" applyFont="1" applyFill="1" applyBorder="1" applyAlignment="1">
      <alignment horizontal="right"/>
    </xf>
    <xf numFmtId="0" fontId="4" fillId="0" borderId="0" xfId="3" applyFont="1" applyFill="1" applyBorder="1" applyAlignment="1">
      <alignment horizontal="right"/>
    </xf>
    <xf numFmtId="2" fontId="10" fillId="0" borderId="0" xfId="0" applyNumberFormat="1" applyFont="1" applyFill="1" applyBorder="1"/>
    <xf numFmtId="2" fontId="4" fillId="0" borderId="0" xfId="3" applyNumberFormat="1" applyFont="1" applyFill="1" applyBorder="1" applyAlignment="1">
      <alignment horizontal="right" wrapText="1"/>
    </xf>
    <xf numFmtId="2" fontId="9" fillId="0" borderId="1" xfId="0" applyNumberFormat="1" applyFont="1" applyFill="1" applyBorder="1"/>
    <xf numFmtId="2" fontId="5" fillId="0" borderId="0" xfId="3" applyNumberFormat="1" applyFont="1" applyFill="1" applyBorder="1" applyAlignment="1">
      <alignment horizontal="left"/>
    </xf>
    <xf numFmtId="0" fontId="5" fillId="0" borderId="0" xfId="3" applyFont="1" applyFill="1" applyAlignment="1">
      <alignment horizontal="right"/>
    </xf>
    <xf numFmtId="164" fontId="5" fillId="0" borderId="0" xfId="3" applyNumberFormat="1" applyFont="1" applyFill="1" applyAlignment="1">
      <alignment horizontal="right"/>
    </xf>
    <xf numFmtId="4" fontId="4" fillId="0" borderId="2" xfId="3" applyNumberFormat="1" applyFont="1" applyFill="1" applyBorder="1" applyAlignment="1">
      <alignment horizontal="right"/>
    </xf>
    <xf numFmtId="4" fontId="5" fillId="0" borderId="2" xfId="3" applyNumberFormat="1" applyFont="1" applyFill="1" applyBorder="1" applyAlignment="1">
      <alignment horizontal="right"/>
    </xf>
    <xf numFmtId="164" fontId="4" fillId="0" borderId="0" xfId="2" applyNumberFormat="1" applyFont="1" applyFill="1" applyAlignment="1">
      <alignment horizontal="right"/>
    </xf>
    <xf numFmtId="0" fontId="11" fillId="0" borderId="0" xfId="0" applyFont="1" applyFill="1"/>
    <xf numFmtId="0" fontId="11" fillId="0" borderId="3" xfId="0" applyFont="1" applyFill="1" applyBorder="1"/>
    <xf numFmtId="0" fontId="11" fillId="0" borderId="0" xfId="0" applyFont="1" applyFill="1" applyBorder="1"/>
    <xf numFmtId="0" fontId="12" fillId="0" borderId="4" xfId="0" applyFont="1" applyFill="1" applyBorder="1"/>
    <xf numFmtId="165" fontId="11" fillId="0" borderId="0" xfId="0" applyNumberFormat="1" applyFont="1" applyFill="1"/>
    <xf numFmtId="4" fontId="11" fillId="0" borderId="0" xfId="0" applyNumberFormat="1" applyFont="1" applyFill="1"/>
    <xf numFmtId="4" fontId="11" fillId="0" borderId="3" xfId="0" applyNumberFormat="1" applyFont="1" applyFill="1" applyBorder="1"/>
    <xf numFmtId="2" fontId="11" fillId="0" borderId="0" xfId="0" applyNumberFormat="1" applyFont="1" applyFill="1"/>
    <xf numFmtId="0" fontId="12" fillId="0" borderId="4" xfId="0" applyFont="1" applyFill="1" applyBorder="1" applyAlignment="1">
      <alignment wrapText="1"/>
    </xf>
    <xf numFmtId="49" fontId="13" fillId="0" borderId="0" xfId="2" applyNumberFormat="1" applyFont="1" applyFill="1" applyAlignment="1">
      <alignment horizontal="left"/>
    </xf>
    <xf numFmtId="3" fontId="13" fillId="0" borderId="0" xfId="2" applyNumberFormat="1" applyFont="1" applyFill="1" applyAlignment="1">
      <alignment horizontal="right" wrapText="1"/>
    </xf>
    <xf numFmtId="49" fontId="14" fillId="0" borderId="3" xfId="2" applyNumberFormat="1" applyFont="1" applyFill="1" applyBorder="1" applyAlignment="1">
      <alignment horizontal="center"/>
    </xf>
    <xf numFmtId="3" fontId="14" fillId="0" borderId="0" xfId="2" applyNumberFormat="1" applyFont="1" applyFill="1" applyAlignment="1">
      <alignment horizontal="center"/>
    </xf>
    <xf numFmtId="49" fontId="14" fillId="0" borderId="0" xfId="2" applyNumberFormat="1" applyFont="1" applyFill="1" applyAlignment="1">
      <alignment horizontal="center"/>
    </xf>
    <xf numFmtId="0" fontId="14" fillId="0" borderId="0" xfId="2" applyFont="1" applyFill="1" applyAlignment="1">
      <alignment horizontal="center"/>
    </xf>
    <xf numFmtId="2" fontId="14" fillId="0" borderId="0" xfId="2" applyNumberFormat="1" applyFont="1" applyFill="1" applyBorder="1" applyAlignment="1">
      <alignment horizontal="left"/>
    </xf>
    <xf numFmtId="3" fontId="14" fillId="0" borderId="0" xfId="2" applyNumberFormat="1" applyFont="1" applyFill="1" applyAlignment="1">
      <alignment horizontal="right" wrapText="1"/>
    </xf>
    <xf numFmtId="0" fontId="13" fillId="0" borderId="3" xfId="2" applyFont="1" applyFill="1" applyBorder="1" applyAlignment="1">
      <alignment horizontal="center" wrapText="1"/>
    </xf>
    <xf numFmtId="49" fontId="13" fillId="0" borderId="0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Border="1" applyAlignment="1">
      <alignment horizontal="center" wrapText="1"/>
    </xf>
    <xf numFmtId="49" fontId="14" fillId="0" borderId="3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Alignment="1">
      <alignment horizontal="center" wrapText="1"/>
    </xf>
    <xf numFmtId="0" fontId="14" fillId="0" borderId="0" xfId="2" applyFont="1" applyFill="1" applyAlignment="1">
      <alignment horizontal="center" wrapText="1"/>
    </xf>
    <xf numFmtId="0" fontId="16" fillId="0" borderId="4" xfId="2" applyFont="1" applyFill="1" applyBorder="1"/>
    <xf numFmtId="3" fontId="14" fillId="0" borderId="6" xfId="2" applyNumberFormat="1" applyFont="1" applyFill="1" applyBorder="1" applyAlignment="1">
      <alignment horizontal="right" wrapText="1"/>
    </xf>
    <xf numFmtId="49" fontId="14" fillId="0" borderId="7" xfId="2" applyNumberFormat="1" applyFont="1" applyFill="1" applyBorder="1" applyAlignment="1">
      <alignment horizontal="center"/>
    </xf>
    <xf numFmtId="49" fontId="14" fillId="0" borderId="4" xfId="2" applyNumberFormat="1" applyFont="1" applyFill="1" applyBorder="1" applyAlignment="1">
      <alignment horizontal="center"/>
    </xf>
    <xf numFmtId="0" fontId="14" fillId="0" borderId="7" xfId="2" applyFont="1" applyFill="1" applyBorder="1"/>
    <xf numFmtId="49" fontId="17" fillId="0" borderId="7" xfId="2" applyNumberFormat="1" applyFont="1" applyFill="1" applyBorder="1" applyAlignment="1"/>
    <xf numFmtId="49" fontId="14" fillId="0" borderId="4" xfId="2" applyNumberFormat="1" applyFont="1" applyFill="1" applyBorder="1" applyAlignment="1">
      <alignment horizontal="center" wrapText="1"/>
    </xf>
    <xf numFmtId="49" fontId="14" fillId="0" borderId="7" xfId="2" applyNumberFormat="1" applyFont="1" applyFill="1" applyBorder="1" applyAlignment="1">
      <alignment horizontal="center" wrapText="1"/>
    </xf>
    <xf numFmtId="0" fontId="14" fillId="0" borderId="4" xfId="2" applyFont="1" applyFill="1" applyBorder="1"/>
    <xf numFmtId="0" fontId="18" fillId="0" borderId="0" xfId="2" applyFont="1" applyFill="1" applyAlignment="1">
      <alignment horizontal="right"/>
    </xf>
    <xf numFmtId="3" fontId="18" fillId="0" borderId="0" xfId="2" applyNumberFormat="1" applyFont="1" applyFill="1"/>
    <xf numFmtId="3" fontId="18" fillId="0" borderId="3" xfId="2" applyNumberFormat="1" applyFont="1" applyFill="1" applyBorder="1"/>
    <xf numFmtId="3" fontId="18" fillId="0" borderId="0" xfId="2" applyNumberFormat="1" applyFont="1" applyFill="1" applyBorder="1"/>
    <xf numFmtId="3" fontId="18" fillId="0" borderId="3" xfId="2" applyNumberFormat="1" applyFont="1" applyFill="1" applyBorder="1" applyAlignment="1">
      <alignment horizontal="right"/>
    </xf>
    <xf numFmtId="3" fontId="18" fillId="0" borderId="0" xfId="2" applyNumberFormat="1" applyFont="1" applyFill="1" applyBorder="1" applyAlignment="1">
      <alignment horizontal="right"/>
    </xf>
    <xf numFmtId="3" fontId="19" fillId="0" borderId="0" xfId="2" applyNumberFormat="1" applyFont="1" applyFill="1"/>
    <xf numFmtId="0" fontId="18" fillId="0" borderId="0" xfId="2" applyFont="1" applyFill="1"/>
    <xf numFmtId="3" fontId="14" fillId="0" borderId="0" xfId="2" applyNumberFormat="1" applyFont="1" applyFill="1" applyBorder="1"/>
    <xf numFmtId="3" fontId="19" fillId="0" borderId="3" xfId="2" applyNumberFormat="1" applyFont="1" applyFill="1" applyBorder="1"/>
    <xf numFmtId="3" fontId="14" fillId="0" borderId="3" xfId="2" applyNumberFormat="1" applyFont="1" applyFill="1" applyBorder="1"/>
    <xf numFmtId="0" fontId="19" fillId="0" borderId="0" xfId="2" applyFont="1" applyFill="1"/>
    <xf numFmtId="3" fontId="19" fillId="0" borderId="0" xfId="2" applyNumberFormat="1" applyFont="1" applyFill="1" applyBorder="1"/>
    <xf numFmtId="3" fontId="19" fillId="0" borderId="3" xfId="2" applyNumberFormat="1" applyFont="1" applyFill="1" applyBorder="1" applyAlignment="1">
      <alignment horizontal="right"/>
    </xf>
    <xf numFmtId="3" fontId="19" fillId="0" borderId="0" xfId="2" applyNumberFormat="1" applyFont="1" applyFill="1" applyBorder="1" applyAlignment="1">
      <alignment horizontal="right"/>
    </xf>
    <xf numFmtId="3" fontId="18" fillId="0" borderId="5" xfId="2" applyNumberFormat="1" applyFont="1" applyFill="1" applyBorder="1"/>
    <xf numFmtId="2" fontId="14" fillId="0" borderId="1" xfId="2" applyNumberFormat="1" applyFont="1" applyFill="1" applyBorder="1" applyAlignment="1">
      <alignment horizontal="left"/>
    </xf>
    <xf numFmtId="3" fontId="18" fillId="0" borderId="8" xfId="2" applyNumberFormat="1" applyFont="1" applyFill="1" applyBorder="1"/>
    <xf numFmtId="3" fontId="18" fillId="0" borderId="9" xfId="2" applyNumberFormat="1" applyFont="1" applyFill="1" applyBorder="1"/>
    <xf numFmtId="3" fontId="18" fillId="0" borderId="1" xfId="2" applyNumberFormat="1" applyFont="1" applyFill="1" applyBorder="1"/>
    <xf numFmtId="3" fontId="18" fillId="0" borderId="9" xfId="2" applyNumberFormat="1" applyFont="1" applyFill="1" applyBorder="1" applyAlignment="1">
      <alignment horizontal="right"/>
    </xf>
    <xf numFmtId="3" fontId="18" fillId="0" borderId="1" xfId="2" applyNumberFormat="1" applyFont="1" applyFill="1" applyBorder="1" applyAlignment="1">
      <alignment horizontal="right"/>
    </xf>
    <xf numFmtId="3" fontId="18" fillId="0" borderId="4" xfId="2" applyNumberFormat="1" applyFont="1" applyFill="1" applyBorder="1"/>
    <xf numFmtId="3" fontId="18" fillId="0" borderId="7" xfId="2" applyNumberFormat="1" applyFont="1" applyFill="1" applyBorder="1"/>
    <xf numFmtId="3" fontId="20" fillId="0" borderId="0" xfId="2" applyNumberFormat="1" applyFont="1" applyFill="1"/>
    <xf numFmtId="0" fontId="20" fillId="0" borderId="0" xfId="2" applyFont="1" applyFill="1"/>
    <xf numFmtId="164" fontId="18" fillId="0" borderId="0" xfId="2" applyNumberFormat="1" applyFont="1" applyFill="1"/>
    <xf numFmtId="3" fontId="22" fillId="0" borderId="0" xfId="4" applyNumberFormat="1" applyFont="1"/>
    <xf numFmtId="3" fontId="20" fillId="0" borderId="0" xfId="2" applyNumberFormat="1" applyFont="1" applyFill="1" applyBorder="1" applyAlignment="1">
      <alignment horizontal="right"/>
    </xf>
    <xf numFmtId="3" fontId="20" fillId="0" borderId="3" xfId="2" applyNumberFormat="1" applyFont="1" applyFill="1" applyBorder="1"/>
    <xf numFmtId="3" fontId="20" fillId="0" borderId="0" xfId="2" applyNumberFormat="1" applyFont="1" applyFill="1" applyBorder="1"/>
    <xf numFmtId="3" fontId="20" fillId="0" borderId="3" xfId="2" applyNumberFormat="1" applyFont="1" applyFill="1" applyBorder="1" applyAlignment="1">
      <alignment horizontal="right"/>
    </xf>
    <xf numFmtId="3" fontId="18" fillId="0" borderId="7" xfId="2" applyNumberFormat="1" applyFont="1" applyFill="1" applyBorder="1" applyAlignment="1">
      <alignment horizontal="right"/>
    </xf>
    <xf numFmtId="3" fontId="18" fillId="0" borderId="4" xfId="2" applyNumberFormat="1" applyFont="1" applyFill="1" applyBorder="1" applyAlignment="1">
      <alignment horizontal="right"/>
    </xf>
    <xf numFmtId="3" fontId="23" fillId="0" borderId="3" xfId="2" applyNumberFormat="1" applyFont="1" applyFill="1" applyBorder="1"/>
    <xf numFmtId="3" fontId="23" fillId="0" borderId="0" xfId="2" applyNumberFormat="1" applyFont="1" applyFill="1" applyBorder="1"/>
    <xf numFmtId="3" fontId="23" fillId="0" borderId="3" xfId="2" applyNumberFormat="1" applyFont="1" applyFill="1" applyBorder="1" applyAlignment="1">
      <alignment horizontal="right"/>
    </xf>
    <xf numFmtId="3" fontId="23" fillId="0" borderId="0" xfId="2" applyNumberFormat="1" applyFont="1" applyFill="1" applyBorder="1" applyAlignment="1">
      <alignment horizontal="right"/>
    </xf>
    <xf numFmtId="3" fontId="18" fillId="0" borderId="5" xfId="2" applyNumberFormat="1" applyFont="1" applyFill="1" applyBorder="1" applyAlignment="1">
      <alignment horizontal="right"/>
    </xf>
    <xf numFmtId="164" fontId="18" fillId="0" borderId="3" xfId="2" applyNumberFormat="1" applyFont="1" applyFill="1" applyBorder="1"/>
    <xf numFmtId="0" fontId="18" fillId="0" borderId="8" xfId="2" applyFont="1" applyFill="1" applyBorder="1"/>
    <xf numFmtId="0" fontId="18" fillId="0" borderId="3" xfId="2" applyFont="1" applyFill="1" applyBorder="1"/>
    <xf numFmtId="0" fontId="18" fillId="0" borderId="0" xfId="2" applyFont="1" applyFill="1" applyBorder="1"/>
    <xf numFmtId="3" fontId="18" fillId="0" borderId="6" xfId="2" applyNumberFormat="1" applyFont="1" applyFill="1" applyBorder="1"/>
    <xf numFmtId="0" fontId="18" fillId="0" borderId="1" xfId="2" applyFont="1" applyFill="1" applyBorder="1"/>
    <xf numFmtId="3" fontId="18" fillId="2" borderId="0" xfId="2" applyNumberFormat="1" applyFont="1" applyFill="1"/>
    <xf numFmtId="0" fontId="18" fillId="0" borderId="1" xfId="2" applyFont="1" applyFill="1" applyBorder="1" applyAlignment="1">
      <alignment horizontal="right"/>
    </xf>
    <xf numFmtId="3" fontId="17" fillId="0" borderId="3" xfId="2" applyNumberFormat="1" applyFont="1" applyFill="1" applyBorder="1"/>
    <xf numFmtId="3" fontId="17" fillId="0" borderId="0" xfId="2" applyNumberFormat="1" applyFont="1" applyFill="1" applyBorder="1"/>
    <xf numFmtId="0" fontId="18" fillId="0" borderId="0" xfId="2" applyFont="1" applyFill="1" applyBorder="1" applyAlignment="1">
      <alignment horizontal="right"/>
    </xf>
    <xf numFmtId="3" fontId="18" fillId="0" borderId="2" xfId="2" applyNumberFormat="1" applyFont="1" applyFill="1" applyBorder="1"/>
    <xf numFmtId="3" fontId="18" fillId="0" borderId="10" xfId="2" applyNumberFormat="1" applyFont="1" applyFill="1" applyBorder="1"/>
    <xf numFmtId="49" fontId="12" fillId="0" borderId="0" xfId="2" applyNumberFormat="1" applyFont="1" applyFill="1" applyAlignment="1">
      <alignment horizontal="left"/>
    </xf>
    <xf numFmtId="0" fontId="11" fillId="0" borderId="0" xfId="2" applyFont="1"/>
    <xf numFmtId="3" fontId="11" fillId="0" borderId="0" xfId="2" applyNumberFormat="1" applyFont="1"/>
    <xf numFmtId="49" fontId="11" fillId="0" borderId="0" xfId="2" applyNumberFormat="1" applyFont="1" applyFill="1" applyAlignment="1">
      <alignment horizontal="left"/>
    </xf>
    <xf numFmtId="0" fontId="11" fillId="0" borderId="0" xfId="2" applyFont="1" applyAlignment="1">
      <alignment horizontal="center"/>
    </xf>
    <xf numFmtId="49" fontId="11" fillId="0" borderId="0" xfId="2" applyNumberFormat="1" applyFont="1" applyFill="1" applyAlignment="1">
      <alignment horizontal="left" wrapText="1"/>
    </xf>
    <xf numFmtId="0" fontId="11" fillId="0" borderId="0" xfId="2" applyFont="1" applyFill="1"/>
    <xf numFmtId="164" fontId="11" fillId="0" borderId="0" xfId="2" applyNumberFormat="1" applyFont="1"/>
    <xf numFmtId="49" fontId="11" fillId="0" borderId="0" xfId="2" applyNumberFormat="1" applyFont="1" applyFill="1" applyBorder="1" applyAlignment="1">
      <alignment horizontal="left"/>
    </xf>
    <xf numFmtId="164" fontId="11" fillId="0" borderId="0" xfId="2" applyNumberFormat="1" applyFont="1" applyBorder="1"/>
    <xf numFmtId="49" fontId="11" fillId="0" borderId="1" xfId="2" applyNumberFormat="1" applyFont="1" applyFill="1" applyBorder="1" applyAlignment="1">
      <alignment horizontal="left"/>
    </xf>
    <xf numFmtId="164" fontId="11" fillId="0" borderId="1" xfId="2" applyNumberFormat="1" applyFont="1" applyBorder="1"/>
    <xf numFmtId="49" fontId="11" fillId="0" borderId="4" xfId="2" applyNumberFormat="1" applyFont="1" applyFill="1" applyBorder="1" applyAlignment="1">
      <alignment horizontal="left"/>
    </xf>
    <xf numFmtId="164" fontId="11" fillId="0" borderId="4" xfId="2" applyNumberFormat="1" applyFont="1" applyBorder="1"/>
    <xf numFmtId="164" fontId="11" fillId="3" borderId="0" xfId="2" applyNumberFormat="1" applyFont="1" applyFill="1"/>
    <xf numFmtId="164" fontId="11" fillId="3" borderId="4" xfId="2" applyNumberFormat="1" applyFont="1" applyFill="1" applyBorder="1"/>
    <xf numFmtId="165" fontId="11" fillId="0" borderId="0" xfId="2" applyNumberFormat="1" applyFont="1"/>
    <xf numFmtId="164" fontId="11" fillId="4" borderId="4" xfId="2" applyNumberFormat="1" applyFont="1" applyFill="1" applyBorder="1"/>
    <xf numFmtId="164" fontId="11" fillId="4" borderId="0" xfId="2" applyNumberFormat="1" applyFont="1" applyFill="1"/>
    <xf numFmtId="165" fontId="11" fillId="0" borderId="4" xfId="2" applyNumberFormat="1" applyFont="1" applyBorder="1"/>
    <xf numFmtId="164" fontId="11" fillId="5" borderId="0" xfId="2" applyNumberFormat="1" applyFont="1" applyFill="1"/>
    <xf numFmtId="164" fontId="11" fillId="5" borderId="4" xfId="2" applyNumberFormat="1" applyFont="1" applyFill="1" applyBorder="1"/>
    <xf numFmtId="164" fontId="11" fillId="0" borderId="0" xfId="2" applyNumberFormat="1" applyFont="1" applyFill="1" applyAlignment="1">
      <alignment horizontal="right"/>
    </xf>
    <xf numFmtId="164" fontId="11" fillId="0" borderId="0" xfId="2" applyNumberFormat="1" applyFont="1" applyFill="1"/>
    <xf numFmtId="164" fontId="11" fillId="0" borderId="4" xfId="2" applyNumberFormat="1" applyFont="1" applyFill="1" applyBorder="1"/>
    <xf numFmtId="164" fontId="11" fillId="0" borderId="1" xfId="2" applyNumberFormat="1" applyFont="1" applyFill="1" applyBorder="1"/>
    <xf numFmtId="165" fontId="11" fillId="0" borderId="0" xfId="2" applyNumberFormat="1" applyFont="1" applyBorder="1"/>
    <xf numFmtId="3" fontId="11" fillId="0" borderId="0" xfId="2" applyNumberFormat="1" applyFont="1" applyBorder="1"/>
    <xf numFmtId="0" fontId="11" fillId="0" borderId="0" xfId="2" applyFont="1" applyBorder="1"/>
    <xf numFmtId="166" fontId="11" fillId="0" borderId="0" xfId="1" applyNumberFormat="1" applyFont="1"/>
    <xf numFmtId="4" fontId="11" fillId="0" borderId="0" xfId="2" applyNumberFormat="1" applyFont="1"/>
    <xf numFmtId="4" fontId="11" fillId="0" borderId="0" xfId="2" applyNumberFormat="1" applyFont="1" applyBorder="1"/>
    <xf numFmtId="4" fontId="11" fillId="0" borderId="1" xfId="2" applyNumberFormat="1" applyFont="1" applyBorder="1"/>
    <xf numFmtId="165" fontId="11" fillId="0" borderId="1" xfId="2" applyNumberFormat="1" applyFont="1" applyBorder="1"/>
    <xf numFmtId="167" fontId="11" fillId="0" borderId="0" xfId="2" applyNumberFormat="1" applyFont="1"/>
    <xf numFmtId="167" fontId="11" fillId="0" borderId="1" xfId="2" applyNumberFormat="1" applyFont="1" applyBorder="1"/>
    <xf numFmtId="164" fontId="11" fillId="0" borderId="0" xfId="2" applyNumberFormat="1" applyFont="1" applyAlignment="1">
      <alignment horizontal="right"/>
    </xf>
    <xf numFmtId="168" fontId="11" fillId="0" borderId="0" xfId="2" applyNumberFormat="1" applyFont="1"/>
    <xf numFmtId="164" fontId="11" fillId="0" borderId="1" xfId="2" applyNumberFormat="1" applyFont="1" applyBorder="1" applyAlignment="1">
      <alignment horizontal="right"/>
    </xf>
    <xf numFmtId="166" fontId="11" fillId="0" borderId="1" xfId="1" applyNumberFormat="1" applyFont="1" applyBorder="1"/>
    <xf numFmtId="49" fontId="28" fillId="0" borderId="0" xfId="2" applyNumberFormat="1" applyFont="1" applyFill="1" applyBorder="1"/>
    <xf numFmtId="0" fontId="29" fillId="0" borderId="0" xfId="0" applyFont="1" applyFill="1" applyBorder="1"/>
    <xf numFmtId="3" fontId="29" fillId="0" borderId="0" xfId="0" applyNumberFormat="1" applyFont="1" applyFill="1" applyBorder="1"/>
    <xf numFmtId="0" fontId="30" fillId="0" borderId="0" xfId="0" applyFont="1" applyFill="1" applyBorder="1"/>
    <xf numFmtId="0" fontId="29" fillId="0" borderId="0" xfId="0" applyNumberFormat="1" applyFont="1" applyFill="1" applyBorder="1"/>
    <xf numFmtId="2" fontId="28" fillId="0" borderId="0" xfId="0" applyNumberFormat="1" applyFont="1" applyFill="1" applyBorder="1"/>
    <xf numFmtId="2" fontId="30" fillId="0" borderId="0" xfId="0" applyNumberFormat="1" applyFont="1" applyFill="1" applyBorder="1"/>
    <xf numFmtId="49" fontId="29" fillId="0" borderId="0" xfId="2" applyNumberFormat="1" applyFont="1" applyFill="1" applyBorder="1"/>
    <xf numFmtId="49" fontId="29" fillId="0" borderId="0" xfId="0" applyNumberFormat="1" applyFont="1" applyFill="1" applyBorder="1" applyAlignment="1">
      <alignment wrapText="1"/>
    </xf>
    <xf numFmtId="0" fontId="29" fillId="0" borderId="7" xfId="2" applyFont="1" applyFill="1" applyBorder="1" applyAlignment="1">
      <alignment horizontal="center" wrapText="1"/>
    </xf>
    <xf numFmtId="0" fontId="29" fillId="0" borderId="4" xfId="2" applyFont="1" applyFill="1" applyBorder="1" applyAlignment="1">
      <alignment horizontal="center" wrapText="1"/>
    </xf>
    <xf numFmtId="0" fontId="29" fillId="0" borderId="6" xfId="2" applyFont="1" applyFill="1" applyBorder="1" applyAlignment="1">
      <alignment horizontal="center" wrapText="1"/>
    </xf>
    <xf numFmtId="0" fontId="29" fillId="0" borderId="3" xfId="2" applyFont="1" applyFill="1" applyBorder="1" applyAlignment="1">
      <alignment wrapText="1"/>
    </xf>
    <xf numFmtId="0" fontId="29" fillId="0" borderId="4" xfId="2" applyFont="1" applyFill="1" applyBorder="1" applyAlignment="1">
      <alignment wrapText="1"/>
    </xf>
    <xf numFmtId="0" fontId="29" fillId="0" borderId="7" xfId="2" applyFont="1" applyFill="1" applyBorder="1" applyAlignment="1">
      <alignment wrapText="1"/>
    </xf>
    <xf numFmtId="0" fontId="29" fillId="0" borderId="6" xfId="2" applyFont="1" applyFill="1" applyBorder="1" applyAlignment="1">
      <alignment wrapText="1"/>
    </xf>
    <xf numFmtId="0" fontId="29" fillId="0" borderId="0" xfId="2" applyFont="1" applyFill="1" applyBorder="1" applyAlignment="1">
      <alignment wrapText="1"/>
    </xf>
    <xf numFmtId="0" fontId="29" fillId="0" borderId="4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3" fontId="29" fillId="0" borderId="3" xfId="2" applyNumberFormat="1" applyFont="1" applyFill="1" applyBorder="1"/>
    <xf numFmtId="3" fontId="29" fillId="0" borderId="0" xfId="2" applyNumberFormat="1" applyFont="1" applyFill="1" applyBorder="1"/>
    <xf numFmtId="3" fontId="29" fillId="0" borderId="5" xfId="2" applyNumberFormat="1" applyFont="1" applyFill="1" applyBorder="1"/>
    <xf numFmtId="3" fontId="29" fillId="0" borderId="11" xfId="2" applyNumberFormat="1" applyFont="1" applyFill="1" applyBorder="1"/>
    <xf numFmtId="0" fontId="29" fillId="0" borderId="0" xfId="2" applyFont="1" applyFill="1" applyBorder="1"/>
    <xf numFmtId="49" fontId="29" fillId="0" borderId="1" xfId="2" applyNumberFormat="1" applyFont="1" applyFill="1" applyBorder="1"/>
    <xf numFmtId="3" fontId="29" fillId="0" borderId="9" xfId="2" applyNumberFormat="1" applyFont="1" applyFill="1" applyBorder="1"/>
    <xf numFmtId="3" fontId="29" fillId="0" borderId="1" xfId="2" applyNumberFormat="1" applyFont="1" applyFill="1" applyBorder="1"/>
    <xf numFmtId="3" fontId="29" fillId="0" borderId="8" xfId="2" applyNumberFormat="1" applyFont="1" applyFill="1" applyBorder="1"/>
    <xf numFmtId="0" fontId="29" fillId="0" borderId="1" xfId="0" applyFont="1" applyFill="1" applyBorder="1"/>
    <xf numFmtId="0" fontId="29" fillId="0" borderId="3" xfId="0" applyFont="1" applyFill="1" applyBorder="1"/>
    <xf numFmtId="3" fontId="29" fillId="0" borderId="12" xfId="2" applyNumberFormat="1" applyFont="1" applyFill="1" applyBorder="1"/>
    <xf numFmtId="169" fontId="31" fillId="0" borderId="5" xfId="0" applyNumberFormat="1" applyFont="1" applyFill="1" applyBorder="1" applyAlignment="1" applyProtection="1">
      <alignment vertical="center"/>
    </xf>
    <xf numFmtId="1" fontId="29" fillId="0" borderId="0" xfId="2" applyNumberFormat="1" applyFont="1" applyFill="1" applyBorder="1"/>
    <xf numFmtId="3" fontId="29" fillId="0" borderId="3" xfId="0" applyNumberFormat="1" applyFont="1" applyFill="1" applyBorder="1"/>
    <xf numFmtId="3" fontId="29" fillId="0" borderId="2" xfId="2" applyNumberFormat="1" applyFont="1" applyFill="1" applyBorder="1"/>
    <xf numFmtId="3" fontId="29" fillId="0" borderId="10" xfId="2" applyNumberFormat="1" applyFont="1" applyFill="1" applyBorder="1"/>
    <xf numFmtId="164" fontId="29" fillId="0" borderId="0" xfId="2" applyNumberFormat="1" applyFont="1" applyFill="1" applyBorder="1"/>
    <xf numFmtId="0" fontId="29" fillId="0" borderId="3" xfId="2" applyFont="1" applyFill="1" applyBorder="1"/>
    <xf numFmtId="0" fontId="29" fillId="0" borderId="5" xfId="2" applyFont="1" applyFill="1" applyBorder="1"/>
    <xf numFmtId="49" fontId="29" fillId="0" borderId="0" xfId="0" applyNumberFormat="1" applyFont="1" applyFill="1" applyBorder="1"/>
    <xf numFmtId="49" fontId="14" fillId="0" borderId="3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Border="1" applyAlignment="1">
      <alignment horizontal="center" wrapText="1"/>
    </xf>
    <xf numFmtId="49" fontId="13" fillId="0" borderId="3" xfId="2" applyNumberFormat="1" applyFont="1" applyFill="1" applyBorder="1" applyAlignment="1">
      <alignment horizontal="center" wrapText="1"/>
    </xf>
    <xf numFmtId="49" fontId="13" fillId="0" borderId="0" xfId="2" applyNumberFormat="1" applyFont="1" applyFill="1" applyBorder="1" applyAlignment="1">
      <alignment horizontal="center" wrapText="1"/>
    </xf>
    <xf numFmtId="49" fontId="13" fillId="0" borderId="5" xfId="2" applyNumberFormat="1" applyFont="1" applyFill="1" applyBorder="1" applyAlignment="1">
      <alignment horizontal="center" wrapText="1"/>
    </xf>
    <xf numFmtId="49" fontId="14" fillId="0" borderId="5" xfId="2" applyNumberFormat="1" applyFont="1" applyFill="1" applyBorder="1" applyAlignment="1">
      <alignment horizontal="center" wrapText="1"/>
    </xf>
    <xf numFmtId="49" fontId="14" fillId="0" borderId="0" xfId="2" applyNumberFormat="1" applyFont="1" applyFill="1" applyAlignment="1">
      <alignment horizontal="center"/>
    </xf>
    <xf numFmtId="49" fontId="14" fillId="0" borderId="0" xfId="2" applyNumberFormat="1" applyFont="1" applyFill="1" applyBorder="1" applyAlignment="1">
      <alignment horizontal="center"/>
    </xf>
    <xf numFmtId="49" fontId="14" fillId="0" borderId="3" xfId="2" applyNumberFormat="1" applyFont="1" applyFill="1" applyBorder="1" applyAlignment="1">
      <alignment horizontal="center"/>
    </xf>
    <xf numFmtId="0" fontId="28" fillId="0" borderId="3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horizontal="center" wrapText="1"/>
    </xf>
    <xf numFmtId="0" fontId="28" fillId="0" borderId="5" xfId="2" applyFont="1" applyFill="1" applyBorder="1" applyAlignment="1">
      <alignment horizontal="center" wrapText="1"/>
    </xf>
    <xf numFmtId="0" fontId="28" fillId="0" borderId="3" xfId="2" applyFont="1" applyFill="1" applyBorder="1" applyAlignment="1">
      <alignment horizontal="center"/>
    </xf>
    <xf numFmtId="0" fontId="28" fillId="0" borderId="0" xfId="2" applyFont="1" applyFill="1" applyBorder="1" applyAlignment="1">
      <alignment horizontal="center"/>
    </xf>
    <xf numFmtId="0" fontId="28" fillId="0" borderId="5" xfId="2" applyFont="1" applyFill="1" applyBorder="1" applyAlignment="1">
      <alignment horizontal="center"/>
    </xf>
  </cellXfs>
  <cellStyles count="5">
    <cellStyle name="ANCLAS,REZONES Y SUS PARTES,DE FUNDICION,DE HIERRO O DE ACERO" xfId="2"/>
    <cellStyle name="ANCLAS,REZONES Y SUS PARTES,DE FUNDICION,DE HIERRO O DE ACERO 2" xfId="3"/>
    <cellStyle name="Comma" xfId="1" builtinId="3"/>
    <cellStyle name="Normal" xfId="0" builtinId="0"/>
    <cellStyle name="Normal_ARG96-15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r&#233;dito%20bancas%20p&#250;blica%20y%20privada/AA_Cr&#233;dito%20banca%20p&#250;blica%20y%20priva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lasificaci&#243;n%20del%20cr&#233;dito/Clasificaci&#243;n%20cr&#233;dito_Anexos%20pa&#237;s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acevedo/Application%20Data/Microsoft/Excel/Clasificaci&#243;n%20cr&#233;dito_Anexos%20pa&#237;s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acevedo/Application%20Data/Microsoft/Excel/Cr&#233;dito%20bancas%20p&#250;blica%20y%20privada/Ecuador_Clasificaci&#243;n%20Cr&#233;dito%20difs%20secores%20fi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cevedo/AppData/Roaming/Microsoft/Excel/Clasificaci&#243;n%20cr&#233;dito_Anexos%20pa&#237;s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mposición del sistema"/>
      <sheetName val="notas"/>
      <sheetName val="datos"/>
      <sheetName val="Links"/>
      <sheetName val="Cartera de Crédito"/>
      <sheetName val="Indexed Credit"/>
      <sheetName val="gr_total"/>
      <sheetName val="gr_consumo"/>
      <sheetName val="gr_industrial"/>
      <sheetName val="gr_comercial"/>
      <sheetName val="comparación_grs"/>
      <sheetName val="gr_hipotecario"/>
      <sheetName val="gr_agrupaciones"/>
      <sheetName val="gr_regional"/>
      <sheetName val="Tabla"/>
      <sheetName val="clasificación"/>
      <sheetName val="clasificación_real"/>
      <sheetName val="IPC"/>
      <sheetName val="variaciones"/>
      <sheetName val="provisiones"/>
    </sheetNames>
    <sheetDataSet>
      <sheetData sheetId="0" refreshError="1"/>
      <sheetData sheetId="1" refreshError="1"/>
      <sheetData sheetId="2" refreshError="1">
        <row r="29">
          <cell r="S29">
            <v>80.322999999999993</v>
          </cell>
        </row>
        <row r="140">
          <cell r="S140">
            <v>207.40700000000001</v>
          </cell>
          <cell r="U140">
            <v>36.090000000000003</v>
          </cell>
        </row>
        <row r="143">
          <cell r="S143">
            <v>218.935</v>
          </cell>
          <cell r="U143">
            <v>35.99</v>
          </cell>
        </row>
        <row r="146">
          <cell r="S146">
            <v>233.642</v>
          </cell>
          <cell r="U146">
            <v>35.222000000000001</v>
          </cell>
        </row>
        <row r="149">
          <cell r="S149">
            <v>247.06899999999999</v>
          </cell>
          <cell r="U149">
            <v>35.191000000000003</v>
          </cell>
        </row>
        <row r="152">
          <cell r="S152">
            <v>246.03200000000001</v>
          </cell>
          <cell r="U152">
            <v>34.536000000000001</v>
          </cell>
        </row>
        <row r="155">
          <cell r="S155">
            <v>261.86799999999999</v>
          </cell>
          <cell r="U155">
            <v>35.886000000000003</v>
          </cell>
        </row>
        <row r="158">
          <cell r="S158">
            <v>258.45699999999999</v>
          </cell>
          <cell r="U158">
            <v>36.884</v>
          </cell>
        </row>
        <row r="161">
          <cell r="S161">
            <v>277.10900000000004</v>
          </cell>
          <cell r="U161">
            <v>36.054000000000002</v>
          </cell>
        </row>
        <row r="164">
          <cell r="S164">
            <v>284.00200000000001</v>
          </cell>
          <cell r="U164">
            <v>34.857999999999997</v>
          </cell>
        </row>
        <row r="167">
          <cell r="S167">
            <v>283.702</v>
          </cell>
          <cell r="U167">
            <v>34.328000000000003</v>
          </cell>
        </row>
        <row r="170">
          <cell r="S170">
            <v>301.09500000000003</v>
          </cell>
          <cell r="U170">
            <v>32.694000000000003</v>
          </cell>
        </row>
        <row r="173">
          <cell r="S173">
            <v>315.197</v>
          </cell>
          <cell r="U173">
            <v>34.228999999999999</v>
          </cell>
        </row>
        <row r="176">
          <cell r="S176">
            <v>312.50200000000001</v>
          </cell>
          <cell r="U176">
            <v>32.390999999999998</v>
          </cell>
        </row>
        <row r="179">
          <cell r="S179">
            <v>326.32799999999997</v>
          </cell>
          <cell r="U179">
            <v>32.420999999999999</v>
          </cell>
        </row>
        <row r="182">
          <cell r="S182">
            <v>349.28899999999999</v>
          </cell>
          <cell r="U182">
            <v>33.281999999999996</v>
          </cell>
        </row>
        <row r="185">
          <cell r="S185">
            <v>369.01399999999995</v>
          </cell>
          <cell r="U185">
            <v>33.036999999999999</v>
          </cell>
        </row>
        <row r="188">
          <cell r="S188">
            <v>368.51500000000004</v>
          </cell>
          <cell r="U188">
            <v>31.838000000000001</v>
          </cell>
        </row>
        <row r="191">
          <cell r="S191">
            <v>375.93599999999998</v>
          </cell>
          <cell r="U191">
            <v>32.18</v>
          </cell>
        </row>
        <row r="194">
          <cell r="S194">
            <v>386.798</v>
          </cell>
          <cell r="U194">
            <v>34.1</v>
          </cell>
        </row>
        <row r="197">
          <cell r="S197">
            <v>409.94100000000003</v>
          </cell>
          <cell r="U197">
            <v>36.761000000000003</v>
          </cell>
        </row>
        <row r="200">
          <cell r="S200">
            <v>414.31400000000002</v>
          </cell>
          <cell r="U200">
            <v>39.055</v>
          </cell>
        </row>
        <row r="203">
          <cell r="S203">
            <v>410.97399999999999</v>
          </cell>
          <cell r="U203">
            <v>38.305</v>
          </cell>
        </row>
        <row r="206">
          <cell r="S206">
            <v>427.96800000000002</v>
          </cell>
          <cell r="U206">
            <v>40.36</v>
          </cell>
        </row>
        <row r="209">
          <cell r="S209">
            <v>428.05999999999995</v>
          </cell>
          <cell r="U209">
            <v>40.844999999999999</v>
          </cell>
        </row>
        <row r="212">
          <cell r="S212">
            <v>427.56</v>
          </cell>
          <cell r="U212">
            <v>42.011000000000003</v>
          </cell>
        </row>
        <row r="215">
          <cell r="S215">
            <v>425.22499999999997</v>
          </cell>
          <cell r="U215">
            <v>43.063000000000002</v>
          </cell>
        </row>
        <row r="218">
          <cell r="S218">
            <v>436.17600000000004</v>
          </cell>
          <cell r="U218">
            <v>44.761000000000003</v>
          </cell>
        </row>
        <row r="221">
          <cell r="S221">
            <v>451.36</v>
          </cell>
          <cell r="U221">
            <v>45.713000000000001</v>
          </cell>
        </row>
        <row r="224">
          <cell r="S224">
            <v>451.79599999999999</v>
          </cell>
          <cell r="U224">
            <v>45.75</v>
          </cell>
        </row>
        <row r="227">
          <cell r="S227">
            <v>461.00400000000002</v>
          </cell>
          <cell r="U227">
            <v>46.146999999999998</v>
          </cell>
        </row>
        <row r="230">
          <cell r="S230">
            <v>475.77300000000002</v>
          </cell>
          <cell r="U230">
            <v>47.116999999999997</v>
          </cell>
        </row>
        <row r="233">
          <cell r="S233">
            <v>487.803</v>
          </cell>
          <cell r="U233">
            <v>47.055999999999997</v>
          </cell>
        </row>
        <row r="236">
          <cell r="S236">
            <v>483.959</v>
          </cell>
          <cell r="U236">
            <v>50.488999999999997</v>
          </cell>
        </row>
        <row r="239">
          <cell r="S239">
            <v>498.77500000000003</v>
          </cell>
          <cell r="U239">
            <v>50.905999999999999</v>
          </cell>
        </row>
        <row r="242">
          <cell r="S242">
            <v>515.67499999999995</v>
          </cell>
          <cell r="U242">
            <v>52.064999999999998</v>
          </cell>
        </row>
        <row r="245">
          <cell r="S245">
            <v>534.68299999999999</v>
          </cell>
          <cell r="U245">
            <v>53.795999999999999</v>
          </cell>
        </row>
        <row r="248">
          <cell r="S248">
            <v>558.33299999999997</v>
          </cell>
          <cell r="U248">
            <v>54.057000000000002</v>
          </cell>
        </row>
        <row r="251">
          <cell r="S251">
            <v>576.48799999999994</v>
          </cell>
          <cell r="U251">
            <v>55.725999999999999</v>
          </cell>
        </row>
        <row r="254">
          <cell r="S254">
            <v>591.774</v>
          </cell>
          <cell r="U254">
            <v>58.939</v>
          </cell>
        </row>
        <row r="257">
          <cell r="S257">
            <v>608.52099999999996</v>
          </cell>
          <cell r="U257">
            <v>61.194000000000003</v>
          </cell>
        </row>
        <row r="260">
          <cell r="S260">
            <v>614.90099999999995</v>
          </cell>
          <cell r="U260">
            <v>61.91</v>
          </cell>
        </row>
        <row r="263">
          <cell r="S263">
            <v>635.06600000000003</v>
          </cell>
          <cell r="U263">
            <v>62.658999999999999</v>
          </cell>
        </row>
        <row r="266">
          <cell r="S266">
            <v>646.27099999999996</v>
          </cell>
          <cell r="U266">
            <v>65.203999999999994</v>
          </cell>
        </row>
        <row r="269">
          <cell r="S269">
            <v>691.60400000000004</v>
          </cell>
          <cell r="U269">
            <v>65.988</v>
          </cell>
        </row>
        <row r="272">
          <cell r="S272">
            <v>705.68299999999999</v>
          </cell>
          <cell r="U272">
            <v>67.625</v>
          </cell>
        </row>
        <row r="275">
          <cell r="S275">
            <v>686.79200000000003</v>
          </cell>
          <cell r="U275">
            <v>46.887999999999998</v>
          </cell>
        </row>
        <row r="278">
          <cell r="S278">
            <v>704.952</v>
          </cell>
          <cell r="U278">
            <v>56.93</v>
          </cell>
        </row>
        <row r="281">
          <cell r="S281">
            <v>716.83199999999999</v>
          </cell>
          <cell r="U281">
            <v>61.927999999999997</v>
          </cell>
        </row>
        <row r="284">
          <cell r="S284">
            <v>719.84699999999998</v>
          </cell>
          <cell r="U284">
            <v>59.29</v>
          </cell>
        </row>
        <row r="287">
          <cell r="S287">
            <v>763.822</v>
          </cell>
          <cell r="U287">
            <v>96.433999999999997</v>
          </cell>
        </row>
        <row r="290">
          <cell r="S290">
            <v>786.02599999999995</v>
          </cell>
          <cell r="U290">
            <v>92.322999999999993</v>
          </cell>
        </row>
        <row r="293">
          <cell r="S293">
            <v>894.779</v>
          </cell>
          <cell r="U293">
            <v>199.33799999999999</v>
          </cell>
        </row>
        <row r="296">
          <cell r="S296">
            <v>941.09800000000007</v>
          </cell>
          <cell r="U296">
            <v>243.619</v>
          </cell>
        </row>
        <row r="299">
          <cell r="S299">
            <v>994.40300000000002</v>
          </cell>
          <cell r="U299">
            <v>256.59899999999999</v>
          </cell>
        </row>
        <row r="302">
          <cell r="S302">
            <v>1041.2940000000001</v>
          </cell>
          <cell r="U302">
            <v>262.92</v>
          </cell>
        </row>
        <row r="305">
          <cell r="S305">
            <v>1055.1860000000001</v>
          </cell>
          <cell r="U305">
            <v>266.64400000000001</v>
          </cell>
        </row>
        <row r="308">
          <cell r="S308">
            <v>1078.6219999999998</v>
          </cell>
          <cell r="U308">
            <v>269.94299999999998</v>
          </cell>
        </row>
        <row r="311">
          <cell r="S311">
            <v>1061.7340000000002</v>
          </cell>
          <cell r="U311">
            <v>209.36600000000001</v>
          </cell>
        </row>
        <row r="314">
          <cell r="S314">
            <v>1099.606</v>
          </cell>
          <cell r="U314">
            <v>213.40700000000001</v>
          </cell>
        </row>
        <row r="317">
          <cell r="S317">
            <v>1120.9169999999999</v>
          </cell>
          <cell r="U317">
            <v>216.38900000000001</v>
          </cell>
        </row>
        <row r="320">
          <cell r="S320">
            <v>1143.7809999999999</v>
          </cell>
          <cell r="U320">
            <v>215.87200000000001</v>
          </cell>
        </row>
        <row r="323">
          <cell r="S323">
            <v>1201.9269999999999</v>
          </cell>
          <cell r="U323">
            <v>218.06100000000001</v>
          </cell>
        </row>
        <row r="326">
          <cell r="S326">
            <v>1247.921</v>
          </cell>
          <cell r="U326">
            <v>223.833</v>
          </cell>
        </row>
        <row r="329">
          <cell r="S329">
            <v>1265.9480000000001</v>
          </cell>
          <cell r="U329">
            <v>224.25899999999999</v>
          </cell>
        </row>
        <row r="332">
          <cell r="S332">
            <v>1381.067</v>
          </cell>
          <cell r="U332">
            <v>326.43400000000003</v>
          </cell>
        </row>
        <row r="333">
          <cell r="S333">
            <v>1443.3430000000001</v>
          </cell>
          <cell r="U333">
            <v>325.93400000000003</v>
          </cell>
        </row>
        <row r="334">
          <cell r="S334">
            <v>1452.1729999999998</v>
          </cell>
          <cell r="U334">
            <v>326.35199999999998</v>
          </cell>
        </row>
        <row r="335">
          <cell r="S335">
            <v>1467.98</v>
          </cell>
          <cell r="U335">
            <v>325.21300000000002</v>
          </cell>
        </row>
        <row r="336">
          <cell r="S336">
            <v>1482.3330000000001</v>
          </cell>
          <cell r="U336">
            <v>324.12200000000001</v>
          </cell>
        </row>
        <row r="337">
          <cell r="S337">
            <v>1505.68</v>
          </cell>
          <cell r="U337">
            <v>328.44400000000002</v>
          </cell>
        </row>
        <row r="338">
          <cell r="S338">
            <v>1518.4479999999999</v>
          </cell>
          <cell r="U338">
            <v>328.57100000000003</v>
          </cell>
        </row>
        <row r="339">
          <cell r="S339">
            <v>1491.204</v>
          </cell>
          <cell r="U339">
            <v>328.41500000000002</v>
          </cell>
        </row>
        <row r="340">
          <cell r="S340">
            <v>1502.1479999999999</v>
          </cell>
          <cell r="U340">
            <v>331.03199999999998</v>
          </cell>
        </row>
        <row r="341">
          <cell r="S341">
            <v>1507.393</v>
          </cell>
          <cell r="U341">
            <v>331.346</v>
          </cell>
        </row>
        <row r="344">
          <cell r="S344">
            <v>1409.971</v>
          </cell>
          <cell r="U344">
            <v>243.345</v>
          </cell>
        </row>
        <row r="347">
          <cell r="S347">
            <v>1424.2</v>
          </cell>
          <cell r="U347">
            <v>239.07599999999999</v>
          </cell>
        </row>
        <row r="413">
          <cell r="S413">
            <v>2181.7330000000002</v>
          </cell>
        </row>
        <row r="416">
          <cell r="S416">
            <v>2168.67</v>
          </cell>
        </row>
        <row r="419">
          <cell r="S419">
            <v>2206.8510000000001</v>
          </cell>
        </row>
        <row r="422">
          <cell r="S422">
            <v>2201.1980000000003</v>
          </cell>
        </row>
        <row r="425">
          <cell r="S425">
            <v>2189.614</v>
          </cell>
        </row>
        <row r="428">
          <cell r="S428">
            <v>2191.067</v>
          </cell>
        </row>
        <row r="431">
          <cell r="S431">
            <v>2214.8980000000001</v>
          </cell>
        </row>
        <row r="434">
          <cell r="S434">
            <v>2247.3160000000003</v>
          </cell>
        </row>
        <row r="437">
          <cell r="S437">
            <v>2275.261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ah"/>
      <sheetName val="bol"/>
      <sheetName val="bra"/>
      <sheetName val="cria2006"/>
      <sheetName val="crid2006"/>
      <sheetName val="ecu1"/>
      <sheetName val="ecuprov"/>
      <sheetName val="mex_múltiple"/>
      <sheetName val="mex_desarrollo"/>
      <sheetName val="nic"/>
      <sheetName val="pan"/>
      <sheetName val="sur"/>
      <sheetName val="t&amp;t"/>
      <sheetName val="ven"/>
      <sheetName val="crid2008"/>
      <sheetName val="rdo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6">
          <cell r="P6">
            <v>1186.4000000000001</v>
          </cell>
          <cell r="Q6">
            <v>93.1</v>
          </cell>
          <cell r="R6">
            <v>319</v>
          </cell>
          <cell r="S6">
            <v>142.69999999999999</v>
          </cell>
          <cell r="V6">
            <v>631.6</v>
          </cell>
        </row>
        <row r="7">
          <cell r="P7">
            <v>1203.9000000000001</v>
          </cell>
          <cell r="Q7">
            <v>95.1</v>
          </cell>
          <cell r="R7">
            <v>317.8</v>
          </cell>
          <cell r="S7">
            <v>146</v>
          </cell>
          <cell r="V7">
            <v>645</v>
          </cell>
        </row>
        <row r="8">
          <cell r="P8">
            <v>1227.9000000000001</v>
          </cell>
          <cell r="Q8">
            <v>99.1</v>
          </cell>
          <cell r="R8">
            <v>325.70000000000005</v>
          </cell>
          <cell r="S8">
            <v>150.5</v>
          </cell>
          <cell r="V8">
            <v>652.59999999999991</v>
          </cell>
        </row>
        <row r="9">
          <cell r="P9">
            <v>1306.0999999999999</v>
          </cell>
          <cell r="Q9">
            <v>103.8</v>
          </cell>
          <cell r="R9">
            <v>328.9</v>
          </cell>
          <cell r="S9">
            <v>155.6</v>
          </cell>
          <cell r="V9">
            <v>717.8</v>
          </cell>
        </row>
        <row r="10">
          <cell r="P10">
            <v>1322.6</v>
          </cell>
          <cell r="Q10">
            <v>100.9</v>
          </cell>
          <cell r="R10">
            <v>330</v>
          </cell>
          <cell r="S10">
            <v>160.6</v>
          </cell>
          <cell r="V10">
            <v>731.1</v>
          </cell>
        </row>
        <row r="11">
          <cell r="P11">
            <v>1351.2</v>
          </cell>
          <cell r="Q11">
            <v>105.69999999999999</v>
          </cell>
          <cell r="R11">
            <v>340.5</v>
          </cell>
          <cell r="S11">
            <v>164.4</v>
          </cell>
          <cell r="V11">
            <v>740.60000000000014</v>
          </cell>
        </row>
        <row r="12">
          <cell r="P12">
            <v>1367.1</v>
          </cell>
          <cell r="Q12">
            <v>104.6</v>
          </cell>
          <cell r="R12">
            <v>342.9</v>
          </cell>
          <cell r="S12">
            <v>167.89999999999998</v>
          </cell>
          <cell r="V12">
            <v>751.7</v>
          </cell>
        </row>
        <row r="13">
          <cell r="P13">
            <v>1402.3000000000002</v>
          </cell>
          <cell r="Q13">
            <v>107</v>
          </cell>
          <cell r="R13">
            <v>342.7</v>
          </cell>
          <cell r="S13">
            <v>173</v>
          </cell>
          <cell r="V13">
            <v>779.60000000000014</v>
          </cell>
        </row>
        <row r="14">
          <cell r="P14">
            <v>1433.6</v>
          </cell>
          <cell r="Q14">
            <v>107.2</v>
          </cell>
          <cell r="R14">
            <v>355.4</v>
          </cell>
          <cell r="S14">
            <v>176.7</v>
          </cell>
          <cell r="V14">
            <v>794.3</v>
          </cell>
        </row>
        <row r="15">
          <cell r="P15">
            <v>1465.7</v>
          </cell>
          <cell r="Q15">
            <v>111.1</v>
          </cell>
          <cell r="R15">
            <v>366.59999999999997</v>
          </cell>
          <cell r="S15">
            <v>180.1</v>
          </cell>
          <cell r="V15">
            <v>807.9</v>
          </cell>
        </row>
        <row r="16">
          <cell r="P16">
            <v>1500.3000000000002</v>
          </cell>
          <cell r="Q16">
            <v>112.3</v>
          </cell>
          <cell r="R16">
            <v>373.1</v>
          </cell>
          <cell r="S16">
            <v>183</v>
          </cell>
          <cell r="V16">
            <v>831.90000000000009</v>
          </cell>
        </row>
        <row r="17">
          <cell r="P17">
            <v>1530.6999999999998</v>
          </cell>
          <cell r="Q17">
            <v>106.69999999999999</v>
          </cell>
          <cell r="R17">
            <v>385.4</v>
          </cell>
          <cell r="S17">
            <v>192.2</v>
          </cell>
          <cell r="V17">
            <v>846.39999999999986</v>
          </cell>
        </row>
        <row r="18">
          <cell r="P18">
            <v>1536</v>
          </cell>
          <cell r="Q18">
            <v>107.5</v>
          </cell>
          <cell r="R18">
            <v>387.5</v>
          </cell>
          <cell r="S18">
            <v>196.4</v>
          </cell>
          <cell r="V18">
            <v>844.60000000000014</v>
          </cell>
        </row>
        <row r="19">
          <cell r="P19">
            <v>1573.3000000000002</v>
          </cell>
          <cell r="Q19">
            <v>117.1</v>
          </cell>
          <cell r="R19">
            <v>397.4</v>
          </cell>
          <cell r="S19">
            <v>200.79999999999998</v>
          </cell>
          <cell r="V19">
            <v>858</v>
          </cell>
        </row>
        <row r="20">
          <cell r="P20">
            <v>1590.7</v>
          </cell>
          <cell r="Q20">
            <v>112.6</v>
          </cell>
          <cell r="R20">
            <v>411.7</v>
          </cell>
          <cell r="S20">
            <v>199.8</v>
          </cell>
          <cell r="V20">
            <v>866.60000000000014</v>
          </cell>
        </row>
        <row r="21">
          <cell r="P21">
            <v>1620.3000000000002</v>
          </cell>
          <cell r="Q21">
            <v>119.7</v>
          </cell>
          <cell r="R21">
            <v>426</v>
          </cell>
          <cell r="S21">
            <v>203</v>
          </cell>
          <cell r="V21">
            <v>871.6</v>
          </cell>
        </row>
        <row r="22">
          <cell r="P22">
            <v>1661.6</v>
          </cell>
          <cell r="Q22">
            <v>124.4</v>
          </cell>
          <cell r="R22">
            <v>445.2</v>
          </cell>
          <cell r="S22">
            <v>210.5</v>
          </cell>
          <cell r="V22">
            <v>881.5</v>
          </cell>
        </row>
        <row r="23">
          <cell r="P23">
            <v>1703.4</v>
          </cell>
          <cell r="Q23">
            <v>123.80000000000001</v>
          </cell>
          <cell r="R23">
            <v>459.5</v>
          </cell>
          <cell r="S23">
            <v>218</v>
          </cell>
          <cell r="V23">
            <v>902.10000000000014</v>
          </cell>
        </row>
        <row r="24">
          <cell r="P24">
            <v>1720</v>
          </cell>
          <cell r="Q24">
            <v>122.1</v>
          </cell>
          <cell r="R24">
            <v>438.09999999999997</v>
          </cell>
          <cell r="S24">
            <v>227.5</v>
          </cell>
          <cell r="V24">
            <v>932.3</v>
          </cell>
        </row>
        <row r="25">
          <cell r="P25">
            <v>1771.9</v>
          </cell>
          <cell r="Q25">
            <v>123.6</v>
          </cell>
          <cell r="R25">
            <v>445.5</v>
          </cell>
          <cell r="S25">
            <v>236.60000000000002</v>
          </cell>
          <cell r="V25">
            <v>966.2</v>
          </cell>
        </row>
        <row r="26">
          <cell r="P26">
            <v>1827.8</v>
          </cell>
          <cell r="Q26">
            <v>126.60000000000001</v>
          </cell>
          <cell r="R26">
            <v>450.79999999999995</v>
          </cell>
          <cell r="S26">
            <v>251.1</v>
          </cell>
          <cell r="V26">
            <v>999.3</v>
          </cell>
        </row>
        <row r="27">
          <cell r="P27">
            <v>1860.7</v>
          </cell>
          <cell r="Q27">
            <v>139.4</v>
          </cell>
          <cell r="R27">
            <v>461.3</v>
          </cell>
          <cell r="S27">
            <v>261.5</v>
          </cell>
          <cell r="V27">
            <v>998.49999999999977</v>
          </cell>
        </row>
        <row r="28">
          <cell r="P28">
            <v>1891.1</v>
          </cell>
          <cell r="Q28">
            <v>140</v>
          </cell>
          <cell r="R28">
            <v>466.5</v>
          </cell>
          <cell r="S28">
            <v>270</v>
          </cell>
          <cell r="V28">
            <v>1014.6000000000001</v>
          </cell>
        </row>
        <row r="29">
          <cell r="P29">
            <v>1928.8000000000002</v>
          </cell>
          <cell r="Q29">
            <v>140.4</v>
          </cell>
          <cell r="R29">
            <v>486.5</v>
          </cell>
          <cell r="S29">
            <v>277.10000000000002</v>
          </cell>
          <cell r="V29">
            <v>1024.8000000000002</v>
          </cell>
        </row>
        <row r="30">
          <cell r="P30">
            <v>1955.1</v>
          </cell>
          <cell r="Q30">
            <v>139.89999999999998</v>
          </cell>
          <cell r="R30">
            <v>497.79999999999995</v>
          </cell>
          <cell r="S30">
            <v>293.3</v>
          </cell>
          <cell r="V30">
            <v>1024.0999999999999</v>
          </cell>
        </row>
        <row r="31">
          <cell r="P31">
            <v>1992.8000000000002</v>
          </cell>
          <cell r="Q31">
            <v>147.9</v>
          </cell>
          <cell r="R31">
            <v>495.5</v>
          </cell>
          <cell r="S31">
            <v>304.39999999999998</v>
          </cell>
          <cell r="V31">
            <v>1045</v>
          </cell>
        </row>
        <row r="32">
          <cell r="P32">
            <v>2057.5</v>
          </cell>
          <cell r="Q32">
            <v>148.69999999999999</v>
          </cell>
          <cell r="R32">
            <v>506.70000000000005</v>
          </cell>
          <cell r="S32">
            <v>310.39999999999998</v>
          </cell>
          <cell r="V32">
            <v>1091.6999999999998</v>
          </cell>
        </row>
        <row r="33">
          <cell r="P33">
            <v>2109.8000000000002</v>
          </cell>
          <cell r="Q33">
            <v>161.19999999999999</v>
          </cell>
          <cell r="R33">
            <v>516.6</v>
          </cell>
          <cell r="S33">
            <v>322.8</v>
          </cell>
          <cell r="V33">
            <v>1109.2</v>
          </cell>
        </row>
        <row r="34">
          <cell r="P34">
            <v>2148.3999999999996</v>
          </cell>
          <cell r="Q34">
            <v>169.2</v>
          </cell>
          <cell r="R34">
            <v>533</v>
          </cell>
          <cell r="S34">
            <v>334.4</v>
          </cell>
          <cell r="V34">
            <v>1111.7999999999997</v>
          </cell>
        </row>
        <row r="35">
          <cell r="P35">
            <v>2186.4</v>
          </cell>
          <cell r="Q35">
            <v>164.10000000000002</v>
          </cell>
          <cell r="R35">
            <v>535.5</v>
          </cell>
          <cell r="S35">
            <v>347.6</v>
          </cell>
          <cell r="V35">
            <v>1139.1999999999998</v>
          </cell>
        </row>
        <row r="36">
          <cell r="P36">
            <v>2253.6000000000004</v>
          </cell>
          <cell r="Q36">
            <v>172.7</v>
          </cell>
          <cell r="R36">
            <v>546.4</v>
          </cell>
          <cell r="S36">
            <v>357.4</v>
          </cell>
          <cell r="V36">
            <v>1177.1000000000004</v>
          </cell>
        </row>
        <row r="37">
          <cell r="P37">
            <v>2307.3000000000002</v>
          </cell>
          <cell r="Q37">
            <v>167.39999999999998</v>
          </cell>
          <cell r="R37">
            <v>558.70000000000005</v>
          </cell>
          <cell r="S37">
            <v>366.8</v>
          </cell>
          <cell r="V37">
            <v>1214.3999999999999</v>
          </cell>
        </row>
        <row r="38">
          <cell r="P38">
            <v>2367.8999999999996</v>
          </cell>
          <cell r="Q38">
            <v>165.4</v>
          </cell>
          <cell r="R38">
            <v>581.1</v>
          </cell>
          <cell r="S38">
            <v>373.20000000000005</v>
          </cell>
          <cell r="V38">
            <v>1248.1999999999998</v>
          </cell>
        </row>
        <row r="39">
          <cell r="P39">
            <v>2390</v>
          </cell>
          <cell r="Q39">
            <v>166.5</v>
          </cell>
          <cell r="R39">
            <v>589.29999999999995</v>
          </cell>
          <cell r="S39">
            <v>379.4</v>
          </cell>
          <cell r="V39">
            <v>1254.8000000000002</v>
          </cell>
        </row>
        <row r="40">
          <cell r="P40">
            <v>2428.1999999999998</v>
          </cell>
          <cell r="Q40">
            <v>170.6</v>
          </cell>
          <cell r="R40">
            <v>600.29999999999995</v>
          </cell>
          <cell r="S40">
            <v>387.59999999999997</v>
          </cell>
          <cell r="V40">
            <v>1269.7</v>
          </cell>
        </row>
        <row r="41">
          <cell r="P41">
            <v>2488.1999999999998</v>
          </cell>
          <cell r="Q41">
            <v>174.4</v>
          </cell>
          <cell r="R41">
            <v>611.4</v>
          </cell>
          <cell r="S41">
            <v>396.2</v>
          </cell>
          <cell r="V41">
            <v>1306.1999999999998</v>
          </cell>
        </row>
        <row r="42">
          <cell r="P42">
            <v>2476.6</v>
          </cell>
          <cell r="Q42">
            <v>174</v>
          </cell>
          <cell r="R42">
            <v>612.9</v>
          </cell>
          <cell r="S42">
            <v>403.3</v>
          </cell>
          <cell r="V42">
            <v>1286.4000000000001</v>
          </cell>
        </row>
        <row r="43">
          <cell r="P43">
            <v>2496.8000000000002</v>
          </cell>
          <cell r="Q43">
            <v>167.4</v>
          </cell>
          <cell r="R43">
            <v>607.5</v>
          </cell>
          <cell r="S43">
            <v>408.2</v>
          </cell>
          <cell r="V43">
            <v>1313.7</v>
          </cell>
        </row>
        <row r="44">
          <cell r="P44">
            <v>2520.1000000000004</v>
          </cell>
          <cell r="Q44">
            <v>166.1</v>
          </cell>
          <cell r="R44">
            <v>608.20000000000005</v>
          </cell>
          <cell r="S44">
            <v>415.6</v>
          </cell>
          <cell r="V44">
            <v>1330.2000000000003</v>
          </cell>
        </row>
        <row r="45">
          <cell r="P45">
            <v>2523.8999999999996</v>
          </cell>
          <cell r="Q45">
            <v>162.5</v>
          </cell>
          <cell r="R45">
            <v>599.4</v>
          </cell>
          <cell r="S45">
            <v>420.3</v>
          </cell>
          <cell r="V45">
            <v>1341.6999999999998</v>
          </cell>
        </row>
        <row r="46">
          <cell r="P46">
            <v>2575.4</v>
          </cell>
          <cell r="Q46">
            <v>175.39999999999998</v>
          </cell>
          <cell r="R46">
            <v>612.79999999999995</v>
          </cell>
          <cell r="S46">
            <v>427.4</v>
          </cell>
          <cell r="V46">
            <v>1359.8000000000002</v>
          </cell>
        </row>
        <row r="47">
          <cell r="P47">
            <v>2582.3000000000002</v>
          </cell>
          <cell r="Q47">
            <v>167.3</v>
          </cell>
          <cell r="R47">
            <v>614.9</v>
          </cell>
          <cell r="S47">
            <v>435.40000000000003</v>
          </cell>
          <cell r="V47">
            <v>1364.6999999999998</v>
          </cell>
        </row>
        <row r="48">
          <cell r="P48">
            <v>2636</v>
          </cell>
          <cell r="Q48">
            <v>163.80000000000001</v>
          </cell>
          <cell r="R48">
            <v>640.20000000000005</v>
          </cell>
          <cell r="S48">
            <v>439.1</v>
          </cell>
          <cell r="V48">
            <v>1392.8999999999996</v>
          </cell>
        </row>
        <row r="49">
          <cell r="P49">
            <v>2651.7</v>
          </cell>
          <cell r="Q49">
            <v>158.5</v>
          </cell>
          <cell r="R49">
            <v>631.20000000000005</v>
          </cell>
          <cell r="S49">
            <v>442.59999999999997</v>
          </cell>
          <cell r="V49">
            <v>1419.4</v>
          </cell>
        </row>
        <row r="50">
          <cell r="P50">
            <v>2686.8</v>
          </cell>
          <cell r="Q50">
            <v>156.19999999999999</v>
          </cell>
          <cell r="R50">
            <v>640.6</v>
          </cell>
          <cell r="S50">
            <v>448.40000000000003</v>
          </cell>
          <cell r="V50">
            <v>1441.6</v>
          </cell>
        </row>
        <row r="51">
          <cell r="P51">
            <v>2727.1</v>
          </cell>
          <cell r="Q51">
            <v>168.8</v>
          </cell>
          <cell r="R51">
            <v>648.79999999999995</v>
          </cell>
          <cell r="S51">
            <v>456.4</v>
          </cell>
          <cell r="V51">
            <v>1453.1</v>
          </cell>
        </row>
        <row r="52">
          <cell r="P52">
            <v>2745.6</v>
          </cell>
          <cell r="Q52">
            <v>172.5</v>
          </cell>
          <cell r="R52">
            <v>644</v>
          </cell>
          <cell r="S52">
            <v>462.70000000000005</v>
          </cell>
          <cell r="V52">
            <v>1466.3999999999999</v>
          </cell>
        </row>
        <row r="53">
          <cell r="P53">
            <v>2765.8</v>
          </cell>
          <cell r="Q53">
            <v>198.2</v>
          </cell>
          <cell r="R53">
            <v>668</v>
          </cell>
          <cell r="S53">
            <v>468</v>
          </cell>
          <cell r="V53">
            <v>1431.6</v>
          </cell>
        </row>
        <row r="54">
          <cell r="P54">
            <v>2769.8</v>
          </cell>
          <cell r="Q54">
            <v>196.7</v>
          </cell>
          <cell r="R54">
            <v>662.40000000000009</v>
          </cell>
          <cell r="S54">
            <v>471.4</v>
          </cell>
          <cell r="V54">
            <v>1439.3000000000002</v>
          </cell>
        </row>
        <row r="55">
          <cell r="P55">
            <v>2789</v>
          </cell>
          <cell r="Q55">
            <v>189.8</v>
          </cell>
          <cell r="R55">
            <v>658.6</v>
          </cell>
          <cell r="S55">
            <v>477.7</v>
          </cell>
          <cell r="V55">
            <v>1462.9</v>
          </cell>
        </row>
        <row r="56">
          <cell r="P56">
            <v>2819.9</v>
          </cell>
          <cell r="Q56">
            <v>188</v>
          </cell>
          <cell r="R56">
            <v>660.5</v>
          </cell>
          <cell r="S56">
            <v>474.3</v>
          </cell>
          <cell r="V56">
            <v>1497.1</v>
          </cell>
        </row>
        <row r="57">
          <cell r="P57">
            <v>2839.2</v>
          </cell>
          <cell r="Q57">
            <v>198.6</v>
          </cell>
          <cell r="R57">
            <v>671.90000000000009</v>
          </cell>
          <cell r="S57">
            <v>482.09999999999997</v>
          </cell>
          <cell r="V57">
            <v>1486.6</v>
          </cell>
        </row>
        <row r="58">
          <cell r="P58">
            <v>2954.4</v>
          </cell>
          <cell r="Q58">
            <v>203.2</v>
          </cell>
          <cell r="R58">
            <v>668.2</v>
          </cell>
          <cell r="S58">
            <v>485.7</v>
          </cell>
          <cell r="V58">
            <v>1597.3000000000002</v>
          </cell>
        </row>
        <row r="59">
          <cell r="P59">
            <v>2956.9</v>
          </cell>
          <cell r="Q59">
            <v>203.60000000000002</v>
          </cell>
          <cell r="R59">
            <v>669.7</v>
          </cell>
          <cell r="S59">
            <v>485.2</v>
          </cell>
          <cell r="V59">
            <v>1598.4</v>
          </cell>
        </row>
        <row r="60">
          <cell r="P60">
            <v>3028.5</v>
          </cell>
          <cell r="Q60">
            <v>202.1</v>
          </cell>
          <cell r="R60">
            <v>686.5</v>
          </cell>
          <cell r="S60">
            <v>494.29999999999995</v>
          </cell>
          <cell r="V60">
            <v>1645.6</v>
          </cell>
        </row>
        <row r="61">
          <cell r="P61">
            <v>3056.5</v>
          </cell>
          <cell r="Q61">
            <v>198.5</v>
          </cell>
          <cell r="R61">
            <v>691.5</v>
          </cell>
          <cell r="S61">
            <v>501</v>
          </cell>
          <cell r="V61">
            <v>1665.5</v>
          </cell>
        </row>
        <row r="62">
          <cell r="P62">
            <v>3104.2</v>
          </cell>
          <cell r="Q62">
            <v>209.4</v>
          </cell>
          <cell r="R62">
            <v>687.59999999999991</v>
          </cell>
          <cell r="S62">
            <v>507.8</v>
          </cell>
          <cell r="V62">
            <v>1699.3999999999999</v>
          </cell>
        </row>
        <row r="63">
          <cell r="P63">
            <v>3167.4</v>
          </cell>
          <cell r="Q63">
            <v>216</v>
          </cell>
          <cell r="R63">
            <v>715.2</v>
          </cell>
          <cell r="S63">
            <v>514.4</v>
          </cell>
          <cell r="V63">
            <v>1721.8000000000002</v>
          </cell>
        </row>
        <row r="64">
          <cell r="P64">
            <v>3177.6000000000004</v>
          </cell>
          <cell r="Q64">
            <v>219.8</v>
          </cell>
          <cell r="R64">
            <v>727.6</v>
          </cell>
          <cell r="S64">
            <v>519.19999999999993</v>
          </cell>
          <cell r="V64">
            <v>1711.0000000000002</v>
          </cell>
        </row>
        <row r="65">
          <cell r="P65">
            <v>3213.1000000000004</v>
          </cell>
          <cell r="Q65">
            <v>226.5</v>
          </cell>
          <cell r="R65">
            <v>702</v>
          </cell>
          <cell r="S65">
            <v>524.5</v>
          </cell>
          <cell r="V65">
            <v>1760.1000000000001</v>
          </cell>
        </row>
        <row r="66">
          <cell r="P66">
            <v>3409.5</v>
          </cell>
          <cell r="Q66">
            <v>245.8</v>
          </cell>
          <cell r="R66">
            <v>763.5</v>
          </cell>
          <cell r="S66">
            <v>539.30000000000007</v>
          </cell>
          <cell r="V66">
            <v>1860.8999999999999</v>
          </cell>
        </row>
        <row r="67">
          <cell r="P67">
            <v>3426.2</v>
          </cell>
          <cell r="Q67">
            <v>249.2</v>
          </cell>
          <cell r="R67">
            <v>779.1</v>
          </cell>
          <cell r="S67">
            <v>544.70000000000005</v>
          </cell>
          <cell r="V67">
            <v>1853.2000000000003</v>
          </cell>
        </row>
        <row r="68">
          <cell r="P68">
            <v>3457.6000000000004</v>
          </cell>
          <cell r="Q68">
            <v>251.60000000000002</v>
          </cell>
          <cell r="R68">
            <v>794.1</v>
          </cell>
          <cell r="S68">
            <v>551.20000000000005</v>
          </cell>
          <cell r="V68">
            <v>1860.7</v>
          </cell>
        </row>
        <row r="69">
          <cell r="P69">
            <v>3514.1</v>
          </cell>
          <cell r="Q69">
            <v>262.89999999999998</v>
          </cell>
          <cell r="R69">
            <v>816.2</v>
          </cell>
          <cell r="S69">
            <v>556.1</v>
          </cell>
          <cell r="V69">
            <v>1878.8999999999996</v>
          </cell>
        </row>
        <row r="70">
          <cell r="P70">
            <v>3522.3</v>
          </cell>
          <cell r="Q70">
            <v>264.2</v>
          </cell>
          <cell r="R70">
            <v>829.1</v>
          </cell>
          <cell r="S70">
            <v>558.9</v>
          </cell>
          <cell r="V70">
            <v>1870.1000000000001</v>
          </cell>
        </row>
        <row r="71">
          <cell r="P71">
            <v>3569</v>
          </cell>
          <cell r="Q71">
            <v>261.7</v>
          </cell>
          <cell r="R71">
            <v>847.59999999999991</v>
          </cell>
          <cell r="S71">
            <v>569.79999999999995</v>
          </cell>
          <cell r="V71">
            <v>1889.8999999999996</v>
          </cell>
        </row>
        <row r="72">
          <cell r="P72">
            <v>3611.7</v>
          </cell>
          <cell r="Q72">
            <v>263</v>
          </cell>
          <cell r="R72">
            <v>858</v>
          </cell>
          <cell r="S72">
            <v>573.1</v>
          </cell>
          <cell r="V72">
            <v>1917.5999999999995</v>
          </cell>
        </row>
        <row r="73">
          <cell r="P73">
            <v>3636.4</v>
          </cell>
          <cell r="Q73">
            <v>263.29999999999995</v>
          </cell>
          <cell r="R73">
            <v>867.40000000000009</v>
          </cell>
          <cell r="S73">
            <v>580.80000000000007</v>
          </cell>
          <cell r="V73">
            <v>1924.9</v>
          </cell>
        </row>
        <row r="74">
          <cell r="P74">
            <v>3675.3999999999996</v>
          </cell>
          <cell r="Q74">
            <v>269.89999999999998</v>
          </cell>
          <cell r="R74">
            <v>885.9</v>
          </cell>
          <cell r="S74">
            <v>582.79999999999995</v>
          </cell>
          <cell r="V74">
            <v>1936.7999999999997</v>
          </cell>
        </row>
        <row r="75">
          <cell r="P75">
            <v>3733</v>
          </cell>
          <cell r="Q75">
            <v>290.2</v>
          </cell>
          <cell r="R75">
            <v>898</v>
          </cell>
          <cell r="S75">
            <v>590.19999999999993</v>
          </cell>
          <cell r="V75">
            <v>1954.6</v>
          </cell>
        </row>
        <row r="76">
          <cell r="P76">
            <v>3754.8</v>
          </cell>
          <cell r="Q76">
            <v>298.5</v>
          </cell>
          <cell r="R76">
            <v>908.7</v>
          </cell>
          <cell r="S76">
            <v>590.80000000000007</v>
          </cell>
          <cell r="V76">
            <v>1956.8000000000002</v>
          </cell>
        </row>
        <row r="77">
          <cell r="P77">
            <v>3803.1</v>
          </cell>
          <cell r="Q77">
            <v>290.39999999999998</v>
          </cell>
          <cell r="R77">
            <v>923.2</v>
          </cell>
          <cell r="S77">
            <v>588.1</v>
          </cell>
          <cell r="V77">
            <v>2001.4</v>
          </cell>
        </row>
      </sheetData>
      <sheetData sheetId="13" refreshError="1">
        <row r="227">
          <cell r="W227">
            <v>7862.7</v>
          </cell>
          <cell r="X227">
            <v>1200.7</v>
          </cell>
          <cell r="Y227">
            <v>867.8</v>
          </cell>
          <cell r="Z227">
            <v>605.1</v>
          </cell>
          <cell r="AA227">
            <v>2488.8000000000002</v>
          </cell>
          <cell r="AC227">
            <v>2700.3</v>
          </cell>
        </row>
        <row r="230">
          <cell r="W230">
            <v>7649.2</v>
          </cell>
          <cell r="X230">
            <v>1133.2</v>
          </cell>
          <cell r="Y230">
            <v>819.40000000000009</v>
          </cell>
          <cell r="Z230">
            <v>1033</v>
          </cell>
          <cell r="AA230">
            <v>2156.4</v>
          </cell>
          <cell r="AC230">
            <v>2507.1999999999998</v>
          </cell>
        </row>
        <row r="233">
          <cell r="W233">
            <v>7629</v>
          </cell>
          <cell r="X233">
            <v>1167.8</v>
          </cell>
          <cell r="Y233">
            <v>789.69999999999993</v>
          </cell>
          <cell r="Z233">
            <v>921.5</v>
          </cell>
          <cell r="AA233">
            <v>2211.5</v>
          </cell>
          <cell r="AC233">
            <v>2538.5</v>
          </cell>
        </row>
        <row r="236">
          <cell r="W236">
            <v>7849.7999999999993</v>
          </cell>
          <cell r="X236">
            <v>1137.0999999999999</v>
          </cell>
          <cell r="Y236">
            <v>798.4</v>
          </cell>
          <cell r="Z236">
            <v>943.6</v>
          </cell>
          <cell r="AA236">
            <v>2236.1999999999998</v>
          </cell>
          <cell r="AC236">
            <v>2734.5</v>
          </cell>
        </row>
        <row r="239">
          <cell r="W239">
            <v>8070.5000000000009</v>
          </cell>
          <cell r="X239">
            <v>1191.3999999999999</v>
          </cell>
          <cell r="Y239">
            <v>836.1</v>
          </cell>
          <cell r="Z239">
            <v>946.30000000000007</v>
          </cell>
          <cell r="AA239">
            <v>2207.6000000000004</v>
          </cell>
          <cell r="AC239">
            <v>2889.1000000000004</v>
          </cell>
        </row>
        <row r="242">
          <cell r="W242">
            <v>8165.8</v>
          </cell>
          <cell r="X242">
            <v>1256.8</v>
          </cell>
          <cell r="Y242">
            <v>926.9</v>
          </cell>
          <cell r="Z242">
            <v>913.4</v>
          </cell>
          <cell r="AA242">
            <v>2246.1</v>
          </cell>
          <cell r="AC242">
            <v>2822.6</v>
          </cell>
        </row>
        <row r="245">
          <cell r="W245">
            <v>8156.4</v>
          </cell>
          <cell r="X245">
            <v>1179.2</v>
          </cell>
          <cell r="Y245">
            <v>943.9</v>
          </cell>
          <cell r="Z245">
            <v>881.30000000000007</v>
          </cell>
          <cell r="AA245">
            <v>2387.1999999999998</v>
          </cell>
          <cell r="AC245">
            <v>2764.7999999999993</v>
          </cell>
        </row>
        <row r="248">
          <cell r="W248">
            <v>8152</v>
          </cell>
          <cell r="X248">
            <v>1099.9000000000001</v>
          </cell>
          <cell r="Y248">
            <v>1028.7</v>
          </cell>
          <cell r="Z248">
            <v>884.9</v>
          </cell>
          <cell r="AA248">
            <v>2363.9</v>
          </cell>
          <cell r="AC248">
            <v>2774.6000000000004</v>
          </cell>
        </row>
        <row r="251">
          <cell r="W251">
            <v>8484.7000000000007</v>
          </cell>
          <cell r="X251">
            <v>1221.3999999999999</v>
          </cell>
          <cell r="Y251">
            <v>998.69999999999993</v>
          </cell>
          <cell r="Z251">
            <v>815.9</v>
          </cell>
          <cell r="AA251">
            <v>2632.2999999999997</v>
          </cell>
          <cell r="AC251">
            <v>2816.4</v>
          </cell>
        </row>
        <row r="254">
          <cell r="W254">
            <v>9167.2000000000007</v>
          </cell>
          <cell r="X254">
            <v>1115</v>
          </cell>
          <cell r="Y254">
            <v>951.80000000000007</v>
          </cell>
          <cell r="Z254">
            <v>841.5</v>
          </cell>
          <cell r="AA254">
            <v>3226.5</v>
          </cell>
          <cell r="AC254">
            <v>3032.4</v>
          </cell>
        </row>
        <row r="257">
          <cell r="W257">
            <v>10007.900000000001</v>
          </cell>
          <cell r="X257">
            <v>1135.5999999999999</v>
          </cell>
          <cell r="Y257">
            <v>939.6</v>
          </cell>
          <cell r="Z257">
            <v>849.2</v>
          </cell>
          <cell r="AA257">
            <v>3774.3</v>
          </cell>
          <cell r="AC257">
            <v>3309.2000000000007</v>
          </cell>
        </row>
        <row r="260">
          <cell r="W260">
            <v>10026</v>
          </cell>
          <cell r="X260">
            <v>1315.2</v>
          </cell>
          <cell r="Y260">
            <v>1066.2</v>
          </cell>
          <cell r="Z260">
            <v>846.19999999999993</v>
          </cell>
          <cell r="AA260">
            <v>3706.3</v>
          </cell>
          <cell r="AC260">
            <v>3092.1</v>
          </cell>
        </row>
        <row r="263">
          <cell r="W263">
            <v>10635.2</v>
          </cell>
          <cell r="X263">
            <v>1495.7</v>
          </cell>
          <cell r="Y263">
            <v>1082.7</v>
          </cell>
          <cell r="Z263">
            <v>892</v>
          </cell>
          <cell r="AA263">
            <v>3894.2000000000003</v>
          </cell>
          <cell r="AC263">
            <v>3270.6000000000008</v>
          </cell>
        </row>
        <row r="266">
          <cell r="W266">
            <v>11003.5</v>
          </cell>
          <cell r="X266">
            <v>1437</v>
          </cell>
          <cell r="Y266">
            <v>990.5</v>
          </cell>
          <cell r="Z266">
            <v>894.1</v>
          </cell>
          <cell r="AA266">
            <v>4089.7999999999997</v>
          </cell>
          <cell r="AC266">
            <v>3592.1000000000004</v>
          </cell>
        </row>
        <row r="269">
          <cell r="W269">
            <v>11451.1</v>
          </cell>
          <cell r="X269">
            <v>1430.3999999999999</v>
          </cell>
          <cell r="Y269">
            <v>1093.8</v>
          </cell>
          <cell r="Z269">
            <v>844.3</v>
          </cell>
          <cell r="AA269">
            <v>4364.8</v>
          </cell>
          <cell r="AC269">
            <v>3717.7999999999997</v>
          </cell>
        </row>
        <row r="272">
          <cell r="W272">
            <v>11609.5</v>
          </cell>
          <cell r="X272">
            <v>1189</v>
          </cell>
          <cell r="Y272">
            <v>1083.5</v>
          </cell>
          <cell r="Z272">
            <v>809.3</v>
          </cell>
          <cell r="AA272">
            <v>4625.0999999999995</v>
          </cell>
          <cell r="AC272">
            <v>3902.5999999999995</v>
          </cell>
        </row>
        <row r="275">
          <cell r="W275">
            <v>12147.900000000001</v>
          </cell>
          <cell r="X275">
            <v>1340.8</v>
          </cell>
          <cell r="Y275">
            <v>1043.2</v>
          </cell>
          <cell r="Z275">
            <v>823.5</v>
          </cell>
          <cell r="AA275">
            <v>4715.3999999999996</v>
          </cell>
          <cell r="AC275">
            <v>4225.0000000000009</v>
          </cell>
        </row>
        <row r="278">
          <cell r="W278">
            <v>12092</v>
          </cell>
          <cell r="X278">
            <v>1395.4</v>
          </cell>
          <cell r="Y278">
            <v>764.40000000000009</v>
          </cell>
          <cell r="Z278">
            <v>827.2</v>
          </cell>
          <cell r="AA278">
            <v>4881.9000000000005</v>
          </cell>
          <cell r="AC278">
            <v>4223.1000000000004</v>
          </cell>
        </row>
        <row r="281">
          <cell r="W281">
            <v>12402.6</v>
          </cell>
          <cell r="X281">
            <v>1395.6000000000001</v>
          </cell>
          <cell r="Y281">
            <v>783.7</v>
          </cell>
          <cell r="Z281">
            <v>816.40000000000009</v>
          </cell>
          <cell r="AA281">
            <v>5293.1</v>
          </cell>
          <cell r="AC281">
            <v>4113.8</v>
          </cell>
        </row>
        <row r="284">
          <cell r="W284">
            <v>12746.8</v>
          </cell>
          <cell r="X284">
            <v>1575</v>
          </cell>
          <cell r="Y284">
            <v>1159.7</v>
          </cell>
          <cell r="Z284">
            <v>807.1</v>
          </cell>
          <cell r="AA284">
            <v>5214.3</v>
          </cell>
          <cell r="AC284">
            <v>3990.7</v>
          </cell>
        </row>
        <row r="287">
          <cell r="W287">
            <v>13046.2</v>
          </cell>
          <cell r="X287">
            <v>1554.5</v>
          </cell>
          <cell r="Y287">
            <v>1339</v>
          </cell>
          <cell r="Z287">
            <v>803</v>
          </cell>
          <cell r="AA287">
            <v>5209.1000000000004</v>
          </cell>
          <cell r="AC287">
            <v>4140.6000000000004</v>
          </cell>
        </row>
        <row r="290">
          <cell r="W290">
            <v>13320.8</v>
          </cell>
          <cell r="X290">
            <v>1651.8</v>
          </cell>
          <cell r="Y290">
            <v>1120.8</v>
          </cell>
          <cell r="Z290">
            <v>804.9</v>
          </cell>
          <cell r="AA290">
            <v>5444.5999999999995</v>
          </cell>
          <cell r="AC290">
            <v>4298.7</v>
          </cell>
        </row>
        <row r="293">
          <cell r="W293">
            <v>13243.7</v>
          </cell>
          <cell r="X293">
            <v>1629</v>
          </cell>
          <cell r="Y293">
            <v>1124.7</v>
          </cell>
          <cell r="Z293">
            <v>732.30000000000007</v>
          </cell>
          <cell r="AA293">
            <v>5448.6</v>
          </cell>
          <cell r="AC293">
            <v>4309.1000000000004</v>
          </cell>
        </row>
        <row r="296">
          <cell r="W296">
            <v>13373.4</v>
          </cell>
          <cell r="X296">
            <v>1656.6</v>
          </cell>
          <cell r="Y296">
            <v>1184.8</v>
          </cell>
          <cell r="Z296">
            <v>711.30000000000007</v>
          </cell>
          <cell r="AA296">
            <v>5341.8</v>
          </cell>
          <cell r="AC296">
            <v>4478.8999999999996</v>
          </cell>
        </row>
        <row r="299">
          <cell r="W299">
            <v>14621.8</v>
          </cell>
          <cell r="X299">
            <v>1898.9</v>
          </cell>
          <cell r="Y299">
            <v>1181.2</v>
          </cell>
          <cell r="Z299">
            <v>744.40000000000009</v>
          </cell>
          <cell r="AA299">
            <v>5541.1</v>
          </cell>
          <cell r="AC299">
            <v>5256.2000000000007</v>
          </cell>
        </row>
        <row r="302">
          <cell r="W302">
            <v>14621.400000000001</v>
          </cell>
          <cell r="X302">
            <v>1944.8000000000002</v>
          </cell>
          <cell r="Y302">
            <v>1714.9</v>
          </cell>
          <cell r="Z302">
            <v>755.8</v>
          </cell>
          <cell r="AA302">
            <v>5464</v>
          </cell>
          <cell r="AC302">
            <v>4741.9000000000005</v>
          </cell>
        </row>
        <row r="305">
          <cell r="W305">
            <v>14777.7</v>
          </cell>
          <cell r="X305">
            <v>1702.8999999999999</v>
          </cell>
          <cell r="Y305">
            <v>1525.5</v>
          </cell>
          <cell r="Z305">
            <v>761.4</v>
          </cell>
          <cell r="AA305">
            <v>5671.5999999999995</v>
          </cell>
          <cell r="AC305">
            <v>5116.3</v>
          </cell>
        </row>
        <row r="308">
          <cell r="W308">
            <v>14785.9</v>
          </cell>
          <cell r="X308">
            <v>1859.5</v>
          </cell>
          <cell r="Y308">
            <v>1605.6</v>
          </cell>
          <cell r="Z308">
            <v>792.1</v>
          </cell>
          <cell r="AA308">
            <v>5486</v>
          </cell>
          <cell r="AC308">
            <v>5042.7</v>
          </cell>
        </row>
        <row r="311">
          <cell r="W311">
            <v>14920.400000000001</v>
          </cell>
          <cell r="X311">
            <v>1735.3999999999999</v>
          </cell>
          <cell r="Y311">
            <v>1616.3</v>
          </cell>
          <cell r="Z311">
            <v>780.9</v>
          </cell>
          <cell r="AA311">
            <v>5648.4</v>
          </cell>
          <cell r="AC311">
            <v>5139.3999999999996</v>
          </cell>
        </row>
        <row r="314">
          <cell r="W314">
            <v>15341.7</v>
          </cell>
          <cell r="X314">
            <v>2199.8000000000002</v>
          </cell>
          <cell r="Y314">
            <v>1245.3</v>
          </cell>
          <cell r="Z314">
            <v>836.6</v>
          </cell>
          <cell r="AA314">
            <v>5543.5</v>
          </cell>
          <cell r="AC314">
            <v>5516.5</v>
          </cell>
        </row>
        <row r="317">
          <cell r="W317">
            <v>14853.3</v>
          </cell>
          <cell r="X317">
            <v>2098.1000000000004</v>
          </cell>
          <cell r="Y317">
            <v>1118.2</v>
          </cell>
          <cell r="Z317">
            <v>839.1</v>
          </cell>
          <cell r="AA317">
            <v>5600.9</v>
          </cell>
          <cell r="AC317">
            <v>5197</v>
          </cell>
        </row>
        <row r="320">
          <cell r="W320">
            <v>14996.3</v>
          </cell>
          <cell r="X320">
            <v>1525.3999999999999</v>
          </cell>
          <cell r="Y320">
            <v>1371.5</v>
          </cell>
          <cell r="Z320">
            <v>832.1</v>
          </cell>
          <cell r="AA320">
            <v>5560.7</v>
          </cell>
          <cell r="AC320">
            <v>5706.5999999999995</v>
          </cell>
        </row>
        <row r="323">
          <cell r="W323">
            <v>14654.1</v>
          </cell>
          <cell r="X323">
            <v>1427.2</v>
          </cell>
          <cell r="Y323">
            <v>1286.5999999999999</v>
          </cell>
          <cell r="Z323">
            <v>829.8</v>
          </cell>
          <cell r="AA323">
            <v>5254.6</v>
          </cell>
          <cell r="AC323">
            <v>5855.9000000000005</v>
          </cell>
        </row>
        <row r="326">
          <cell r="W326">
            <v>15311.5</v>
          </cell>
          <cell r="X326">
            <v>1560.3</v>
          </cell>
          <cell r="Y326">
            <v>1305.3</v>
          </cell>
          <cell r="Z326">
            <v>857.69999999999993</v>
          </cell>
          <cell r="AA326">
            <v>5383.5</v>
          </cell>
          <cell r="AC326">
            <v>6204.6999999999989</v>
          </cell>
        </row>
        <row r="329">
          <cell r="W329">
            <v>16757.5</v>
          </cell>
          <cell r="X329">
            <v>1794.6</v>
          </cell>
          <cell r="Y329">
            <v>1521.8000000000002</v>
          </cell>
          <cell r="Z329">
            <v>819.6</v>
          </cell>
          <cell r="AA329">
            <v>6000.4</v>
          </cell>
          <cell r="AC329">
            <v>6621.0999999999995</v>
          </cell>
        </row>
        <row r="332">
          <cell r="W332">
            <v>18268.5</v>
          </cell>
          <cell r="X332">
            <v>1754.1</v>
          </cell>
          <cell r="Y332">
            <v>1524.1000000000001</v>
          </cell>
          <cell r="Z332">
            <v>1414.5</v>
          </cell>
          <cell r="AA332">
            <v>6273.2999999999993</v>
          </cell>
          <cell r="AC332">
            <v>7302.5</v>
          </cell>
        </row>
        <row r="335">
          <cell r="W335">
            <v>18667.300000000003</v>
          </cell>
          <cell r="X335">
            <v>1560.5</v>
          </cell>
          <cell r="Y335">
            <v>1314.5</v>
          </cell>
          <cell r="Z335">
            <v>1857.6</v>
          </cell>
          <cell r="AA335">
            <v>6149</v>
          </cell>
          <cell r="AC335">
            <v>7785.7000000000007</v>
          </cell>
        </row>
        <row r="338">
          <cell r="W338">
            <v>19908.599999999999</v>
          </cell>
          <cell r="X338">
            <v>1797.6</v>
          </cell>
          <cell r="Y338">
            <v>1429.1</v>
          </cell>
          <cell r="Z338">
            <v>2149.1999999999998</v>
          </cell>
          <cell r="AA338">
            <v>6385.5</v>
          </cell>
          <cell r="AC338">
            <v>8147.2</v>
          </cell>
        </row>
        <row r="341">
          <cell r="W341">
            <v>21229.8</v>
          </cell>
          <cell r="X341">
            <v>1912</v>
          </cell>
          <cell r="Y341">
            <v>1716</v>
          </cell>
          <cell r="Z341">
            <v>2359.8999999999996</v>
          </cell>
          <cell r="AA341">
            <v>6842.2999999999993</v>
          </cell>
          <cell r="AC341">
            <v>8399.6</v>
          </cell>
        </row>
        <row r="344">
          <cell r="W344">
            <v>22183</v>
          </cell>
          <cell r="X344">
            <v>2129.9</v>
          </cell>
          <cell r="Y344">
            <v>1762.6</v>
          </cell>
          <cell r="Z344">
            <v>2615.1</v>
          </cell>
          <cell r="AA344">
            <v>7173.3</v>
          </cell>
          <cell r="AC344">
            <v>8502.1</v>
          </cell>
        </row>
        <row r="347">
          <cell r="W347">
            <v>24497.9</v>
          </cell>
          <cell r="X347">
            <v>2133.4</v>
          </cell>
          <cell r="Y347">
            <v>2158.7999999999997</v>
          </cell>
          <cell r="Z347">
            <v>2618.3000000000002</v>
          </cell>
          <cell r="AA347">
            <v>7788.0000000000009</v>
          </cell>
          <cell r="AC347">
            <v>9799.4000000000015</v>
          </cell>
        </row>
        <row r="350">
          <cell r="W350">
            <v>25412.799999999999</v>
          </cell>
          <cell r="X350">
            <v>2168.4</v>
          </cell>
          <cell r="Y350">
            <v>2485.9</v>
          </cell>
          <cell r="Z350">
            <v>3063.5</v>
          </cell>
          <cell r="AA350">
            <v>7941.8</v>
          </cell>
          <cell r="AC350">
            <v>9753.1999999999989</v>
          </cell>
        </row>
        <row r="353">
          <cell r="W353">
            <v>28748.7</v>
          </cell>
          <cell r="X353">
            <v>2020.2</v>
          </cell>
          <cell r="Y353">
            <v>2542.2000000000003</v>
          </cell>
          <cell r="Z353">
            <v>4450.8</v>
          </cell>
          <cell r="AA353">
            <v>8585.9</v>
          </cell>
          <cell r="AC353">
            <v>11149.6</v>
          </cell>
        </row>
        <row r="356">
          <cell r="W356">
            <v>28911.9</v>
          </cell>
          <cell r="X356">
            <v>2124.6</v>
          </cell>
          <cell r="Y356">
            <v>2412.6</v>
          </cell>
          <cell r="Z356">
            <v>4662.7</v>
          </cell>
          <cell r="AA356">
            <v>8724.7000000000007</v>
          </cell>
          <cell r="AC356">
            <v>10987.3</v>
          </cell>
        </row>
        <row r="359">
          <cell r="W359">
            <v>30033.599999999999</v>
          </cell>
          <cell r="X359">
            <v>2281.1</v>
          </cell>
          <cell r="Y359">
            <v>2601.6</v>
          </cell>
          <cell r="Z359">
            <v>4892.6000000000004</v>
          </cell>
          <cell r="AA359">
            <v>8964.6999999999989</v>
          </cell>
          <cell r="AC359">
            <v>11293.6</v>
          </cell>
        </row>
        <row r="362">
          <cell r="W362">
            <v>31205.4</v>
          </cell>
          <cell r="X362">
            <v>2447.1999999999998</v>
          </cell>
          <cell r="Y362">
            <v>2847.8</v>
          </cell>
          <cell r="Z362">
            <v>5339.9</v>
          </cell>
          <cell r="AA362">
            <v>9396.9</v>
          </cell>
          <cell r="AC362">
            <v>11173.600000000002</v>
          </cell>
        </row>
        <row r="365">
          <cell r="W365">
            <v>33603</v>
          </cell>
          <cell r="X365">
            <v>2575.8000000000002</v>
          </cell>
          <cell r="Y365">
            <v>3367.5</v>
          </cell>
          <cell r="Z365">
            <v>5400.2</v>
          </cell>
          <cell r="AA365">
            <v>10088.4</v>
          </cell>
          <cell r="AC365">
            <v>12171.1</v>
          </cell>
        </row>
        <row r="368">
          <cell r="W368">
            <v>34814</v>
          </cell>
          <cell r="X368">
            <v>2619.6</v>
          </cell>
          <cell r="Y368">
            <v>2700.2000000000003</v>
          </cell>
          <cell r="Z368">
            <v>5600.9</v>
          </cell>
          <cell r="AA368">
            <v>10344.5</v>
          </cell>
          <cell r="AC368">
            <v>13548.8</v>
          </cell>
        </row>
        <row r="371">
          <cell r="W371">
            <v>36825.200000000004</v>
          </cell>
          <cell r="X371">
            <v>2683.6</v>
          </cell>
          <cell r="Y371">
            <v>3038.5</v>
          </cell>
          <cell r="Z371">
            <v>6089.2999999999993</v>
          </cell>
          <cell r="AA371">
            <v>10525.900000000001</v>
          </cell>
          <cell r="AC371">
            <v>14487.9</v>
          </cell>
        </row>
        <row r="374">
          <cell r="W374">
            <v>38851.199999999997</v>
          </cell>
          <cell r="X374">
            <v>2687.5</v>
          </cell>
          <cell r="Y374">
            <v>3430.2</v>
          </cell>
          <cell r="Z374">
            <v>6508.2</v>
          </cell>
          <cell r="AA374">
            <v>11509.300000000001</v>
          </cell>
          <cell r="AC374">
            <v>14716.000000000002</v>
          </cell>
        </row>
        <row r="377">
          <cell r="W377">
            <v>40410.699999999997</v>
          </cell>
          <cell r="X377">
            <v>2463.5</v>
          </cell>
          <cell r="Y377">
            <v>3222.1</v>
          </cell>
          <cell r="Z377">
            <v>6774</v>
          </cell>
          <cell r="AA377">
            <v>12240</v>
          </cell>
          <cell r="AC377">
            <v>15711.100000000002</v>
          </cell>
        </row>
        <row r="380">
          <cell r="W380">
            <v>42344.800000000003</v>
          </cell>
          <cell r="X380">
            <v>2790.8</v>
          </cell>
          <cell r="Y380">
            <v>3392.6000000000004</v>
          </cell>
          <cell r="Z380">
            <v>7305.3</v>
          </cell>
          <cell r="AA380">
            <v>12255.999999999998</v>
          </cell>
          <cell r="AC380">
            <v>16600.099999999999</v>
          </cell>
        </row>
        <row r="383">
          <cell r="W383">
            <v>42406</v>
          </cell>
          <cell r="X383">
            <v>2971.3999999999996</v>
          </cell>
          <cell r="Y383">
            <v>3594.2999999999997</v>
          </cell>
          <cell r="Z383">
            <v>7665.7999999999993</v>
          </cell>
          <cell r="AA383">
            <v>12259.300000000001</v>
          </cell>
          <cell r="AC383">
            <v>15915.199999999999</v>
          </cell>
        </row>
        <row r="386">
          <cell r="W386">
            <v>44319.8</v>
          </cell>
          <cell r="X386">
            <v>3096.4</v>
          </cell>
          <cell r="Y386">
            <v>3654.2</v>
          </cell>
          <cell r="Z386">
            <v>8029.2999999999993</v>
          </cell>
          <cell r="AA386">
            <v>12531.3</v>
          </cell>
          <cell r="AC386">
            <v>17008.599999999999</v>
          </cell>
        </row>
        <row r="389">
          <cell r="W389">
            <v>45703.899999999994</v>
          </cell>
          <cell r="X389">
            <v>3318.2000000000003</v>
          </cell>
          <cell r="Y389">
            <v>4164.2</v>
          </cell>
          <cell r="Z389">
            <v>8288.5</v>
          </cell>
          <cell r="AA389">
            <v>12947.3</v>
          </cell>
          <cell r="AC389">
            <v>16985.699999999997</v>
          </cell>
        </row>
        <row r="392">
          <cell r="W392">
            <v>46538.899999999994</v>
          </cell>
          <cell r="X392">
            <v>3381.2999999999997</v>
          </cell>
          <cell r="Y392">
            <v>3948.2</v>
          </cell>
          <cell r="Z392">
            <v>8482.5999999999985</v>
          </cell>
          <cell r="AA392">
            <v>12504.699999999999</v>
          </cell>
          <cell r="AC392">
            <v>18222.099999999999</v>
          </cell>
        </row>
        <row r="395">
          <cell r="W395">
            <v>45884</v>
          </cell>
          <cell r="X395">
            <v>3383</v>
          </cell>
          <cell r="Y395">
            <v>3823.2999999999997</v>
          </cell>
          <cell r="Z395">
            <v>8666.2999999999993</v>
          </cell>
          <cell r="AA395">
            <v>12233.199999999999</v>
          </cell>
          <cell r="AC395">
            <v>17778.2</v>
          </cell>
        </row>
        <row r="398">
          <cell r="W398">
            <v>44879</v>
          </cell>
          <cell r="X398">
            <v>3302.3</v>
          </cell>
          <cell r="Y398">
            <v>3668.2000000000003</v>
          </cell>
          <cell r="Z398">
            <v>8829.2999999999993</v>
          </cell>
          <cell r="AA398">
            <v>12257.4</v>
          </cell>
          <cell r="AC398">
            <v>16821.8</v>
          </cell>
        </row>
        <row r="401">
          <cell r="W401">
            <v>46509.3</v>
          </cell>
          <cell r="X401">
            <v>3249.6000000000004</v>
          </cell>
          <cell r="Y401">
            <v>3810.7</v>
          </cell>
          <cell r="Z401">
            <v>10100.4</v>
          </cell>
          <cell r="AA401">
            <v>11410.3</v>
          </cell>
          <cell r="AC401">
            <v>17938.3</v>
          </cell>
        </row>
        <row r="404">
          <cell r="W404">
            <v>45321</v>
          </cell>
          <cell r="X404">
            <v>2999.9</v>
          </cell>
          <cell r="Y404">
            <v>3698.9</v>
          </cell>
          <cell r="Z404">
            <v>10239.5</v>
          </cell>
          <cell r="AA404">
            <v>11069</v>
          </cell>
          <cell r="AC404">
            <v>17313.7</v>
          </cell>
        </row>
        <row r="407">
          <cell r="W407">
            <v>45034.8</v>
          </cell>
          <cell r="X407">
            <v>2919.6</v>
          </cell>
          <cell r="Y407">
            <v>3555.9</v>
          </cell>
          <cell r="Z407">
            <v>10327.700000000001</v>
          </cell>
          <cell r="AA407">
            <v>11065.599999999999</v>
          </cell>
          <cell r="AC407">
            <v>17166</v>
          </cell>
        </row>
        <row r="410">
          <cell r="W410">
            <v>45996.399999999994</v>
          </cell>
          <cell r="X410">
            <v>2779.4</v>
          </cell>
          <cell r="Y410">
            <v>3246.2000000000003</v>
          </cell>
          <cell r="Z410">
            <v>10585</v>
          </cell>
          <cell r="AA410">
            <v>11106.099999999999</v>
          </cell>
          <cell r="AC410">
            <v>18279.7</v>
          </cell>
        </row>
        <row r="413">
          <cell r="W413">
            <v>46329.599999999999</v>
          </cell>
          <cell r="X413">
            <v>3151.5</v>
          </cell>
          <cell r="Y413">
            <v>3276.7</v>
          </cell>
          <cell r="Z413">
            <v>10896.5</v>
          </cell>
          <cell r="AA413">
            <v>11937</v>
          </cell>
          <cell r="AC413">
            <v>17067.899999999998</v>
          </cell>
        </row>
        <row r="416">
          <cell r="W416">
            <v>46896.5</v>
          </cell>
          <cell r="X416">
            <v>2954.1000000000004</v>
          </cell>
          <cell r="Y416">
            <v>3179.8999999999996</v>
          </cell>
          <cell r="Z416">
            <v>11130.3</v>
          </cell>
          <cell r="AA416">
            <v>11703.9</v>
          </cell>
          <cell r="AC416">
            <v>17928.300000000003</v>
          </cell>
        </row>
        <row r="419">
          <cell r="W419">
            <v>46928.4</v>
          </cell>
          <cell r="X419">
            <v>3082.2000000000003</v>
          </cell>
          <cell r="Y419">
            <v>2856</v>
          </cell>
          <cell r="Z419">
            <v>11317</v>
          </cell>
          <cell r="AA419">
            <v>11712.000000000002</v>
          </cell>
          <cell r="AC419">
            <v>17961.199999999997</v>
          </cell>
        </row>
        <row r="422">
          <cell r="W422">
            <v>48398.1</v>
          </cell>
          <cell r="X422">
            <v>3265.5</v>
          </cell>
          <cell r="Y422">
            <v>2997.4</v>
          </cell>
          <cell r="Z422">
            <v>11664.8</v>
          </cell>
          <cell r="AA422">
            <v>11561.999999999998</v>
          </cell>
          <cell r="AC422">
            <v>18908.400000000001</v>
          </cell>
        </row>
        <row r="425">
          <cell r="W425">
            <v>48347.5</v>
          </cell>
          <cell r="X425">
            <v>3402.5</v>
          </cell>
          <cell r="Y425">
            <v>3095.6000000000004</v>
          </cell>
          <cell r="Z425">
            <v>11908.4</v>
          </cell>
          <cell r="AA425">
            <v>12152.899999999998</v>
          </cell>
          <cell r="AC425">
            <v>17788.100000000002</v>
          </cell>
        </row>
        <row r="428">
          <cell r="W428">
            <v>48520.100000000006</v>
          </cell>
          <cell r="X428">
            <v>3458.5</v>
          </cell>
          <cell r="Y428">
            <v>3088.4</v>
          </cell>
          <cell r="Z428">
            <v>12108.8</v>
          </cell>
          <cell r="AA428">
            <v>11965.6</v>
          </cell>
          <cell r="AC428">
            <v>17898.800000000003</v>
          </cell>
        </row>
        <row r="431">
          <cell r="W431">
            <v>48719.299999999996</v>
          </cell>
          <cell r="X431">
            <v>3691.2</v>
          </cell>
          <cell r="Y431">
            <v>3193.6</v>
          </cell>
          <cell r="Z431">
            <v>12386.400000000001</v>
          </cell>
          <cell r="AA431">
            <v>11767.999999999998</v>
          </cell>
          <cell r="AC431">
            <v>17680.099999999999</v>
          </cell>
        </row>
        <row r="434">
          <cell r="W434">
            <v>50045.399999999994</v>
          </cell>
          <cell r="X434">
            <v>3695.4</v>
          </cell>
          <cell r="Y434">
            <v>3213</v>
          </cell>
          <cell r="Z434">
            <v>12833.8</v>
          </cell>
          <cell r="AA434">
            <v>11864.999999999998</v>
          </cell>
          <cell r="AC434">
            <v>18438.199999999997</v>
          </cell>
        </row>
        <row r="437">
          <cell r="W437">
            <v>50292.2</v>
          </cell>
          <cell r="X437">
            <v>3623.2999999999997</v>
          </cell>
          <cell r="Y437">
            <v>3246</v>
          </cell>
          <cell r="Z437">
            <v>13263.3</v>
          </cell>
          <cell r="AA437">
            <v>12393.800000000001</v>
          </cell>
          <cell r="AC437">
            <v>17765.8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ra"/>
      <sheetName val="cria2006"/>
      <sheetName val="crid2006"/>
      <sheetName val="ecu1"/>
      <sheetName val="ecuprov"/>
      <sheetName val="mex_múltiple"/>
      <sheetName val="mex_desarrollo"/>
      <sheetName val="ven"/>
      <sheetName val="crid2008"/>
    </sheetNames>
    <sheetDataSet>
      <sheetData sheetId="0" refreshError="1">
        <row r="15">
          <cell r="G15">
            <v>46398.7</v>
          </cell>
        </row>
        <row r="27">
          <cell r="G27">
            <v>41953.499999999993</v>
          </cell>
        </row>
        <row r="32">
          <cell r="G32">
            <v>36946.1</v>
          </cell>
        </row>
        <row r="33">
          <cell r="G33">
            <v>36998.6</v>
          </cell>
        </row>
        <row r="34">
          <cell r="G34">
            <v>35546.400000000001</v>
          </cell>
        </row>
        <row r="35">
          <cell r="G35">
            <v>34594.5</v>
          </cell>
        </row>
        <row r="36">
          <cell r="G36">
            <v>34493.31</v>
          </cell>
        </row>
        <row r="37">
          <cell r="G37">
            <v>33312.5</v>
          </cell>
        </row>
        <row r="38">
          <cell r="G38">
            <v>32344</v>
          </cell>
        </row>
        <row r="39">
          <cell r="G39">
            <v>31427.7</v>
          </cell>
        </row>
        <row r="40">
          <cell r="G40">
            <v>32019.200000000001</v>
          </cell>
        </row>
        <row r="41">
          <cell r="G41">
            <v>31191.399999999998</v>
          </cell>
        </row>
        <row r="42">
          <cell r="G42">
            <v>32047</v>
          </cell>
        </row>
        <row r="43">
          <cell r="G43">
            <v>31554.799999999999</v>
          </cell>
        </row>
        <row r="44">
          <cell r="G44">
            <v>31656.799999999999</v>
          </cell>
        </row>
        <row r="45">
          <cell r="G45">
            <v>31304.5</v>
          </cell>
        </row>
        <row r="46">
          <cell r="G46">
            <v>30326.200000000004</v>
          </cell>
        </row>
        <row r="47">
          <cell r="G47">
            <v>29635.5</v>
          </cell>
        </row>
        <row r="48">
          <cell r="G48">
            <v>26567.899999999998</v>
          </cell>
        </row>
        <row r="49">
          <cell r="G49">
            <v>25704.600000000002</v>
          </cell>
        </row>
        <row r="50">
          <cell r="G50">
            <v>25415.7</v>
          </cell>
        </row>
        <row r="51">
          <cell r="G51">
            <v>24649.7</v>
          </cell>
        </row>
        <row r="52">
          <cell r="G52">
            <v>23758.5</v>
          </cell>
        </row>
        <row r="53">
          <cell r="G53">
            <v>23401.100000000002</v>
          </cell>
        </row>
        <row r="54">
          <cell r="G54">
            <v>22419.799999999996</v>
          </cell>
        </row>
        <row r="55">
          <cell r="G55">
            <v>22396.899999999998</v>
          </cell>
        </row>
        <row r="56">
          <cell r="G56">
            <v>22170.9</v>
          </cell>
        </row>
        <row r="57">
          <cell r="G57">
            <v>21624.9</v>
          </cell>
        </row>
        <row r="58">
          <cell r="G58">
            <v>21164.9</v>
          </cell>
        </row>
        <row r="59">
          <cell r="G59">
            <v>21397.399999999998</v>
          </cell>
        </row>
        <row r="60">
          <cell r="G60">
            <v>21192.399999999998</v>
          </cell>
        </row>
        <row r="61">
          <cell r="G61">
            <v>21466.1</v>
          </cell>
        </row>
        <row r="62">
          <cell r="G62">
            <v>21914.7</v>
          </cell>
        </row>
        <row r="63">
          <cell r="G63">
            <v>21725.9</v>
          </cell>
        </row>
        <row r="64">
          <cell r="G64">
            <v>21679.5</v>
          </cell>
        </row>
        <row r="65">
          <cell r="G65">
            <v>22129.599999999999</v>
          </cell>
        </row>
        <row r="66">
          <cell r="G66">
            <v>22473.599999999999</v>
          </cell>
        </row>
        <row r="67">
          <cell r="G67">
            <v>22671.199999999997</v>
          </cell>
        </row>
        <row r="68">
          <cell r="G68">
            <v>23506.300000000003</v>
          </cell>
        </row>
        <row r="69">
          <cell r="G69">
            <v>24970.699999999997</v>
          </cell>
        </row>
        <row r="70">
          <cell r="G70">
            <v>25510.400000000001</v>
          </cell>
        </row>
        <row r="71">
          <cell r="G71">
            <v>26045.800000000003</v>
          </cell>
        </row>
        <row r="72">
          <cell r="G72">
            <v>26523.399999999998</v>
          </cell>
        </row>
        <row r="73">
          <cell r="G73">
            <v>27176.9</v>
          </cell>
        </row>
        <row r="74">
          <cell r="G74">
            <v>27929.3</v>
          </cell>
        </row>
        <row r="75">
          <cell r="G75">
            <v>28128.2</v>
          </cell>
        </row>
        <row r="76">
          <cell r="G76">
            <v>28701.4</v>
          </cell>
        </row>
        <row r="77">
          <cell r="G77">
            <v>28945.8</v>
          </cell>
        </row>
        <row r="78">
          <cell r="G78">
            <v>29885.5</v>
          </cell>
        </row>
        <row r="79">
          <cell r="G79">
            <v>30802.2</v>
          </cell>
        </row>
        <row r="80">
          <cell r="G80">
            <v>31362.000000000004</v>
          </cell>
        </row>
        <row r="81">
          <cell r="G81">
            <v>33108.199999999997</v>
          </cell>
        </row>
        <row r="82">
          <cell r="G82">
            <v>33911.199999999997</v>
          </cell>
        </row>
        <row r="83">
          <cell r="G83">
            <v>35069.200000000004</v>
          </cell>
        </row>
        <row r="84">
          <cell r="G84">
            <v>35773.600000000006</v>
          </cell>
        </row>
        <row r="85">
          <cell r="G85">
            <v>37099.800000000003</v>
          </cell>
        </row>
        <row r="86">
          <cell r="G86">
            <v>38707.200000000004</v>
          </cell>
        </row>
        <row r="87">
          <cell r="G87">
            <v>39885.699999999997</v>
          </cell>
        </row>
        <row r="88">
          <cell r="G88">
            <v>40522.899999999994</v>
          </cell>
        </row>
        <row r="89">
          <cell r="G89">
            <v>41882.800000000003</v>
          </cell>
        </row>
        <row r="90">
          <cell r="G90">
            <v>42145.200000000004</v>
          </cell>
        </row>
        <row r="91">
          <cell r="G91">
            <v>43326.1</v>
          </cell>
        </row>
        <row r="92">
          <cell r="G92">
            <v>45434</v>
          </cell>
        </row>
        <row r="93">
          <cell r="G93">
            <v>47149.5</v>
          </cell>
        </row>
        <row r="94">
          <cell r="G94">
            <v>47792.2</v>
          </cell>
        </row>
        <row r="95">
          <cell r="G95">
            <v>49410.9</v>
          </cell>
        </row>
        <row r="96">
          <cell r="G96">
            <v>51023.900000000009</v>
          </cell>
        </row>
        <row r="97">
          <cell r="G97">
            <v>52627.7</v>
          </cell>
        </row>
        <row r="98">
          <cell r="G98">
            <v>54401.9</v>
          </cell>
        </row>
        <row r="99">
          <cell r="G99">
            <v>54770.2</v>
          </cell>
        </row>
        <row r="100">
          <cell r="G100">
            <v>55519.6</v>
          </cell>
        </row>
        <row r="101">
          <cell r="G101">
            <v>56569.4</v>
          </cell>
        </row>
        <row r="102">
          <cell r="G102">
            <v>57458.5</v>
          </cell>
        </row>
        <row r="103">
          <cell r="G103">
            <v>58796.7</v>
          </cell>
        </row>
        <row r="104">
          <cell r="G104">
            <v>60727.5</v>
          </cell>
        </row>
        <row r="105">
          <cell r="G105">
            <v>61974.900000000009</v>
          </cell>
        </row>
        <row r="106">
          <cell r="G106">
            <v>64439.600000000006</v>
          </cell>
        </row>
        <row r="107">
          <cell r="G107">
            <v>66807.600000000006</v>
          </cell>
        </row>
        <row r="108">
          <cell r="G108">
            <v>68474</v>
          </cell>
        </row>
        <row r="109">
          <cell r="G109">
            <v>70282.399999999994</v>
          </cell>
        </row>
        <row r="110">
          <cell r="G110">
            <v>71899.5</v>
          </cell>
        </row>
        <row r="111">
          <cell r="G111">
            <v>75029</v>
          </cell>
        </row>
        <row r="112">
          <cell r="G112">
            <v>76566.2</v>
          </cell>
        </row>
        <row r="113">
          <cell r="G113">
            <v>76485.5</v>
          </cell>
        </row>
        <row r="114">
          <cell r="G114">
            <v>77601.8</v>
          </cell>
        </row>
        <row r="115">
          <cell r="G115">
            <v>80720.600000000006</v>
          </cell>
        </row>
        <row r="116">
          <cell r="G116">
            <v>81496.299999999988</v>
          </cell>
        </row>
        <row r="117">
          <cell r="G117">
            <v>81367.099999999991</v>
          </cell>
        </row>
        <row r="118">
          <cell r="G118">
            <v>81633.600000000006</v>
          </cell>
        </row>
        <row r="119">
          <cell r="G119">
            <v>83940.200000000012</v>
          </cell>
        </row>
        <row r="120">
          <cell r="G120">
            <v>85628.1</v>
          </cell>
        </row>
        <row r="121">
          <cell r="G121">
            <v>87720.8</v>
          </cell>
        </row>
        <row r="122">
          <cell r="G122">
            <v>87367.4</v>
          </cell>
        </row>
        <row r="123">
          <cell r="G123">
            <v>87109.299999999988</v>
          </cell>
        </row>
        <row r="124">
          <cell r="G124">
            <v>86274.099999999991</v>
          </cell>
        </row>
        <row r="125">
          <cell r="G125">
            <v>88014</v>
          </cell>
        </row>
        <row r="126">
          <cell r="G126">
            <v>89373.5</v>
          </cell>
        </row>
        <row r="127">
          <cell r="G127">
            <v>89682.8</v>
          </cell>
        </row>
        <row r="128">
          <cell r="G128">
            <v>91435.6</v>
          </cell>
        </row>
        <row r="129">
          <cell r="G129">
            <v>92154.8</v>
          </cell>
        </row>
        <row r="130">
          <cell r="G130">
            <v>91192.2</v>
          </cell>
        </row>
        <row r="131">
          <cell r="G131">
            <v>91522.900000000009</v>
          </cell>
        </row>
        <row r="132">
          <cell r="G132">
            <v>91095.9</v>
          </cell>
        </row>
        <row r="133">
          <cell r="G133">
            <v>92244.400000000009</v>
          </cell>
        </row>
        <row r="134">
          <cell r="G134">
            <v>93528.599999999991</v>
          </cell>
        </row>
        <row r="135">
          <cell r="G135">
            <v>97360.500000000015</v>
          </cell>
        </row>
        <row r="136">
          <cell r="G136">
            <v>95895.6</v>
          </cell>
        </row>
        <row r="137">
          <cell r="G137">
            <v>97181.099999999991</v>
          </cell>
        </row>
        <row r="138">
          <cell r="G138">
            <v>100001.60000000001</v>
          </cell>
        </row>
        <row r="139">
          <cell r="G139">
            <v>104621.5</v>
          </cell>
        </row>
        <row r="140">
          <cell r="G140">
            <v>109114.5</v>
          </cell>
        </row>
        <row r="141">
          <cell r="G141">
            <v>111644.8</v>
          </cell>
        </row>
        <row r="142">
          <cell r="G142">
            <v>114519.8</v>
          </cell>
        </row>
        <row r="143">
          <cell r="G143">
            <v>117973</v>
          </cell>
        </row>
        <row r="144">
          <cell r="G144">
            <v>122855.29999999999</v>
          </cell>
        </row>
        <row r="145">
          <cell r="G145">
            <v>127518.39999999999</v>
          </cell>
        </row>
        <row r="146">
          <cell r="G146">
            <v>131864.70000000001</v>
          </cell>
        </row>
        <row r="147">
          <cell r="G147">
            <v>139413.5</v>
          </cell>
        </row>
        <row r="148">
          <cell r="G148">
            <v>143300.4</v>
          </cell>
        </row>
        <row r="149">
          <cell r="G149">
            <v>146868.5</v>
          </cell>
        </row>
        <row r="150">
          <cell r="G150">
            <v>149547</v>
          </cell>
        </row>
        <row r="151">
          <cell r="G151">
            <v>154826.1</v>
          </cell>
        </row>
        <row r="152">
          <cell r="G152">
            <v>161055.69999999998</v>
          </cell>
        </row>
        <row r="153">
          <cell r="G153">
            <v>169407.4</v>
          </cell>
        </row>
        <row r="154">
          <cell r="G154">
            <v>177416.8</v>
          </cell>
        </row>
        <row r="155">
          <cell r="G155">
            <v>183980.2</v>
          </cell>
        </row>
        <row r="156">
          <cell r="G156">
            <v>192025.8</v>
          </cell>
        </row>
        <row r="157">
          <cell r="G157">
            <v>198651.1</v>
          </cell>
        </row>
        <row r="158">
          <cell r="G158">
            <v>201680.4</v>
          </cell>
        </row>
        <row r="159">
          <cell r="G159">
            <v>206966.90000000002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réditos"/>
      <sheetName val="provisiones"/>
      <sheetName val="contraste"/>
      <sheetName val="bancos"/>
      <sheetName val="cooperativas"/>
      <sheetName val="mutualistas"/>
      <sheetName val="socs. fin"/>
      <sheetName val="banca públ"/>
      <sheetName val="Sheet1"/>
    </sheetNames>
    <sheetDataSet>
      <sheetData sheetId="0" refreshError="1">
        <row r="9">
          <cell r="G9">
            <v>2418889.5004099999</v>
          </cell>
        </row>
        <row r="14">
          <cell r="O14">
            <v>392556.10915000003</v>
          </cell>
        </row>
        <row r="26">
          <cell r="O26">
            <v>456366.09152999998</v>
          </cell>
        </row>
        <row r="38">
          <cell r="O38">
            <v>686520.02297000005</v>
          </cell>
        </row>
        <row r="50">
          <cell r="O50">
            <v>875359.03679000004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rg"/>
      <sheetName val="bah"/>
      <sheetName val="bol"/>
      <sheetName val="bra"/>
      <sheetName val="cria2006"/>
      <sheetName val="crid2006"/>
      <sheetName val="ecu1"/>
      <sheetName val="ecuprov"/>
      <sheetName val="mex_múltiple"/>
      <sheetName val="mex_desarrollo"/>
      <sheetName val="nic"/>
      <sheetName val="pan"/>
      <sheetName val="sur"/>
      <sheetName val="t&amp;t"/>
      <sheetName val="ven"/>
      <sheetName val="crid2008"/>
      <sheetName val="rdo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8">
          <cell r="P78">
            <v>3826.8999999999996</v>
          </cell>
          <cell r="Q78">
            <v>298.10000000000002</v>
          </cell>
          <cell r="R78">
            <v>943</v>
          </cell>
          <cell r="S78">
            <v>594.30000000000007</v>
          </cell>
          <cell r="V78">
            <v>1991.5</v>
          </cell>
        </row>
        <row r="79">
          <cell r="P79">
            <v>3874.7000000000003</v>
          </cell>
          <cell r="Q79">
            <v>296.39999999999998</v>
          </cell>
          <cell r="R79">
            <v>975.30000000000007</v>
          </cell>
          <cell r="S79">
            <v>598.90000000000009</v>
          </cell>
          <cell r="V79">
            <v>2004.1000000000001</v>
          </cell>
        </row>
        <row r="80">
          <cell r="P80">
            <v>3912.6</v>
          </cell>
          <cell r="Q80">
            <v>305.7</v>
          </cell>
          <cell r="R80">
            <v>985.3</v>
          </cell>
          <cell r="S80">
            <v>608.29999999999995</v>
          </cell>
          <cell r="V80">
            <v>2013.3000000000002</v>
          </cell>
        </row>
        <row r="81">
          <cell r="P81">
            <v>3960.5</v>
          </cell>
          <cell r="Q81">
            <v>329.5</v>
          </cell>
          <cell r="R81">
            <v>1057</v>
          </cell>
          <cell r="S81">
            <v>617.70000000000005</v>
          </cell>
          <cell r="V81">
            <v>1956.3</v>
          </cell>
        </row>
        <row r="82">
          <cell r="P82">
            <v>3969.6000000000004</v>
          </cell>
          <cell r="Q82">
            <v>329</v>
          </cell>
          <cell r="R82">
            <v>1059.3</v>
          </cell>
          <cell r="S82">
            <v>661.6</v>
          </cell>
          <cell r="V82">
            <v>1919.7</v>
          </cell>
        </row>
        <row r="83">
          <cell r="P83">
            <v>4072.6</v>
          </cell>
          <cell r="Q83">
            <v>327.5</v>
          </cell>
          <cell r="R83">
            <v>1099.5</v>
          </cell>
          <cell r="S83">
            <v>665.1</v>
          </cell>
          <cell r="V83">
            <v>1980.5</v>
          </cell>
        </row>
        <row r="84">
          <cell r="P84">
            <v>4133.2</v>
          </cell>
          <cell r="Q84">
            <v>330.7</v>
          </cell>
          <cell r="R84">
            <v>1105.2</v>
          </cell>
          <cell r="S84">
            <v>670.7</v>
          </cell>
          <cell r="V84">
            <v>2026.6</v>
          </cell>
        </row>
        <row r="85">
          <cell r="P85">
            <v>4199.7</v>
          </cell>
          <cell r="Q85">
            <v>323.7</v>
          </cell>
          <cell r="R85">
            <v>1115.5</v>
          </cell>
          <cell r="S85">
            <v>681.9</v>
          </cell>
          <cell r="V85">
            <v>2078.6</v>
          </cell>
        </row>
        <row r="86">
          <cell r="P86">
            <v>4264.2999999999993</v>
          </cell>
          <cell r="Q86">
            <v>327.7</v>
          </cell>
          <cell r="R86">
            <v>1126.9000000000001</v>
          </cell>
          <cell r="S86">
            <v>686.4</v>
          </cell>
          <cell r="V86">
            <v>2123.2999999999997</v>
          </cell>
        </row>
        <row r="87">
          <cell r="P87">
            <v>4332.7999999999993</v>
          </cell>
          <cell r="Q87">
            <v>345</v>
          </cell>
          <cell r="R87">
            <v>1172.2</v>
          </cell>
          <cell r="S87">
            <v>695.59999999999991</v>
          </cell>
          <cell r="V87">
            <v>2120</v>
          </cell>
        </row>
        <row r="88">
          <cell r="P88">
            <v>4403</v>
          </cell>
          <cell r="Q88">
            <v>347.1</v>
          </cell>
          <cell r="R88">
            <v>1192.5999999999999</v>
          </cell>
          <cell r="S88">
            <v>702</v>
          </cell>
          <cell r="V88">
            <v>2161.3000000000002</v>
          </cell>
        </row>
        <row r="89">
          <cell r="P89">
            <v>4465.2000000000007</v>
          </cell>
          <cell r="Q89">
            <v>345.8</v>
          </cell>
          <cell r="R89">
            <v>1200.2</v>
          </cell>
          <cell r="S89">
            <v>707.6</v>
          </cell>
          <cell r="V89">
            <v>2211.6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396"/>
  <sheetViews>
    <sheetView workbookViewId="0">
      <pane xSplit="1" ySplit="3" topLeftCell="B352" activePane="bottomRight" state="frozen"/>
      <selection pane="topRight" activeCell="B1" sqref="B1"/>
      <selection pane="bottomLeft" activeCell="A4" sqref="A4"/>
      <selection pane="bottomRight" activeCell="A373" sqref="A373:XFD373"/>
    </sheetView>
  </sheetViews>
  <sheetFormatPr defaultRowHeight="12.75"/>
  <cols>
    <col min="1" max="1" width="9.85546875" style="5" customWidth="1"/>
    <col min="2" max="7" width="10.7109375" style="21" customWidth="1"/>
    <col min="8" max="8" width="10.5703125" style="21" customWidth="1"/>
    <col min="9" max="11" width="10.7109375" style="21" customWidth="1"/>
    <col min="12" max="12" width="10.7109375" style="22" customWidth="1"/>
    <col min="13" max="22" width="10.7109375" style="21" customWidth="1"/>
    <col min="23" max="23" width="10.7109375" style="22" customWidth="1"/>
    <col min="24" max="26" width="10.7109375" style="21" customWidth="1"/>
    <col min="27" max="27" width="11.28515625" style="21" customWidth="1"/>
    <col min="28" max="30" width="10.7109375" style="21" customWidth="1"/>
    <col min="31" max="31" width="10.7109375" style="22" customWidth="1"/>
    <col min="32" max="34" width="10.7109375" style="21" customWidth="1"/>
    <col min="35" max="52" width="10.7109375" style="14" customWidth="1"/>
    <col min="53" max="78" width="9.5703125" style="14" customWidth="1"/>
    <col min="79" max="16384" width="9.140625" style="14"/>
  </cols>
  <sheetData>
    <row r="1" spans="1:34" s="3" customForma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Z1" s="4"/>
      <c r="AA1" s="2"/>
      <c r="AB1" s="2"/>
      <c r="AC1" s="2"/>
      <c r="AD1" s="2"/>
      <c r="AF1" s="2"/>
      <c r="AG1" s="2"/>
      <c r="AH1" s="2"/>
    </row>
    <row r="2" spans="1:34" s="3" customFormat="1">
      <c r="A2" s="5"/>
      <c r="B2" s="2"/>
      <c r="C2" s="2"/>
      <c r="D2" s="2"/>
      <c r="E2" s="2"/>
      <c r="F2" s="2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Z2" s="2"/>
      <c r="AA2" s="2"/>
      <c r="AB2" s="2"/>
      <c r="AC2" s="2"/>
      <c r="AD2" s="2"/>
      <c r="AF2" s="2"/>
      <c r="AG2" s="2"/>
      <c r="AH2" s="2"/>
    </row>
    <row r="3" spans="1:34" s="9" customFormat="1" ht="38.2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8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</row>
    <row r="4" spans="1:34" s="9" customFormat="1">
      <c r="A4" s="10" t="s">
        <v>34</v>
      </c>
      <c r="B4" s="7"/>
      <c r="C4" s="7"/>
      <c r="D4" s="7"/>
      <c r="E4" s="7"/>
      <c r="F4" s="18">
        <v>20</v>
      </c>
      <c r="G4" s="7"/>
      <c r="H4" s="7"/>
      <c r="I4" s="7"/>
      <c r="J4" s="7"/>
      <c r="K4" s="7"/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11"/>
      <c r="X4" s="7"/>
      <c r="Y4" s="7"/>
      <c r="Z4" s="7"/>
      <c r="AA4" s="7"/>
      <c r="AB4" s="7"/>
      <c r="AC4" s="7"/>
      <c r="AD4" s="7"/>
      <c r="AF4" s="7"/>
      <c r="AG4" s="7"/>
      <c r="AH4" s="7"/>
    </row>
    <row r="5" spans="1:34" s="9" customFormat="1">
      <c r="A5" s="10" t="s">
        <v>35</v>
      </c>
      <c r="B5" s="7"/>
      <c r="C5" s="7"/>
      <c r="D5" s="7"/>
      <c r="E5" s="7"/>
      <c r="F5" s="18">
        <v>20</v>
      </c>
      <c r="G5" s="7"/>
      <c r="H5" s="7"/>
      <c r="I5" s="7"/>
      <c r="J5" s="7"/>
      <c r="K5" s="7"/>
      <c r="L5" s="8"/>
      <c r="M5" s="7"/>
      <c r="N5" s="7"/>
      <c r="O5" s="7"/>
      <c r="P5" s="7"/>
      <c r="Q5" s="7"/>
      <c r="R5" s="7"/>
      <c r="S5" s="7"/>
      <c r="T5" s="7"/>
      <c r="U5" s="7"/>
      <c r="V5" s="7"/>
      <c r="W5" s="11"/>
      <c r="X5" s="7"/>
      <c r="Y5" s="7"/>
      <c r="Z5" s="7"/>
      <c r="AA5" s="7"/>
      <c r="AB5" s="7"/>
      <c r="AC5" s="7"/>
      <c r="AD5" s="7"/>
      <c r="AF5" s="7"/>
      <c r="AG5" s="7"/>
      <c r="AH5" s="7"/>
    </row>
    <row r="6" spans="1:34" s="9" customFormat="1">
      <c r="A6" s="10" t="s">
        <v>36</v>
      </c>
      <c r="B6" s="7"/>
      <c r="C6" s="7"/>
      <c r="D6" s="7"/>
      <c r="E6" s="7"/>
      <c r="F6" s="18">
        <v>20</v>
      </c>
      <c r="G6" s="7"/>
      <c r="H6" s="7"/>
      <c r="I6" s="7"/>
      <c r="J6" s="7"/>
      <c r="K6" s="7"/>
      <c r="L6" s="8"/>
      <c r="M6" s="7"/>
      <c r="N6" s="7"/>
      <c r="O6" s="7"/>
      <c r="P6" s="7"/>
      <c r="Q6" s="7"/>
      <c r="R6" s="7"/>
      <c r="S6" s="7"/>
      <c r="T6" s="7"/>
      <c r="U6" s="7"/>
      <c r="V6" s="7"/>
      <c r="W6" s="11"/>
      <c r="X6" s="7"/>
      <c r="Y6" s="7"/>
      <c r="Z6" s="7"/>
      <c r="AA6" s="7"/>
      <c r="AB6" s="7"/>
      <c r="AC6" s="7"/>
      <c r="AD6" s="7"/>
      <c r="AF6" s="7"/>
      <c r="AG6" s="7"/>
      <c r="AH6" s="7"/>
    </row>
    <row r="7" spans="1:34" s="9" customFormat="1">
      <c r="A7" s="10" t="s">
        <v>37</v>
      </c>
      <c r="B7" s="7"/>
      <c r="C7" s="7"/>
      <c r="D7" s="7"/>
      <c r="E7" s="7"/>
      <c r="F7" s="18">
        <v>20</v>
      </c>
      <c r="G7" s="7"/>
      <c r="H7" s="7"/>
      <c r="I7" s="7"/>
      <c r="J7" s="7"/>
      <c r="K7" s="7"/>
      <c r="L7" s="8"/>
      <c r="M7" s="7"/>
      <c r="N7" s="7"/>
      <c r="O7" s="7"/>
      <c r="P7" s="7"/>
      <c r="Q7" s="7"/>
      <c r="R7" s="7"/>
      <c r="S7" s="7"/>
      <c r="T7" s="7"/>
      <c r="U7" s="7"/>
      <c r="V7" s="7"/>
      <c r="W7" s="11"/>
      <c r="X7" s="7"/>
      <c r="Y7" s="7"/>
      <c r="Z7" s="7"/>
      <c r="AA7" s="7"/>
      <c r="AB7" s="7"/>
      <c r="AC7" s="7"/>
      <c r="AD7" s="7"/>
      <c r="AF7" s="7"/>
      <c r="AG7" s="7"/>
      <c r="AH7" s="7"/>
    </row>
    <row r="8" spans="1:34" s="9" customFormat="1">
      <c r="A8" s="10" t="s">
        <v>38</v>
      </c>
      <c r="B8" s="7"/>
      <c r="C8" s="7"/>
      <c r="D8" s="7"/>
      <c r="E8" s="7"/>
      <c r="F8" s="18">
        <v>20</v>
      </c>
      <c r="G8" s="7"/>
      <c r="H8" s="7"/>
      <c r="I8" s="7"/>
      <c r="J8" s="7"/>
      <c r="K8" s="7"/>
      <c r="L8" s="8"/>
      <c r="M8" s="7"/>
      <c r="N8" s="7"/>
      <c r="O8" s="7"/>
      <c r="P8" s="7"/>
      <c r="Q8" s="7"/>
      <c r="R8" s="7"/>
      <c r="S8" s="7"/>
      <c r="T8" s="7"/>
      <c r="U8" s="7"/>
      <c r="V8" s="7"/>
      <c r="W8" s="11"/>
      <c r="X8" s="7"/>
      <c r="Y8" s="7"/>
      <c r="Z8" s="7"/>
      <c r="AA8" s="7"/>
      <c r="AB8" s="7"/>
      <c r="AC8" s="7"/>
      <c r="AD8" s="7"/>
      <c r="AF8" s="7"/>
      <c r="AG8" s="7"/>
      <c r="AH8" s="7"/>
    </row>
    <row r="9" spans="1:34" s="9" customFormat="1">
      <c r="A9" s="10" t="s">
        <v>39</v>
      </c>
      <c r="B9" s="7"/>
      <c r="C9" s="7"/>
      <c r="D9" s="7"/>
      <c r="E9" s="7"/>
      <c r="F9" s="18">
        <v>20</v>
      </c>
      <c r="G9" s="7"/>
      <c r="H9" s="7"/>
      <c r="I9" s="7"/>
      <c r="J9" s="7"/>
      <c r="K9" s="7"/>
      <c r="L9" s="8"/>
      <c r="M9" s="7"/>
      <c r="N9" s="7"/>
      <c r="O9" s="7"/>
      <c r="P9" s="7"/>
      <c r="Q9" s="7"/>
      <c r="R9" s="7"/>
      <c r="S9" s="7"/>
      <c r="T9" s="7"/>
      <c r="U9" s="7"/>
      <c r="V9" s="7"/>
      <c r="W9" s="11"/>
      <c r="X9" s="7"/>
      <c r="Y9" s="7"/>
      <c r="Z9" s="7"/>
      <c r="AA9" s="7"/>
      <c r="AB9" s="7"/>
      <c r="AC9" s="7"/>
      <c r="AD9" s="7"/>
      <c r="AF9" s="7"/>
      <c r="AG9" s="7"/>
      <c r="AH9" s="7"/>
    </row>
    <row r="10" spans="1:34" s="9" customFormat="1">
      <c r="A10" s="10" t="s">
        <v>40</v>
      </c>
      <c r="B10" s="7"/>
      <c r="C10" s="7"/>
      <c r="D10" s="7"/>
      <c r="E10" s="7"/>
      <c r="F10" s="18">
        <v>20</v>
      </c>
      <c r="G10" s="7"/>
      <c r="H10" s="7"/>
      <c r="I10" s="7"/>
      <c r="J10" s="7"/>
      <c r="K10" s="7"/>
      <c r="L10" s="8"/>
      <c r="M10" s="7"/>
      <c r="N10" s="7"/>
      <c r="O10" s="7"/>
      <c r="P10" s="7"/>
      <c r="Q10" s="7"/>
      <c r="R10" s="7"/>
      <c r="S10" s="7"/>
      <c r="T10" s="7"/>
      <c r="U10" s="7"/>
      <c r="V10" s="7"/>
      <c r="W10" s="11"/>
      <c r="X10" s="7"/>
      <c r="Y10" s="7"/>
      <c r="Z10" s="7"/>
      <c r="AA10" s="7"/>
      <c r="AB10" s="7"/>
      <c r="AC10" s="7"/>
      <c r="AD10" s="7"/>
      <c r="AF10" s="7"/>
      <c r="AG10" s="7"/>
      <c r="AH10" s="7"/>
    </row>
    <row r="11" spans="1:34" s="9" customFormat="1">
      <c r="A11" s="10" t="s">
        <v>41</v>
      </c>
      <c r="B11" s="7"/>
      <c r="C11" s="7"/>
      <c r="D11" s="7"/>
      <c r="E11" s="7"/>
      <c r="F11" s="18">
        <v>20</v>
      </c>
      <c r="G11" s="7"/>
      <c r="H11" s="7"/>
      <c r="I11" s="7"/>
      <c r="J11" s="7"/>
      <c r="K11" s="7"/>
      <c r="L11" s="8"/>
      <c r="M11" s="7"/>
      <c r="N11" s="7"/>
      <c r="O11" s="7"/>
      <c r="P11" s="7"/>
      <c r="Q11" s="7"/>
      <c r="R11" s="7"/>
      <c r="S11" s="7"/>
      <c r="T11" s="7"/>
      <c r="U11" s="7"/>
      <c r="V11" s="7"/>
      <c r="W11" s="11"/>
      <c r="X11" s="7"/>
      <c r="Y11" s="7"/>
      <c r="Z11" s="7"/>
      <c r="AA11" s="7"/>
      <c r="AB11" s="7"/>
      <c r="AC11" s="7"/>
      <c r="AD11" s="7"/>
      <c r="AF11" s="7"/>
      <c r="AG11" s="7"/>
      <c r="AH11" s="7"/>
    </row>
    <row r="12" spans="1:34" s="9" customFormat="1">
      <c r="A12" s="10" t="s">
        <v>42</v>
      </c>
      <c r="B12" s="7"/>
      <c r="C12" s="7"/>
      <c r="D12" s="7"/>
      <c r="E12" s="7"/>
      <c r="F12" s="18">
        <v>20</v>
      </c>
      <c r="G12" s="7"/>
      <c r="H12" s="7"/>
      <c r="I12" s="7"/>
      <c r="J12" s="7"/>
      <c r="K12" s="7"/>
      <c r="L12" s="8"/>
      <c r="M12" s="7"/>
      <c r="N12" s="7"/>
      <c r="O12" s="7"/>
      <c r="P12" s="7"/>
      <c r="Q12" s="7"/>
      <c r="R12" s="7"/>
      <c r="S12" s="7"/>
      <c r="T12" s="7"/>
      <c r="U12" s="7"/>
      <c r="V12" s="7"/>
      <c r="W12" s="11"/>
      <c r="X12" s="7"/>
      <c r="Y12" s="7"/>
      <c r="Z12" s="7"/>
      <c r="AA12" s="7"/>
      <c r="AB12" s="7"/>
      <c r="AC12" s="7"/>
      <c r="AD12" s="7"/>
      <c r="AF12" s="7"/>
      <c r="AG12" s="7"/>
      <c r="AH12" s="7"/>
    </row>
    <row r="13" spans="1:34" s="9" customFormat="1">
      <c r="A13" s="10" t="s">
        <v>43</v>
      </c>
      <c r="B13" s="7"/>
      <c r="C13" s="7"/>
      <c r="D13" s="7"/>
      <c r="E13" s="7"/>
      <c r="F13" s="18">
        <v>20</v>
      </c>
      <c r="G13" s="7"/>
      <c r="H13" s="7"/>
      <c r="I13" s="7"/>
      <c r="J13" s="7"/>
      <c r="K13" s="7"/>
      <c r="L13" s="8"/>
      <c r="M13" s="7"/>
      <c r="N13" s="7"/>
      <c r="O13" s="7"/>
      <c r="P13" s="7"/>
      <c r="Q13" s="7"/>
      <c r="R13" s="7"/>
      <c r="S13" s="7"/>
      <c r="T13" s="7"/>
      <c r="U13" s="7"/>
      <c r="V13" s="7"/>
      <c r="W13" s="11"/>
      <c r="X13" s="7"/>
      <c r="Y13" s="7"/>
      <c r="Z13" s="7"/>
      <c r="AA13" s="7"/>
      <c r="AB13" s="7"/>
      <c r="AC13" s="7"/>
      <c r="AD13" s="7"/>
      <c r="AF13" s="7"/>
      <c r="AG13" s="7"/>
      <c r="AH13" s="7"/>
    </row>
    <row r="14" spans="1:34" s="9" customFormat="1">
      <c r="A14" s="10" t="s">
        <v>44</v>
      </c>
      <c r="B14" s="7"/>
      <c r="C14" s="7"/>
      <c r="D14" s="7"/>
      <c r="E14" s="7"/>
      <c r="F14" s="18">
        <v>20</v>
      </c>
      <c r="G14" s="7"/>
      <c r="H14" s="7"/>
      <c r="I14" s="7"/>
      <c r="J14" s="7"/>
      <c r="K14" s="7"/>
      <c r="L14" s="8"/>
      <c r="M14" s="7"/>
      <c r="N14" s="7"/>
      <c r="O14" s="7"/>
      <c r="P14" s="7"/>
      <c r="Q14" s="7"/>
      <c r="R14" s="7"/>
      <c r="S14" s="7"/>
      <c r="T14" s="7"/>
      <c r="U14" s="7"/>
      <c r="V14" s="7"/>
      <c r="W14" s="11"/>
      <c r="X14" s="7"/>
      <c r="Y14" s="7"/>
      <c r="Z14" s="7"/>
      <c r="AA14" s="7"/>
      <c r="AB14" s="7"/>
      <c r="AC14" s="7"/>
      <c r="AD14" s="7"/>
      <c r="AF14" s="7"/>
      <c r="AG14" s="7"/>
      <c r="AH14" s="7"/>
    </row>
    <row r="15" spans="1:34" s="9" customFormat="1">
      <c r="A15" s="17" t="s">
        <v>45</v>
      </c>
      <c r="B15" s="15"/>
      <c r="C15" s="15"/>
      <c r="D15" s="15"/>
      <c r="E15" s="15"/>
      <c r="F15" s="19">
        <v>12</v>
      </c>
      <c r="G15" s="15"/>
      <c r="H15" s="15"/>
      <c r="I15" s="15"/>
      <c r="J15" s="15"/>
      <c r="K15" s="15"/>
      <c r="L15" s="16"/>
      <c r="M15" s="15"/>
      <c r="N15" s="15"/>
      <c r="O15" s="15"/>
      <c r="P15" s="15"/>
      <c r="Q15" s="15"/>
      <c r="R15" s="15"/>
      <c r="S15" s="15"/>
      <c r="T15" s="15"/>
      <c r="U15" s="15"/>
      <c r="V15" s="7"/>
      <c r="W15" s="11"/>
      <c r="X15" s="7"/>
      <c r="Y15" s="7"/>
      <c r="Z15" s="7"/>
      <c r="AA15" s="7"/>
      <c r="AB15" s="7"/>
      <c r="AC15" s="7"/>
      <c r="AD15" s="7"/>
      <c r="AF15" s="7"/>
      <c r="AG15" s="7"/>
      <c r="AH15" s="7"/>
    </row>
    <row r="16" spans="1:34" s="9" customFormat="1">
      <c r="A16" s="10" t="s">
        <v>46</v>
      </c>
      <c r="B16" s="7"/>
      <c r="C16" s="7"/>
      <c r="D16" s="7"/>
      <c r="E16" s="7"/>
      <c r="F16" s="18">
        <v>12</v>
      </c>
      <c r="G16" s="7"/>
      <c r="H16" s="7"/>
      <c r="I16" s="7"/>
      <c r="J16" s="7"/>
      <c r="K16" s="7"/>
      <c r="L16" s="8"/>
      <c r="M16" s="7"/>
      <c r="N16" s="7"/>
      <c r="O16" s="7"/>
      <c r="P16" s="7"/>
      <c r="Q16" s="7"/>
      <c r="R16" s="7"/>
      <c r="S16" s="7"/>
      <c r="T16" s="7"/>
      <c r="U16" s="7"/>
      <c r="V16" s="7"/>
      <c r="W16" s="11"/>
      <c r="X16" s="7"/>
      <c r="Y16" s="7"/>
      <c r="Z16" s="7"/>
      <c r="AA16" s="7"/>
      <c r="AB16" s="7"/>
      <c r="AC16" s="7"/>
      <c r="AD16" s="7"/>
      <c r="AF16" s="7"/>
      <c r="AG16" s="7"/>
      <c r="AH16" s="7"/>
    </row>
    <row r="17" spans="1:34" s="9" customFormat="1">
      <c r="A17" s="10" t="s">
        <v>47</v>
      </c>
      <c r="B17" s="7"/>
      <c r="C17" s="7"/>
      <c r="D17" s="7"/>
      <c r="E17" s="7"/>
      <c r="F17" s="18">
        <v>12</v>
      </c>
      <c r="G17" s="7"/>
      <c r="H17" s="7"/>
      <c r="I17" s="7"/>
      <c r="J17" s="7"/>
      <c r="K17" s="7"/>
      <c r="L17" s="8"/>
      <c r="M17" s="7"/>
      <c r="N17" s="7"/>
      <c r="O17" s="7"/>
      <c r="P17" s="7"/>
      <c r="Q17" s="7"/>
      <c r="R17" s="7"/>
      <c r="S17" s="7"/>
      <c r="T17" s="7"/>
      <c r="U17" s="7"/>
      <c r="V17" s="7"/>
      <c r="W17" s="11"/>
      <c r="X17" s="7"/>
      <c r="Y17" s="7"/>
      <c r="Z17" s="7"/>
      <c r="AA17" s="7"/>
      <c r="AB17" s="7"/>
      <c r="AC17" s="7"/>
      <c r="AD17" s="7"/>
      <c r="AF17" s="7"/>
      <c r="AG17" s="7"/>
      <c r="AH17" s="7"/>
    </row>
    <row r="18" spans="1:34" s="9" customFormat="1">
      <c r="A18" s="10" t="s">
        <v>48</v>
      </c>
      <c r="B18" s="7"/>
      <c r="C18" s="7"/>
      <c r="D18" s="7"/>
      <c r="E18" s="7"/>
      <c r="F18" s="18">
        <v>12</v>
      </c>
      <c r="G18" s="7"/>
      <c r="H18" s="7"/>
      <c r="I18" s="7"/>
      <c r="J18" s="7"/>
      <c r="K18" s="7"/>
      <c r="L18" s="8"/>
      <c r="M18" s="7"/>
      <c r="N18" s="7"/>
      <c r="O18" s="7"/>
      <c r="P18" s="7"/>
      <c r="Q18" s="7"/>
      <c r="R18" s="7"/>
      <c r="S18" s="7"/>
      <c r="T18" s="7"/>
      <c r="U18" s="7"/>
      <c r="V18" s="7"/>
      <c r="W18" s="11"/>
      <c r="X18" s="7"/>
      <c r="Y18" s="7"/>
      <c r="Z18" s="7"/>
      <c r="AA18" s="7"/>
      <c r="AB18" s="7"/>
      <c r="AC18" s="7"/>
      <c r="AD18" s="7"/>
      <c r="AF18" s="7"/>
      <c r="AG18" s="7"/>
      <c r="AH18" s="7"/>
    </row>
    <row r="19" spans="1:34" s="9" customFormat="1">
      <c r="A19" s="10" t="s">
        <v>49</v>
      </c>
      <c r="B19" s="7"/>
      <c r="C19" s="7"/>
      <c r="D19" s="7"/>
      <c r="E19" s="7"/>
      <c r="F19" s="18">
        <v>12</v>
      </c>
      <c r="G19" s="7"/>
      <c r="H19" s="7"/>
      <c r="I19" s="7"/>
      <c r="J19" s="7"/>
      <c r="K19" s="7"/>
      <c r="L19" s="8"/>
      <c r="M19" s="7"/>
      <c r="N19" s="7"/>
      <c r="O19" s="7"/>
      <c r="P19" s="7"/>
      <c r="Q19" s="7"/>
      <c r="R19" s="7"/>
      <c r="S19" s="7"/>
      <c r="T19" s="7"/>
      <c r="U19" s="7"/>
      <c r="V19" s="7"/>
      <c r="W19" s="11"/>
      <c r="X19" s="7"/>
      <c r="Y19" s="7"/>
      <c r="Z19" s="7"/>
      <c r="AA19" s="7"/>
      <c r="AB19" s="7"/>
      <c r="AC19" s="7"/>
      <c r="AD19" s="7"/>
      <c r="AF19" s="7"/>
      <c r="AG19" s="7"/>
      <c r="AH19" s="7"/>
    </row>
    <row r="20" spans="1:34" s="9" customFormat="1">
      <c r="A20" s="10" t="s">
        <v>50</v>
      </c>
      <c r="B20" s="7"/>
      <c r="C20" s="7"/>
      <c r="D20" s="7"/>
      <c r="E20" s="7"/>
      <c r="F20" s="18">
        <v>12</v>
      </c>
      <c r="G20" s="7"/>
      <c r="H20" s="7"/>
      <c r="I20" s="7"/>
      <c r="J20" s="7"/>
      <c r="K20" s="7"/>
      <c r="L20" s="8"/>
      <c r="M20" s="7"/>
      <c r="N20" s="7"/>
      <c r="O20" s="7"/>
      <c r="P20" s="7"/>
      <c r="Q20" s="7"/>
      <c r="R20" s="7"/>
      <c r="S20" s="7"/>
      <c r="T20" s="7"/>
      <c r="U20" s="7"/>
      <c r="V20" s="7"/>
      <c r="W20" s="11"/>
      <c r="X20" s="7"/>
      <c r="Y20" s="7"/>
      <c r="Z20" s="7"/>
      <c r="AA20" s="7"/>
      <c r="AB20" s="7"/>
      <c r="AC20" s="7"/>
      <c r="AD20" s="7"/>
      <c r="AF20" s="7"/>
      <c r="AG20" s="7"/>
      <c r="AH20" s="7"/>
    </row>
    <row r="21" spans="1:34" s="9" customFormat="1">
      <c r="A21" s="10" t="s">
        <v>51</v>
      </c>
      <c r="B21" s="7"/>
      <c r="C21" s="7"/>
      <c r="D21" s="7"/>
      <c r="E21" s="7"/>
      <c r="F21" s="18">
        <v>12</v>
      </c>
      <c r="G21" s="7"/>
      <c r="H21" s="7"/>
      <c r="I21" s="7"/>
      <c r="J21" s="7"/>
      <c r="K21" s="7"/>
      <c r="L21" s="8"/>
      <c r="M21" s="7"/>
      <c r="N21" s="7"/>
      <c r="O21" s="7"/>
      <c r="P21" s="7"/>
      <c r="Q21" s="7"/>
      <c r="R21" s="7"/>
      <c r="S21" s="7"/>
      <c r="T21" s="7"/>
      <c r="U21" s="7"/>
      <c r="V21" s="7"/>
      <c r="W21" s="11"/>
      <c r="X21" s="7"/>
      <c r="Y21" s="7"/>
      <c r="Z21" s="7"/>
      <c r="AA21" s="7"/>
      <c r="AB21" s="7"/>
      <c r="AC21" s="7"/>
      <c r="AD21" s="7"/>
      <c r="AF21" s="7"/>
      <c r="AG21" s="7"/>
      <c r="AH21" s="7"/>
    </row>
    <row r="22" spans="1:34" s="9" customFormat="1">
      <c r="A22" s="10" t="s">
        <v>52</v>
      </c>
      <c r="B22" s="7"/>
      <c r="C22" s="7"/>
      <c r="D22" s="7"/>
      <c r="E22" s="7"/>
      <c r="F22" s="18">
        <v>12</v>
      </c>
      <c r="G22" s="7"/>
      <c r="H22" s="7"/>
      <c r="I22" s="7"/>
      <c r="J22" s="7"/>
      <c r="K22" s="7"/>
      <c r="L22" s="8"/>
      <c r="M22" s="7"/>
      <c r="N22" s="7"/>
      <c r="O22" s="7"/>
      <c r="P22" s="7"/>
      <c r="Q22" s="7"/>
      <c r="R22" s="7"/>
      <c r="S22" s="7"/>
      <c r="T22" s="7"/>
      <c r="U22" s="7"/>
      <c r="V22" s="7"/>
      <c r="W22" s="11"/>
      <c r="X22" s="7"/>
      <c r="Y22" s="7"/>
      <c r="Z22" s="7"/>
      <c r="AA22" s="7"/>
      <c r="AB22" s="7"/>
      <c r="AC22" s="7"/>
      <c r="AD22" s="7"/>
      <c r="AF22" s="7"/>
      <c r="AG22" s="7"/>
      <c r="AH22" s="7"/>
    </row>
    <row r="23" spans="1:34" s="9" customFormat="1">
      <c r="A23" s="10" t="s">
        <v>53</v>
      </c>
      <c r="B23" s="7"/>
      <c r="C23" s="7"/>
      <c r="D23" s="7"/>
      <c r="E23" s="7"/>
      <c r="F23" s="18">
        <v>12</v>
      </c>
      <c r="G23" s="7"/>
      <c r="H23" s="7"/>
      <c r="I23" s="7"/>
      <c r="J23" s="7"/>
      <c r="K23" s="7"/>
      <c r="L23" s="8"/>
      <c r="M23" s="7"/>
      <c r="N23" s="7"/>
      <c r="O23" s="7"/>
      <c r="P23" s="7"/>
      <c r="Q23" s="7"/>
      <c r="R23" s="7"/>
      <c r="S23" s="7"/>
      <c r="T23" s="7"/>
      <c r="U23" s="7"/>
      <c r="V23" s="7"/>
      <c r="W23" s="11"/>
      <c r="X23" s="7"/>
      <c r="Y23" s="7"/>
      <c r="Z23" s="7"/>
      <c r="AA23" s="7"/>
      <c r="AB23" s="7"/>
      <c r="AC23" s="7"/>
      <c r="AD23" s="7"/>
      <c r="AF23" s="7"/>
      <c r="AG23" s="7"/>
      <c r="AH23" s="7"/>
    </row>
    <row r="24" spans="1:34" s="9" customFormat="1">
      <c r="A24" s="10" t="s">
        <v>54</v>
      </c>
      <c r="B24" s="7"/>
      <c r="C24" s="7"/>
      <c r="D24" s="7"/>
      <c r="E24" s="7"/>
      <c r="F24" s="18">
        <v>12</v>
      </c>
      <c r="G24" s="7"/>
      <c r="H24" s="7"/>
      <c r="I24" s="7"/>
      <c r="J24" s="7"/>
      <c r="K24" s="7"/>
      <c r="L24" s="8"/>
      <c r="M24" s="7"/>
      <c r="N24" s="7"/>
      <c r="O24" s="7"/>
      <c r="P24" s="7"/>
      <c r="Q24" s="7"/>
      <c r="R24" s="7"/>
      <c r="S24" s="7"/>
      <c r="T24" s="7"/>
      <c r="U24" s="7"/>
      <c r="V24" s="7"/>
      <c r="W24" s="11"/>
      <c r="X24" s="7"/>
      <c r="Y24" s="7"/>
      <c r="Z24" s="7"/>
      <c r="AA24" s="7"/>
      <c r="AB24" s="7"/>
      <c r="AC24" s="7"/>
      <c r="AD24" s="7"/>
      <c r="AF24" s="7"/>
      <c r="AG24" s="7"/>
      <c r="AH24" s="7"/>
    </row>
    <row r="25" spans="1:34" s="9" customFormat="1">
      <c r="A25" s="10" t="s">
        <v>55</v>
      </c>
      <c r="B25" s="7"/>
      <c r="C25" s="7"/>
      <c r="D25" s="7"/>
      <c r="E25" s="7"/>
      <c r="F25" s="18">
        <v>12</v>
      </c>
      <c r="G25" s="7"/>
      <c r="H25" s="7"/>
      <c r="I25" s="7"/>
      <c r="J25" s="7"/>
      <c r="K25" s="7"/>
      <c r="L25" s="8"/>
      <c r="M25" s="7"/>
      <c r="N25" s="7"/>
      <c r="O25" s="7"/>
      <c r="P25" s="7"/>
      <c r="Q25" s="7"/>
      <c r="R25" s="7"/>
      <c r="S25" s="7"/>
      <c r="T25" s="7"/>
      <c r="U25" s="7"/>
      <c r="V25" s="7"/>
      <c r="W25" s="11"/>
      <c r="X25" s="7"/>
      <c r="Y25" s="7"/>
      <c r="Z25" s="7"/>
      <c r="AA25" s="7"/>
      <c r="AB25" s="7"/>
      <c r="AC25" s="7"/>
      <c r="AD25" s="7"/>
      <c r="AF25" s="7"/>
      <c r="AG25" s="7"/>
      <c r="AH25" s="7"/>
    </row>
    <row r="26" spans="1:34" s="9" customFormat="1">
      <c r="A26" s="10" t="s">
        <v>56</v>
      </c>
      <c r="B26" s="7"/>
      <c r="C26" s="7"/>
      <c r="D26" s="7"/>
      <c r="E26" s="7"/>
      <c r="F26" s="18">
        <v>12</v>
      </c>
      <c r="G26" s="7"/>
      <c r="H26" s="7"/>
      <c r="I26" s="7"/>
      <c r="J26" s="7"/>
      <c r="K26" s="7"/>
      <c r="L26" s="8"/>
      <c r="M26" s="7"/>
      <c r="N26" s="7"/>
      <c r="O26" s="7"/>
      <c r="P26" s="7"/>
      <c r="Q26" s="7"/>
      <c r="R26" s="7"/>
      <c r="S26" s="7"/>
      <c r="T26" s="7"/>
      <c r="U26" s="7"/>
      <c r="V26" s="7"/>
      <c r="W26" s="11"/>
      <c r="X26" s="7"/>
      <c r="Y26" s="7"/>
      <c r="Z26" s="7"/>
      <c r="AA26" s="7"/>
      <c r="AB26" s="7"/>
      <c r="AC26" s="7"/>
      <c r="AD26" s="7"/>
      <c r="AF26" s="7"/>
      <c r="AG26" s="7"/>
      <c r="AH26" s="7"/>
    </row>
    <row r="27" spans="1:34" s="9" customFormat="1">
      <c r="A27" s="17" t="s">
        <v>57</v>
      </c>
      <c r="B27" s="15"/>
      <c r="C27" s="15"/>
      <c r="D27" s="15"/>
      <c r="E27" s="15"/>
      <c r="F27" s="19">
        <v>12</v>
      </c>
      <c r="G27" s="15"/>
      <c r="H27" s="15"/>
      <c r="I27" s="15"/>
      <c r="J27" s="15"/>
      <c r="K27" s="15"/>
      <c r="L27" s="16"/>
      <c r="M27" s="15"/>
      <c r="N27" s="15"/>
      <c r="O27" s="15"/>
      <c r="P27" s="15"/>
      <c r="Q27" s="15"/>
      <c r="R27" s="15"/>
      <c r="S27" s="15"/>
      <c r="T27" s="15"/>
      <c r="U27" s="15"/>
      <c r="V27" s="7"/>
      <c r="W27" s="11"/>
      <c r="X27" s="7"/>
      <c r="Y27" s="7"/>
      <c r="Z27" s="7"/>
      <c r="AA27" s="7"/>
      <c r="AB27" s="7"/>
      <c r="AC27" s="7"/>
      <c r="AD27" s="7"/>
      <c r="AF27" s="7"/>
      <c r="AG27" s="7"/>
      <c r="AH27" s="7"/>
    </row>
    <row r="28" spans="1:34" s="9" customFormat="1">
      <c r="A28" s="10" t="s">
        <v>58</v>
      </c>
      <c r="B28" s="7"/>
      <c r="C28" s="7"/>
      <c r="D28" s="7"/>
      <c r="E28" s="7"/>
      <c r="F28" s="18">
        <v>12</v>
      </c>
      <c r="G28" s="7"/>
      <c r="H28" s="7"/>
      <c r="I28" s="7"/>
      <c r="J28" s="7"/>
      <c r="K28" s="7"/>
      <c r="L28" s="8"/>
      <c r="M28" s="7"/>
      <c r="N28" s="7"/>
      <c r="O28" s="7"/>
      <c r="P28" s="7"/>
      <c r="Q28" s="7"/>
      <c r="R28" s="7"/>
      <c r="S28" s="7"/>
      <c r="T28" s="7"/>
      <c r="U28" s="7"/>
      <c r="V28" s="7"/>
      <c r="W28" s="11"/>
      <c r="X28" s="7"/>
      <c r="Y28" s="7"/>
      <c r="Z28" s="7"/>
      <c r="AA28" s="7"/>
      <c r="AB28" s="7"/>
      <c r="AC28" s="7"/>
      <c r="AD28" s="7"/>
      <c r="AF28" s="7"/>
      <c r="AG28" s="7"/>
      <c r="AH28" s="7"/>
    </row>
    <row r="29" spans="1:34" s="9" customFormat="1">
      <c r="A29" s="10" t="s">
        <v>59</v>
      </c>
      <c r="B29" s="7"/>
      <c r="C29" s="7"/>
      <c r="D29" s="7"/>
      <c r="E29" s="7"/>
      <c r="F29" s="18">
        <v>12</v>
      </c>
      <c r="G29" s="7"/>
      <c r="H29" s="7"/>
      <c r="I29" s="7"/>
      <c r="J29" s="7"/>
      <c r="K29" s="7"/>
      <c r="L29" s="8"/>
      <c r="M29" s="7"/>
      <c r="N29" s="7"/>
      <c r="O29" s="7"/>
      <c r="P29" s="7"/>
      <c r="Q29" s="7"/>
      <c r="R29" s="7"/>
      <c r="S29" s="7"/>
      <c r="T29" s="7"/>
      <c r="U29" s="7"/>
      <c r="V29" s="7"/>
      <c r="W29" s="11"/>
      <c r="X29" s="7"/>
      <c r="Y29" s="7"/>
      <c r="Z29" s="7"/>
      <c r="AA29" s="7"/>
      <c r="AB29" s="7"/>
      <c r="AC29" s="7"/>
      <c r="AD29" s="7"/>
      <c r="AF29" s="7"/>
      <c r="AG29" s="7"/>
      <c r="AH29" s="7"/>
    </row>
    <row r="30" spans="1:34" s="9" customFormat="1">
      <c r="A30" s="10" t="s">
        <v>60</v>
      </c>
      <c r="B30" s="7"/>
      <c r="C30" s="7"/>
      <c r="D30" s="7"/>
      <c r="E30" s="7"/>
      <c r="F30" s="18">
        <v>12</v>
      </c>
      <c r="G30" s="7"/>
      <c r="H30" s="7"/>
      <c r="I30" s="7"/>
      <c r="J30" s="7"/>
      <c r="K30" s="7"/>
      <c r="L30" s="8"/>
      <c r="M30" s="7"/>
      <c r="N30" s="7"/>
      <c r="O30" s="7"/>
      <c r="P30" s="7"/>
      <c r="Q30" s="7"/>
      <c r="R30" s="7"/>
      <c r="S30" s="7"/>
      <c r="T30" s="7"/>
      <c r="U30" s="7"/>
      <c r="V30" s="7"/>
      <c r="W30" s="11"/>
      <c r="X30" s="7"/>
      <c r="Y30" s="7"/>
      <c r="Z30" s="7"/>
      <c r="AA30" s="7"/>
      <c r="AB30" s="7"/>
      <c r="AC30" s="7"/>
      <c r="AD30" s="7"/>
      <c r="AF30" s="7"/>
      <c r="AG30" s="7"/>
      <c r="AH30" s="7"/>
    </row>
    <row r="31" spans="1:34" s="9" customFormat="1">
      <c r="A31" s="10" t="s">
        <v>61</v>
      </c>
      <c r="B31" s="7"/>
      <c r="C31" s="7"/>
      <c r="D31" s="7"/>
      <c r="E31" s="7"/>
      <c r="F31" s="18">
        <v>12</v>
      </c>
      <c r="G31" s="7"/>
      <c r="H31" s="7"/>
      <c r="I31" s="7"/>
      <c r="J31" s="7"/>
      <c r="K31" s="7"/>
      <c r="L31" s="8"/>
      <c r="M31" s="7"/>
      <c r="N31" s="7"/>
      <c r="O31" s="7"/>
      <c r="P31" s="7"/>
      <c r="Q31" s="7"/>
      <c r="R31" s="7"/>
      <c r="S31" s="7"/>
      <c r="T31" s="7"/>
      <c r="U31" s="7"/>
      <c r="V31" s="7"/>
      <c r="W31" s="11"/>
      <c r="X31" s="7"/>
      <c r="Y31" s="7"/>
      <c r="Z31" s="7"/>
      <c r="AA31" s="7"/>
      <c r="AB31" s="7"/>
      <c r="AC31" s="7"/>
      <c r="AD31" s="7"/>
      <c r="AF31" s="7"/>
      <c r="AG31" s="7"/>
      <c r="AH31" s="7"/>
    </row>
    <row r="32" spans="1:34" s="9" customFormat="1">
      <c r="A32" s="10" t="s">
        <v>62</v>
      </c>
      <c r="B32" s="7"/>
      <c r="C32" s="7"/>
      <c r="D32" s="7"/>
      <c r="E32" s="7"/>
      <c r="F32" s="18">
        <v>12</v>
      </c>
      <c r="G32" s="7"/>
      <c r="H32" s="7"/>
      <c r="I32" s="7"/>
      <c r="J32" s="7"/>
      <c r="K32" s="7"/>
      <c r="L32" s="8"/>
      <c r="M32" s="7"/>
      <c r="N32" s="7"/>
      <c r="O32" s="7"/>
      <c r="P32" s="7"/>
      <c r="Q32" s="7"/>
      <c r="R32" s="7"/>
      <c r="S32" s="7"/>
      <c r="T32" s="7"/>
      <c r="U32" s="7"/>
      <c r="V32" s="7"/>
      <c r="W32" s="11"/>
      <c r="X32" s="7"/>
      <c r="Y32" s="7"/>
      <c r="Z32" s="7"/>
      <c r="AA32" s="7"/>
      <c r="AB32" s="7"/>
      <c r="AC32" s="7"/>
      <c r="AD32" s="7"/>
      <c r="AF32" s="7"/>
      <c r="AG32" s="7"/>
      <c r="AH32" s="7"/>
    </row>
    <row r="33" spans="1:34" s="9" customFormat="1">
      <c r="A33" s="10" t="s">
        <v>63</v>
      </c>
      <c r="B33" s="7"/>
      <c r="C33" s="7"/>
      <c r="D33" s="7"/>
      <c r="E33" s="7"/>
      <c r="F33" s="18">
        <v>12</v>
      </c>
      <c r="G33" s="7"/>
      <c r="H33" s="7"/>
      <c r="I33" s="7"/>
      <c r="J33" s="7"/>
      <c r="K33" s="7"/>
      <c r="L33" s="8"/>
      <c r="M33" s="7"/>
      <c r="N33" s="7"/>
      <c r="O33" s="7"/>
      <c r="P33" s="7"/>
      <c r="Q33" s="7"/>
      <c r="R33" s="7"/>
      <c r="S33" s="7"/>
      <c r="T33" s="7"/>
      <c r="U33" s="7"/>
      <c r="V33" s="7"/>
      <c r="W33" s="11"/>
      <c r="X33" s="7"/>
      <c r="Y33" s="7"/>
      <c r="Z33" s="7"/>
      <c r="AA33" s="7"/>
      <c r="AB33" s="7"/>
      <c r="AC33" s="7"/>
      <c r="AD33" s="7"/>
      <c r="AF33" s="7"/>
      <c r="AG33" s="7"/>
      <c r="AH33" s="7"/>
    </row>
    <row r="34" spans="1:34" s="9" customFormat="1">
      <c r="A34" s="10" t="s">
        <v>64</v>
      </c>
      <c r="B34" s="7"/>
      <c r="C34" s="7"/>
      <c r="D34" s="7"/>
      <c r="E34" s="7"/>
      <c r="F34" s="18">
        <v>12</v>
      </c>
      <c r="G34" s="7"/>
      <c r="H34" s="7"/>
      <c r="I34" s="7"/>
      <c r="J34" s="7"/>
      <c r="K34" s="7"/>
      <c r="L34" s="8"/>
      <c r="M34" s="7"/>
      <c r="N34" s="7"/>
      <c r="O34" s="7"/>
      <c r="P34" s="7"/>
      <c r="Q34" s="7"/>
      <c r="R34" s="7"/>
      <c r="S34" s="7"/>
      <c r="T34" s="7"/>
      <c r="U34" s="7"/>
      <c r="V34" s="7"/>
      <c r="W34" s="11"/>
      <c r="X34" s="7"/>
      <c r="Y34" s="7"/>
      <c r="Z34" s="7"/>
      <c r="AA34" s="7"/>
      <c r="AB34" s="7"/>
      <c r="AC34" s="7"/>
      <c r="AD34" s="7"/>
      <c r="AF34" s="7"/>
      <c r="AG34" s="7"/>
      <c r="AH34" s="7"/>
    </row>
    <row r="35" spans="1:34" s="9" customFormat="1">
      <c r="A35" s="10" t="s">
        <v>65</v>
      </c>
      <c r="B35" s="7"/>
      <c r="C35" s="7"/>
      <c r="D35" s="7"/>
      <c r="E35" s="7"/>
      <c r="F35" s="18">
        <v>10</v>
      </c>
      <c r="G35" s="7"/>
      <c r="H35" s="7"/>
      <c r="I35" s="7"/>
      <c r="J35" s="7"/>
      <c r="K35" s="7"/>
      <c r="L35" s="8"/>
      <c r="M35" s="7"/>
      <c r="N35" s="7"/>
      <c r="O35" s="7"/>
      <c r="P35" s="7"/>
      <c r="Q35" s="7"/>
      <c r="R35" s="7"/>
      <c r="S35" s="7"/>
      <c r="T35" s="7"/>
      <c r="U35" s="7"/>
      <c r="V35" s="7"/>
      <c r="W35" s="11"/>
      <c r="X35" s="7"/>
      <c r="Y35" s="7"/>
      <c r="Z35" s="7"/>
      <c r="AA35" s="7"/>
      <c r="AB35" s="7"/>
      <c r="AC35" s="7"/>
      <c r="AD35" s="7"/>
      <c r="AF35" s="7"/>
      <c r="AG35" s="7"/>
      <c r="AH35" s="7"/>
    </row>
    <row r="36" spans="1:34" s="9" customFormat="1">
      <c r="A36" s="10" t="s">
        <v>66</v>
      </c>
      <c r="B36" s="7"/>
      <c r="C36" s="7"/>
      <c r="D36" s="7"/>
      <c r="E36" s="7"/>
      <c r="F36" s="18">
        <v>10</v>
      </c>
      <c r="G36" s="7"/>
      <c r="H36" s="7"/>
      <c r="I36" s="7"/>
      <c r="J36" s="7"/>
      <c r="K36" s="7"/>
      <c r="L36" s="8"/>
      <c r="M36" s="7"/>
      <c r="N36" s="7"/>
      <c r="O36" s="7"/>
      <c r="P36" s="7"/>
      <c r="Q36" s="7"/>
      <c r="R36" s="7"/>
      <c r="S36" s="7"/>
      <c r="T36" s="7"/>
      <c r="U36" s="7"/>
      <c r="V36" s="7"/>
      <c r="W36" s="11"/>
      <c r="X36" s="7"/>
      <c r="Y36" s="7"/>
      <c r="Z36" s="7"/>
      <c r="AA36" s="7"/>
      <c r="AB36" s="7"/>
      <c r="AC36" s="7"/>
      <c r="AD36" s="7"/>
      <c r="AF36" s="7"/>
      <c r="AG36" s="7"/>
      <c r="AH36" s="7"/>
    </row>
    <row r="37" spans="1:34" s="9" customFormat="1">
      <c r="A37" s="10" t="s">
        <v>67</v>
      </c>
      <c r="B37" s="7"/>
      <c r="C37" s="7"/>
      <c r="D37" s="7"/>
      <c r="E37" s="7"/>
      <c r="F37" s="18">
        <v>10</v>
      </c>
      <c r="G37" s="7"/>
      <c r="H37" s="7"/>
      <c r="I37" s="7"/>
      <c r="J37" s="7"/>
      <c r="K37" s="7"/>
      <c r="L37" s="8"/>
      <c r="M37" s="7"/>
      <c r="N37" s="7"/>
      <c r="O37" s="7"/>
      <c r="P37" s="7"/>
      <c r="Q37" s="7"/>
      <c r="R37" s="7"/>
      <c r="S37" s="7"/>
      <c r="T37" s="7"/>
      <c r="U37" s="7"/>
      <c r="V37" s="7"/>
      <c r="W37" s="11"/>
      <c r="X37" s="7"/>
      <c r="Y37" s="7"/>
      <c r="Z37" s="7"/>
      <c r="AA37" s="7"/>
      <c r="AB37" s="7"/>
      <c r="AC37" s="7"/>
      <c r="AD37" s="7"/>
      <c r="AF37" s="7"/>
      <c r="AG37" s="7"/>
      <c r="AH37" s="7"/>
    </row>
    <row r="38" spans="1:34" s="9" customFormat="1">
      <c r="A38" s="10" t="s">
        <v>68</v>
      </c>
      <c r="B38" s="7"/>
      <c r="C38" s="7"/>
      <c r="D38" s="7"/>
      <c r="E38" s="7"/>
      <c r="F38" s="18">
        <v>10</v>
      </c>
      <c r="G38" s="7"/>
      <c r="H38" s="7"/>
      <c r="I38" s="7"/>
      <c r="J38" s="7"/>
      <c r="K38" s="7"/>
      <c r="L38" s="8"/>
      <c r="M38" s="7"/>
      <c r="N38" s="7"/>
      <c r="O38" s="7"/>
      <c r="P38" s="7"/>
      <c r="Q38" s="7"/>
      <c r="R38" s="7"/>
      <c r="S38" s="7"/>
      <c r="T38" s="7"/>
      <c r="U38" s="7"/>
      <c r="V38" s="7"/>
      <c r="W38" s="11"/>
      <c r="X38" s="7"/>
      <c r="Y38" s="7"/>
      <c r="Z38" s="7"/>
      <c r="AA38" s="7"/>
      <c r="AB38" s="7"/>
      <c r="AC38" s="7"/>
      <c r="AD38" s="7"/>
      <c r="AF38" s="7"/>
      <c r="AG38" s="7"/>
      <c r="AH38" s="7"/>
    </row>
    <row r="39" spans="1:34" s="9" customFormat="1">
      <c r="A39" s="17" t="s">
        <v>69</v>
      </c>
      <c r="B39" s="15"/>
      <c r="C39" s="15"/>
      <c r="D39" s="15"/>
      <c r="E39" s="15"/>
      <c r="F39" s="19">
        <v>10</v>
      </c>
      <c r="G39" s="15"/>
      <c r="H39" s="15"/>
      <c r="I39" s="15"/>
      <c r="J39" s="15"/>
      <c r="K39" s="15"/>
      <c r="L39" s="16"/>
      <c r="M39" s="15"/>
      <c r="N39" s="15"/>
      <c r="O39" s="15"/>
      <c r="P39" s="15"/>
      <c r="Q39" s="15"/>
      <c r="R39" s="15"/>
      <c r="S39" s="15"/>
      <c r="T39" s="15"/>
      <c r="U39" s="15"/>
      <c r="V39" s="7"/>
      <c r="W39" s="11"/>
      <c r="X39" s="7"/>
      <c r="Y39" s="7"/>
      <c r="Z39" s="7"/>
      <c r="AA39" s="7"/>
      <c r="AB39" s="7"/>
      <c r="AC39" s="7"/>
      <c r="AD39" s="7"/>
      <c r="AF39" s="7"/>
      <c r="AG39" s="7"/>
      <c r="AH39" s="7"/>
    </row>
    <row r="40" spans="1:34">
      <c r="A40" s="5" t="s">
        <v>70</v>
      </c>
      <c r="F40" s="18">
        <v>10</v>
      </c>
    </row>
    <row r="41" spans="1:34">
      <c r="A41" s="5" t="s">
        <v>71</v>
      </c>
      <c r="F41" s="18">
        <v>10</v>
      </c>
    </row>
    <row r="42" spans="1:34">
      <c r="A42" s="5" t="s">
        <v>72</v>
      </c>
      <c r="F42" s="18">
        <v>10</v>
      </c>
    </row>
    <row r="43" spans="1:34">
      <c r="A43" s="5" t="s">
        <v>73</v>
      </c>
      <c r="F43" s="18">
        <v>12</v>
      </c>
    </row>
    <row r="44" spans="1:34">
      <c r="A44" s="5" t="s">
        <v>74</v>
      </c>
      <c r="F44" s="18">
        <v>12</v>
      </c>
    </row>
    <row r="45" spans="1:34">
      <c r="A45" s="5" t="s">
        <v>75</v>
      </c>
      <c r="F45" s="18">
        <v>12</v>
      </c>
    </row>
    <row r="46" spans="1:34">
      <c r="A46" s="5" t="s">
        <v>76</v>
      </c>
      <c r="F46" s="18">
        <v>12</v>
      </c>
    </row>
    <row r="47" spans="1:34">
      <c r="A47" s="5" t="s">
        <v>77</v>
      </c>
      <c r="F47" s="18">
        <v>12</v>
      </c>
    </row>
    <row r="48" spans="1:34">
      <c r="A48" s="5" t="s">
        <v>78</v>
      </c>
      <c r="F48" s="18">
        <v>12</v>
      </c>
    </row>
    <row r="49" spans="1:34">
      <c r="A49" s="5" t="s">
        <v>79</v>
      </c>
      <c r="F49" s="18">
        <v>12</v>
      </c>
    </row>
    <row r="50" spans="1:34">
      <c r="A50" s="5" t="s">
        <v>80</v>
      </c>
      <c r="F50" s="18">
        <v>12</v>
      </c>
    </row>
    <row r="51" spans="1:34">
      <c r="A51" s="23" t="s">
        <v>81</v>
      </c>
      <c r="B51" s="12"/>
      <c r="C51" s="12"/>
      <c r="D51" s="12"/>
      <c r="E51" s="12"/>
      <c r="F51" s="19">
        <v>12</v>
      </c>
      <c r="G51" s="12"/>
      <c r="H51" s="12"/>
      <c r="I51" s="12"/>
      <c r="J51" s="12"/>
      <c r="K51" s="12"/>
      <c r="L51" s="13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3"/>
      <c r="X51" s="12"/>
      <c r="Y51" s="12"/>
      <c r="Z51" s="12"/>
      <c r="AA51" s="12"/>
      <c r="AB51" s="12"/>
      <c r="AC51" s="12"/>
      <c r="AD51" s="12"/>
      <c r="AE51" s="13"/>
      <c r="AF51" s="12"/>
      <c r="AG51" s="12"/>
      <c r="AH51" s="12"/>
    </row>
    <row r="52" spans="1:34">
      <c r="A52" s="5" t="s">
        <v>82</v>
      </c>
      <c r="E52" s="21">
        <v>13.5</v>
      </c>
      <c r="F52" s="18">
        <v>12</v>
      </c>
      <c r="O52" s="21" t="s">
        <v>83</v>
      </c>
      <c r="V52" s="21">
        <v>41.292499999999997</v>
      </c>
    </row>
    <row r="53" spans="1:34">
      <c r="A53" s="5" t="s">
        <v>84</v>
      </c>
      <c r="E53" s="21">
        <v>13.5</v>
      </c>
      <c r="F53" s="18">
        <v>12</v>
      </c>
      <c r="O53" s="21" t="s">
        <v>83</v>
      </c>
      <c r="V53" s="21">
        <v>45.2</v>
      </c>
    </row>
    <row r="54" spans="1:34">
      <c r="A54" s="5" t="s">
        <v>85</v>
      </c>
      <c r="E54" s="21">
        <v>13.5</v>
      </c>
      <c r="F54" s="18">
        <v>12</v>
      </c>
      <c r="O54" s="21" t="s">
        <v>83</v>
      </c>
      <c r="V54" s="21">
        <v>46.643999999999991</v>
      </c>
    </row>
    <row r="55" spans="1:34">
      <c r="A55" s="5" t="s">
        <v>86</v>
      </c>
      <c r="E55" s="21">
        <v>13.5</v>
      </c>
      <c r="F55" s="18">
        <v>12</v>
      </c>
      <c r="O55" s="21" t="s">
        <v>83</v>
      </c>
      <c r="V55" s="21">
        <v>44.637500000000003</v>
      </c>
    </row>
    <row r="56" spans="1:34">
      <c r="A56" s="5" t="s">
        <v>87</v>
      </c>
      <c r="E56" s="21">
        <v>13.5</v>
      </c>
      <c r="F56" s="18">
        <v>12</v>
      </c>
      <c r="O56" s="21" t="s">
        <v>83</v>
      </c>
      <c r="V56" s="21">
        <v>24.310562499999989</v>
      </c>
    </row>
    <row r="57" spans="1:34">
      <c r="A57" s="5" t="s">
        <v>88</v>
      </c>
      <c r="E57" s="21">
        <v>13.5</v>
      </c>
      <c r="F57" s="18">
        <v>12</v>
      </c>
      <c r="O57" s="21" t="s">
        <v>83</v>
      </c>
      <c r="V57" s="21">
        <v>32.384999999999998</v>
      </c>
    </row>
    <row r="58" spans="1:34">
      <c r="A58" s="5" t="s">
        <v>89</v>
      </c>
      <c r="E58" s="21">
        <v>13.5</v>
      </c>
      <c r="F58" s="18">
        <v>12</v>
      </c>
      <c r="O58" s="21" t="s">
        <v>83</v>
      </c>
      <c r="V58" s="21">
        <v>30.662500000000001</v>
      </c>
    </row>
    <row r="59" spans="1:34">
      <c r="A59" s="5" t="s">
        <v>90</v>
      </c>
      <c r="E59" s="21">
        <v>13.5</v>
      </c>
      <c r="F59" s="18">
        <v>12</v>
      </c>
      <c r="O59" s="21" t="s">
        <v>83</v>
      </c>
      <c r="V59" s="21">
        <v>29.724</v>
      </c>
    </row>
    <row r="60" spans="1:34">
      <c r="A60" s="5" t="s">
        <v>91</v>
      </c>
      <c r="E60" s="21">
        <v>13.5</v>
      </c>
      <c r="F60" s="18">
        <v>12</v>
      </c>
      <c r="O60" s="21" t="s">
        <v>83</v>
      </c>
      <c r="V60" s="21">
        <v>30.145</v>
      </c>
    </row>
    <row r="61" spans="1:34">
      <c r="A61" s="5" t="s">
        <v>92</v>
      </c>
      <c r="E61" s="21">
        <v>13.5</v>
      </c>
      <c r="F61" s="18">
        <v>12</v>
      </c>
      <c r="O61" s="21" t="s">
        <v>83</v>
      </c>
      <c r="V61" s="21">
        <v>28.698</v>
      </c>
    </row>
    <row r="62" spans="1:34">
      <c r="A62" s="5" t="s">
        <v>93</v>
      </c>
      <c r="E62" s="21">
        <v>13.5</v>
      </c>
      <c r="F62" s="18">
        <v>12</v>
      </c>
      <c r="O62" s="21" t="s">
        <v>83</v>
      </c>
      <c r="V62" s="21">
        <v>24.82</v>
      </c>
    </row>
    <row r="63" spans="1:34">
      <c r="A63" s="23" t="s">
        <v>94</v>
      </c>
      <c r="B63" s="12"/>
      <c r="C63" s="12"/>
      <c r="D63" s="12"/>
      <c r="E63" s="12">
        <v>13.5</v>
      </c>
      <c r="F63" s="19">
        <v>12</v>
      </c>
      <c r="G63" s="12"/>
      <c r="H63" s="12"/>
      <c r="I63" s="12"/>
      <c r="J63" s="12"/>
      <c r="K63" s="12"/>
      <c r="L63" s="13"/>
      <c r="M63" s="12"/>
      <c r="N63" s="12"/>
      <c r="O63" s="12" t="s">
        <v>83</v>
      </c>
      <c r="P63" s="12"/>
      <c r="Q63" s="12"/>
      <c r="R63" s="12"/>
      <c r="S63" s="12"/>
      <c r="T63" s="12"/>
      <c r="U63" s="12"/>
      <c r="V63" s="12">
        <v>25.99</v>
      </c>
      <c r="W63" s="13"/>
      <c r="X63" s="12"/>
      <c r="Y63" s="12"/>
      <c r="Z63" s="12"/>
      <c r="AA63" s="12"/>
      <c r="AB63" s="12"/>
      <c r="AC63" s="12"/>
      <c r="AD63" s="12"/>
      <c r="AE63" s="13"/>
      <c r="AF63" s="12"/>
      <c r="AG63" s="12"/>
      <c r="AH63" s="12"/>
    </row>
    <row r="64" spans="1:34">
      <c r="A64" s="5" t="s">
        <v>95</v>
      </c>
      <c r="E64" s="21">
        <v>13.5</v>
      </c>
      <c r="F64" s="18">
        <v>12</v>
      </c>
      <c r="O64" s="21" t="s">
        <v>83</v>
      </c>
      <c r="V64" s="21">
        <v>20.07622432859398</v>
      </c>
    </row>
    <row r="65" spans="1:34">
      <c r="A65" s="5" t="s">
        <v>96</v>
      </c>
      <c r="E65" s="21">
        <v>13.5</v>
      </c>
      <c r="F65" s="18">
        <v>12</v>
      </c>
      <c r="O65" s="21" t="s">
        <v>83</v>
      </c>
      <c r="V65" s="21">
        <v>23.145</v>
      </c>
    </row>
    <row r="66" spans="1:34">
      <c r="A66" s="5" t="s">
        <v>97</v>
      </c>
      <c r="E66" s="21">
        <v>13.5</v>
      </c>
      <c r="F66" s="18">
        <v>12</v>
      </c>
      <c r="O66" s="21" t="s">
        <v>83</v>
      </c>
      <c r="V66" s="21">
        <v>22.04</v>
      </c>
    </row>
    <row r="67" spans="1:34">
      <c r="A67" s="5" t="s">
        <v>98</v>
      </c>
      <c r="E67" s="21">
        <v>13.5</v>
      </c>
      <c r="F67" s="18">
        <v>12</v>
      </c>
      <c r="O67" s="21" t="s">
        <v>83</v>
      </c>
      <c r="V67" s="21">
        <v>21.1175</v>
      </c>
    </row>
    <row r="68" spans="1:34">
      <c r="A68" s="5" t="s">
        <v>99</v>
      </c>
      <c r="E68" s="21">
        <v>13.5</v>
      </c>
      <c r="F68" s="18">
        <v>12</v>
      </c>
      <c r="O68" s="21" t="s">
        <v>83</v>
      </c>
      <c r="V68" s="21">
        <v>19.774000000000001</v>
      </c>
    </row>
    <row r="69" spans="1:34">
      <c r="A69" s="5" t="s">
        <v>100</v>
      </c>
      <c r="E69" s="21">
        <v>13.5</v>
      </c>
      <c r="F69" s="18">
        <v>12</v>
      </c>
      <c r="O69" s="21" t="s">
        <v>83</v>
      </c>
      <c r="V69" s="21">
        <v>17.734999999999999</v>
      </c>
    </row>
    <row r="70" spans="1:34">
      <c r="A70" s="5" t="s">
        <v>101</v>
      </c>
      <c r="E70" s="21">
        <v>13.5</v>
      </c>
      <c r="F70" s="18">
        <v>12</v>
      </c>
      <c r="O70" s="21" t="s">
        <v>83</v>
      </c>
      <c r="V70" s="21">
        <v>18.47</v>
      </c>
    </row>
    <row r="71" spans="1:34">
      <c r="A71" s="5" t="s">
        <v>102</v>
      </c>
      <c r="E71" s="21">
        <v>16</v>
      </c>
      <c r="F71" s="18">
        <v>12</v>
      </c>
      <c r="O71" s="21" t="s">
        <v>83</v>
      </c>
      <c r="V71" s="21">
        <v>16.714000000000002</v>
      </c>
    </row>
    <row r="72" spans="1:34">
      <c r="A72" s="5" t="s">
        <v>103</v>
      </c>
      <c r="E72" s="21">
        <v>16</v>
      </c>
      <c r="F72" s="18">
        <v>12</v>
      </c>
      <c r="O72" s="21" t="s">
        <v>83</v>
      </c>
      <c r="V72" s="21">
        <v>17.55</v>
      </c>
    </row>
    <row r="73" spans="1:34">
      <c r="A73" s="5" t="s">
        <v>104</v>
      </c>
      <c r="E73" s="21">
        <v>16</v>
      </c>
      <c r="F73" s="18">
        <v>12</v>
      </c>
      <c r="O73" s="21" t="s">
        <v>83</v>
      </c>
      <c r="V73" s="21">
        <v>17.87</v>
      </c>
    </row>
    <row r="74" spans="1:34">
      <c r="A74" s="5" t="s">
        <v>105</v>
      </c>
      <c r="E74" s="21">
        <v>18</v>
      </c>
      <c r="F74" s="18">
        <v>12</v>
      </c>
      <c r="O74" s="21" t="s">
        <v>83</v>
      </c>
      <c r="V74" s="21">
        <v>16.622499999999999</v>
      </c>
    </row>
    <row r="75" spans="1:34">
      <c r="A75" s="23" t="s">
        <v>106</v>
      </c>
      <c r="B75" s="12"/>
      <c r="C75" s="12"/>
      <c r="D75" s="12"/>
      <c r="E75" s="12">
        <v>18</v>
      </c>
      <c r="F75" s="19">
        <v>12</v>
      </c>
      <c r="G75" s="12"/>
      <c r="H75" s="12"/>
      <c r="I75" s="12"/>
      <c r="J75" s="12"/>
      <c r="K75" s="12"/>
      <c r="L75" s="13"/>
      <c r="M75" s="12"/>
      <c r="N75" s="12"/>
      <c r="O75" s="12" t="s">
        <v>83</v>
      </c>
      <c r="P75" s="12"/>
      <c r="Q75" s="12"/>
      <c r="R75" s="12"/>
      <c r="S75" s="12"/>
      <c r="T75" s="12"/>
      <c r="U75" s="12"/>
      <c r="V75" s="12">
        <v>16.6525</v>
      </c>
      <c r="W75" s="13"/>
      <c r="X75" s="12"/>
      <c r="Y75" s="12"/>
      <c r="Z75" s="12"/>
      <c r="AA75" s="12"/>
      <c r="AB75" s="12"/>
      <c r="AC75" s="12"/>
      <c r="AD75" s="12"/>
      <c r="AE75" s="13"/>
      <c r="AF75" s="12"/>
      <c r="AG75" s="12"/>
      <c r="AH75" s="12"/>
    </row>
    <row r="76" spans="1:34">
      <c r="A76" s="5" t="s">
        <v>107</v>
      </c>
      <c r="E76" s="21">
        <v>18</v>
      </c>
      <c r="F76" s="18">
        <v>12</v>
      </c>
      <c r="O76" s="21" t="s">
        <v>83</v>
      </c>
      <c r="V76" s="21">
        <v>15.312000000000001</v>
      </c>
    </row>
    <row r="77" spans="1:34">
      <c r="A77" s="5" t="s">
        <v>108</v>
      </c>
      <c r="E77" s="21">
        <v>18</v>
      </c>
      <c r="F77" s="18">
        <v>12</v>
      </c>
      <c r="O77" s="21" t="s">
        <v>83</v>
      </c>
      <c r="V77" s="21">
        <v>14.5625</v>
      </c>
    </row>
    <row r="78" spans="1:34">
      <c r="A78" s="5" t="s">
        <v>109</v>
      </c>
      <c r="E78" s="21">
        <v>18</v>
      </c>
      <c r="F78" s="18">
        <v>12</v>
      </c>
      <c r="O78" s="21" t="s">
        <v>83</v>
      </c>
      <c r="V78" s="21">
        <v>11.84</v>
      </c>
    </row>
    <row r="79" spans="1:34">
      <c r="A79" s="5" t="s">
        <v>110</v>
      </c>
      <c r="E79" s="21">
        <v>18</v>
      </c>
      <c r="F79" s="18">
        <v>12</v>
      </c>
      <c r="O79" s="21" t="s">
        <v>83</v>
      </c>
      <c r="V79" s="21">
        <v>12.44</v>
      </c>
    </row>
    <row r="80" spans="1:34">
      <c r="A80" s="5" t="s">
        <v>111</v>
      </c>
      <c r="E80" s="21">
        <v>18</v>
      </c>
      <c r="F80" s="18">
        <v>12</v>
      </c>
      <c r="O80" s="21" t="s">
        <v>83</v>
      </c>
      <c r="V80" s="21">
        <v>13.6</v>
      </c>
    </row>
    <row r="81" spans="1:34">
      <c r="A81" s="5" t="s">
        <v>112</v>
      </c>
      <c r="E81" s="21">
        <v>18</v>
      </c>
      <c r="F81" s="18">
        <v>12</v>
      </c>
      <c r="O81" s="21" t="s">
        <v>83</v>
      </c>
      <c r="V81" s="21">
        <v>15.03</v>
      </c>
    </row>
    <row r="82" spans="1:34">
      <c r="A82" s="5" t="s">
        <v>113</v>
      </c>
      <c r="E82" s="21">
        <v>15</v>
      </c>
      <c r="F82" s="18">
        <v>12</v>
      </c>
      <c r="O82" s="21" t="s">
        <v>83</v>
      </c>
      <c r="V82" s="21">
        <v>16.23</v>
      </c>
    </row>
    <row r="83" spans="1:34">
      <c r="A83" s="5" t="s">
        <v>114</v>
      </c>
      <c r="E83" s="21">
        <v>15</v>
      </c>
      <c r="F83" s="18">
        <v>12</v>
      </c>
      <c r="O83" s="21" t="s">
        <v>83</v>
      </c>
      <c r="V83" s="21">
        <v>16.489999999999998</v>
      </c>
    </row>
    <row r="84" spans="1:34">
      <c r="A84" s="5" t="s">
        <v>115</v>
      </c>
      <c r="E84" s="21">
        <v>12</v>
      </c>
      <c r="F84" s="18">
        <v>12</v>
      </c>
      <c r="O84" s="21" t="s">
        <v>83</v>
      </c>
      <c r="V84" s="21">
        <v>17.54</v>
      </c>
    </row>
    <row r="85" spans="1:34">
      <c r="A85" s="5" t="s">
        <v>116</v>
      </c>
      <c r="E85" s="21">
        <v>12</v>
      </c>
      <c r="F85" s="18">
        <v>12</v>
      </c>
      <c r="O85" s="21" t="s">
        <v>83</v>
      </c>
      <c r="V85" s="21">
        <v>19.39</v>
      </c>
    </row>
    <row r="86" spans="1:34">
      <c r="A86" s="5" t="s">
        <v>117</v>
      </c>
      <c r="E86" s="21">
        <v>12</v>
      </c>
      <c r="F86" s="18">
        <v>12</v>
      </c>
      <c r="O86" s="21" t="s">
        <v>83</v>
      </c>
      <c r="V86" s="21">
        <v>18.149999999999999</v>
      </c>
    </row>
    <row r="87" spans="1:34">
      <c r="A87" s="23" t="s">
        <v>118</v>
      </c>
      <c r="B87" s="12"/>
      <c r="C87" s="12"/>
      <c r="D87" s="12"/>
      <c r="E87" s="12">
        <v>12</v>
      </c>
      <c r="F87" s="19">
        <v>12</v>
      </c>
      <c r="G87" s="12"/>
      <c r="H87" s="12"/>
      <c r="I87" s="12"/>
      <c r="J87" s="12"/>
      <c r="K87" s="12"/>
      <c r="L87" s="13"/>
      <c r="M87" s="12"/>
      <c r="N87" s="12"/>
      <c r="O87" s="12" t="s">
        <v>83</v>
      </c>
      <c r="P87" s="12"/>
      <c r="Q87" s="12"/>
      <c r="R87" s="12">
        <v>24.25</v>
      </c>
      <c r="S87" s="12"/>
      <c r="T87" s="12"/>
      <c r="U87" s="12"/>
      <c r="V87" s="12">
        <v>16.88</v>
      </c>
      <c r="W87" s="13"/>
      <c r="X87" s="12"/>
      <c r="Y87" s="12"/>
      <c r="Z87" s="12"/>
      <c r="AA87" s="12"/>
      <c r="AB87" s="12"/>
      <c r="AC87" s="12"/>
      <c r="AD87" s="12"/>
      <c r="AE87" s="13"/>
      <c r="AF87" s="12"/>
      <c r="AG87" s="12"/>
      <c r="AH87" s="12"/>
    </row>
    <row r="88" spans="1:34">
      <c r="A88" s="5" t="s">
        <v>119</v>
      </c>
      <c r="E88" s="21">
        <v>12</v>
      </c>
      <c r="F88" s="18">
        <v>12</v>
      </c>
      <c r="O88" s="21" t="s">
        <v>83</v>
      </c>
      <c r="V88" s="21">
        <v>16.72</v>
      </c>
      <c r="Y88" s="21">
        <v>20.249359999999999</v>
      </c>
    </row>
    <row r="89" spans="1:34">
      <c r="A89" s="5" t="s">
        <v>120</v>
      </c>
      <c r="E89" s="21">
        <v>12</v>
      </c>
      <c r="F89" s="18">
        <v>12</v>
      </c>
      <c r="O89" s="21" t="s">
        <v>83</v>
      </c>
      <c r="V89" s="21">
        <v>17.73</v>
      </c>
      <c r="Y89" s="21">
        <v>18.874229999999997</v>
      </c>
    </row>
    <row r="90" spans="1:34">
      <c r="A90" s="5" t="s">
        <v>121</v>
      </c>
      <c r="E90" s="21">
        <v>12</v>
      </c>
      <c r="F90" s="18">
        <v>12</v>
      </c>
      <c r="O90" s="21" t="s">
        <v>83</v>
      </c>
      <c r="V90" s="21">
        <v>17.47</v>
      </c>
      <c r="Y90" s="21">
        <v>21.998464999999999</v>
      </c>
    </row>
    <row r="91" spans="1:34">
      <c r="A91" s="5" t="s">
        <v>122</v>
      </c>
      <c r="E91" s="21">
        <v>12</v>
      </c>
      <c r="F91" s="18">
        <v>12</v>
      </c>
      <c r="O91" s="21" t="s">
        <v>83</v>
      </c>
      <c r="V91" s="21">
        <v>16.170000000000002</v>
      </c>
      <c r="Y91" s="21">
        <v>22.482709999999997</v>
      </c>
    </row>
    <row r="92" spans="1:34">
      <c r="A92" s="5" t="s">
        <v>123</v>
      </c>
      <c r="E92" s="21">
        <v>8</v>
      </c>
      <c r="F92" s="18">
        <v>12</v>
      </c>
      <c r="O92" s="21" t="s">
        <v>83</v>
      </c>
      <c r="V92" s="21">
        <v>15.04</v>
      </c>
      <c r="Y92" s="21">
        <v>23.451766666666668</v>
      </c>
    </row>
    <row r="93" spans="1:34">
      <c r="A93" s="5" t="s">
        <v>124</v>
      </c>
      <c r="E93" s="21">
        <v>8</v>
      </c>
      <c r="F93" s="18">
        <v>12</v>
      </c>
      <c r="O93" s="21" t="s">
        <v>83</v>
      </c>
      <c r="V93" s="21">
        <v>15.5</v>
      </c>
      <c r="Y93" s="21">
        <v>22.829430000000002</v>
      </c>
    </row>
    <row r="94" spans="1:34">
      <c r="A94" s="5" t="s">
        <v>125</v>
      </c>
      <c r="E94" s="21">
        <v>8</v>
      </c>
      <c r="F94" s="18">
        <v>12</v>
      </c>
      <c r="O94" s="21" t="s">
        <v>83</v>
      </c>
      <c r="V94" s="21">
        <v>13.85</v>
      </c>
      <c r="Y94" s="21">
        <v>24.000019999999999</v>
      </c>
    </row>
    <row r="95" spans="1:34">
      <c r="A95" s="5" t="s">
        <v>126</v>
      </c>
      <c r="E95" s="21">
        <v>8</v>
      </c>
      <c r="F95" s="18">
        <v>12</v>
      </c>
      <c r="O95" s="21" t="s">
        <v>83</v>
      </c>
      <c r="V95" s="21">
        <v>13.68</v>
      </c>
    </row>
    <row r="96" spans="1:34">
      <c r="A96" s="5" t="s">
        <v>127</v>
      </c>
      <c r="E96" s="21">
        <v>8</v>
      </c>
      <c r="F96" s="18">
        <v>12</v>
      </c>
      <c r="O96" s="21" t="s">
        <v>83</v>
      </c>
      <c r="V96" s="21">
        <v>13.71</v>
      </c>
      <c r="Y96" s="21">
        <v>21.4999</v>
      </c>
    </row>
    <row r="97" spans="1:34">
      <c r="A97" s="5" t="s">
        <v>128</v>
      </c>
      <c r="E97" s="21">
        <v>8</v>
      </c>
      <c r="F97" s="18">
        <v>12</v>
      </c>
      <c r="O97" s="21" t="s">
        <v>83</v>
      </c>
      <c r="V97" s="21">
        <v>13.13</v>
      </c>
    </row>
    <row r="98" spans="1:34">
      <c r="A98" s="5" t="s">
        <v>129</v>
      </c>
      <c r="E98" s="21">
        <v>8</v>
      </c>
      <c r="F98" s="18">
        <v>12</v>
      </c>
      <c r="O98" s="21" t="s">
        <v>83</v>
      </c>
      <c r="V98" s="21">
        <v>14.38</v>
      </c>
    </row>
    <row r="99" spans="1:34">
      <c r="A99" s="23" t="s">
        <v>130</v>
      </c>
      <c r="B99" s="12"/>
      <c r="C99" s="12"/>
      <c r="D99" s="12"/>
      <c r="E99" s="12">
        <v>8</v>
      </c>
      <c r="F99" s="19">
        <v>12</v>
      </c>
      <c r="G99" s="12"/>
      <c r="H99" s="12"/>
      <c r="I99" s="12"/>
      <c r="J99" s="12"/>
      <c r="K99" s="12"/>
      <c r="L99" s="13"/>
      <c r="M99" s="12"/>
      <c r="N99" s="12"/>
      <c r="O99" s="12" t="s">
        <v>83</v>
      </c>
      <c r="P99" s="12"/>
      <c r="Q99" s="12"/>
      <c r="R99" s="12">
        <v>17</v>
      </c>
      <c r="S99" s="12"/>
      <c r="T99" s="12"/>
      <c r="U99" s="12"/>
      <c r="V99" s="12">
        <v>11.78</v>
      </c>
      <c r="W99" s="13"/>
      <c r="X99" s="12"/>
      <c r="Y99" s="12"/>
      <c r="Z99" s="12"/>
      <c r="AA99" s="12"/>
      <c r="AB99" s="12"/>
      <c r="AC99" s="12"/>
      <c r="AD99" s="12"/>
      <c r="AE99" s="13"/>
      <c r="AF99" s="12"/>
      <c r="AG99" s="12"/>
      <c r="AH99" s="12"/>
    </row>
    <row r="100" spans="1:34">
      <c r="A100" s="5" t="s">
        <v>131</v>
      </c>
      <c r="E100" s="21">
        <v>8</v>
      </c>
      <c r="F100" s="18">
        <v>12</v>
      </c>
      <c r="O100" s="21" t="s">
        <v>83</v>
      </c>
      <c r="V100" s="21">
        <v>10.52</v>
      </c>
      <c r="Y100" s="21">
        <v>24.527349999999998</v>
      </c>
    </row>
    <row r="101" spans="1:34">
      <c r="A101" s="5" t="s">
        <v>132</v>
      </c>
      <c r="E101" s="21">
        <v>8</v>
      </c>
      <c r="F101" s="18">
        <v>12</v>
      </c>
      <c r="O101" s="21" t="s">
        <v>83</v>
      </c>
      <c r="V101" s="21">
        <v>9.4499999999999993</v>
      </c>
      <c r="Y101" s="21">
        <v>23.237349999999999</v>
      </c>
    </row>
    <row r="102" spans="1:34">
      <c r="A102" s="5" t="s">
        <v>133</v>
      </c>
      <c r="E102" s="21">
        <v>8</v>
      </c>
      <c r="F102" s="18">
        <v>11</v>
      </c>
      <c r="O102" s="21" t="s">
        <v>83</v>
      </c>
      <c r="V102" s="21">
        <v>9.73</v>
      </c>
      <c r="Y102" s="21">
        <v>24.875</v>
      </c>
    </row>
    <row r="103" spans="1:34">
      <c r="A103" s="5" t="s">
        <v>134</v>
      </c>
      <c r="E103" s="21">
        <v>8</v>
      </c>
      <c r="F103" s="18">
        <v>11</v>
      </c>
      <c r="O103" s="21" t="s">
        <v>83</v>
      </c>
      <c r="V103" s="21">
        <v>15.79</v>
      </c>
      <c r="Y103" s="21">
        <v>24.11611111111111</v>
      </c>
    </row>
    <row r="104" spans="1:34">
      <c r="A104" s="5" t="s">
        <v>135</v>
      </c>
      <c r="E104" s="21">
        <v>8</v>
      </c>
      <c r="F104" s="18">
        <v>11</v>
      </c>
      <c r="O104" s="21" t="s">
        <v>83</v>
      </c>
      <c r="V104" s="21">
        <v>16.36</v>
      </c>
      <c r="Y104" s="21">
        <v>22.697475000000001</v>
      </c>
    </row>
    <row r="105" spans="1:34">
      <c r="A105" s="5" t="s">
        <v>136</v>
      </c>
      <c r="E105" s="21">
        <v>8</v>
      </c>
      <c r="F105" s="18">
        <v>11</v>
      </c>
      <c r="O105" s="21" t="s">
        <v>83</v>
      </c>
      <c r="V105" s="21">
        <v>16.18</v>
      </c>
      <c r="Y105" s="21">
        <v>22.332304999999998</v>
      </c>
    </row>
    <row r="106" spans="1:34">
      <c r="A106" s="5" t="s">
        <v>137</v>
      </c>
      <c r="E106" s="21">
        <v>8</v>
      </c>
      <c r="F106" s="18">
        <v>11</v>
      </c>
      <c r="O106" s="21" t="s">
        <v>83</v>
      </c>
      <c r="V106" s="21">
        <v>17.07</v>
      </c>
      <c r="Y106" s="21">
        <v>19.560829999999999</v>
      </c>
    </row>
    <row r="107" spans="1:34">
      <c r="A107" s="5" t="s">
        <v>138</v>
      </c>
      <c r="E107" s="21">
        <v>8</v>
      </c>
      <c r="F107" s="18">
        <v>11</v>
      </c>
      <c r="O107" s="21" t="s">
        <v>83</v>
      </c>
      <c r="V107" s="21">
        <v>14.46</v>
      </c>
      <c r="Y107" s="21">
        <v>15.03007</v>
      </c>
    </row>
    <row r="108" spans="1:34">
      <c r="A108" s="5" t="s">
        <v>139</v>
      </c>
      <c r="E108" s="21">
        <v>8</v>
      </c>
      <c r="F108" s="18">
        <v>11</v>
      </c>
      <c r="O108" s="21" t="s">
        <v>83</v>
      </c>
      <c r="V108" s="21">
        <v>13.76</v>
      </c>
      <c r="Y108" s="21">
        <v>14.37073</v>
      </c>
    </row>
    <row r="109" spans="1:34">
      <c r="A109" s="5" t="s">
        <v>140</v>
      </c>
      <c r="E109" s="21">
        <v>8</v>
      </c>
      <c r="F109" s="18">
        <v>11</v>
      </c>
      <c r="O109" s="21" t="s">
        <v>83</v>
      </c>
      <c r="V109" s="21">
        <v>13.6</v>
      </c>
      <c r="Y109" s="21">
        <v>14.559393999999999</v>
      </c>
    </row>
    <row r="110" spans="1:34">
      <c r="A110" s="5" t="s">
        <v>141</v>
      </c>
      <c r="E110" s="21">
        <v>8</v>
      </c>
      <c r="F110" s="18">
        <v>11</v>
      </c>
      <c r="O110" s="21" t="s">
        <v>83</v>
      </c>
      <c r="V110" s="21">
        <v>13.74</v>
      </c>
      <c r="Y110" s="21">
        <v>14.5512085</v>
      </c>
    </row>
    <row r="111" spans="1:34">
      <c r="A111" s="23" t="s">
        <v>142</v>
      </c>
      <c r="B111" s="12"/>
      <c r="C111" s="12"/>
      <c r="D111" s="12"/>
      <c r="E111" s="12">
        <v>9.5</v>
      </c>
      <c r="F111" s="19">
        <v>11</v>
      </c>
      <c r="G111" s="12"/>
      <c r="H111" s="12"/>
      <c r="I111" s="12"/>
      <c r="J111" s="12"/>
      <c r="K111" s="12"/>
      <c r="L111" s="13"/>
      <c r="M111" s="12"/>
      <c r="N111" s="12"/>
      <c r="O111" s="12" t="s">
        <v>83</v>
      </c>
      <c r="P111" s="12"/>
      <c r="Q111" s="12"/>
      <c r="R111" s="12">
        <v>20.25</v>
      </c>
      <c r="S111" s="12"/>
      <c r="T111" s="12"/>
      <c r="U111" s="12"/>
      <c r="V111" s="12">
        <v>18.510000000000002</v>
      </c>
      <c r="W111" s="13"/>
      <c r="X111" s="12"/>
      <c r="Y111" s="12">
        <v>16.666599999999999</v>
      </c>
      <c r="Z111" s="12"/>
      <c r="AA111" s="12"/>
      <c r="AB111" s="12"/>
      <c r="AC111" s="12"/>
      <c r="AD111" s="12"/>
      <c r="AE111" s="13"/>
      <c r="AF111" s="12"/>
      <c r="AG111" s="12"/>
      <c r="AH111" s="12"/>
    </row>
    <row r="112" spans="1:34">
      <c r="A112" s="5" t="s">
        <v>143</v>
      </c>
      <c r="E112" s="21">
        <v>9.5</v>
      </c>
      <c r="F112" s="18">
        <v>11</v>
      </c>
      <c r="O112" s="21" t="s">
        <v>83</v>
      </c>
      <c r="V112" s="21">
        <v>37.25</v>
      </c>
      <c r="Y112" s="21">
        <v>16.399999999999999</v>
      </c>
    </row>
    <row r="113" spans="1:34">
      <c r="A113" s="5" t="s">
        <v>144</v>
      </c>
      <c r="E113" s="21">
        <v>9.5</v>
      </c>
      <c r="F113" s="18">
        <v>11</v>
      </c>
      <c r="O113" s="21" t="s">
        <v>83</v>
      </c>
      <c r="V113" s="21">
        <v>41.69</v>
      </c>
      <c r="Y113" s="21">
        <v>16.600000000000001</v>
      </c>
    </row>
    <row r="114" spans="1:34">
      <c r="A114" s="5" t="s">
        <v>145</v>
      </c>
      <c r="E114" s="21">
        <v>9.5</v>
      </c>
      <c r="F114" s="18">
        <v>11</v>
      </c>
      <c r="O114" s="21" t="s">
        <v>83</v>
      </c>
      <c r="V114" s="21">
        <v>69.540000000000006</v>
      </c>
      <c r="Y114" s="21">
        <v>18.399999999999999</v>
      </c>
    </row>
    <row r="115" spans="1:34">
      <c r="A115" s="5" t="s">
        <v>146</v>
      </c>
      <c r="E115" s="21">
        <v>9.5</v>
      </c>
      <c r="F115" s="18">
        <v>11</v>
      </c>
      <c r="J115" s="21">
        <v>45</v>
      </c>
      <c r="O115" s="21" t="s">
        <v>83</v>
      </c>
      <c r="V115" s="21">
        <v>74.75</v>
      </c>
      <c r="Y115" s="21">
        <v>18.100000000000001</v>
      </c>
    </row>
    <row r="116" spans="1:34">
      <c r="A116" s="5" t="s">
        <v>147</v>
      </c>
      <c r="E116" s="21">
        <v>9.5</v>
      </c>
      <c r="F116" s="18">
        <v>11</v>
      </c>
      <c r="I116" s="21">
        <v>6</v>
      </c>
      <c r="J116" s="21">
        <v>45</v>
      </c>
      <c r="O116" s="21" t="s">
        <v>83</v>
      </c>
      <c r="V116" s="21">
        <v>59.17</v>
      </c>
      <c r="Y116" s="21">
        <v>18.399999999999999</v>
      </c>
    </row>
    <row r="117" spans="1:34">
      <c r="A117" s="5" t="s">
        <v>148</v>
      </c>
      <c r="E117" s="21">
        <v>9.5</v>
      </c>
      <c r="F117" s="18">
        <v>11</v>
      </c>
      <c r="I117" s="21">
        <v>6</v>
      </c>
      <c r="J117" s="21">
        <v>45</v>
      </c>
      <c r="O117" s="21" t="s">
        <v>83</v>
      </c>
      <c r="V117" s="21">
        <v>47.25</v>
      </c>
      <c r="Y117" s="21">
        <v>19.3</v>
      </c>
    </row>
    <row r="118" spans="1:34">
      <c r="A118" s="5" t="s">
        <v>149</v>
      </c>
      <c r="E118" s="21">
        <v>9.5</v>
      </c>
      <c r="F118" s="18">
        <v>11</v>
      </c>
      <c r="I118" s="21">
        <v>5.7</v>
      </c>
      <c r="J118" s="21">
        <v>45</v>
      </c>
      <c r="O118" s="21" t="s">
        <v>83</v>
      </c>
      <c r="V118" s="21">
        <v>40.94</v>
      </c>
      <c r="Y118" s="21">
        <v>19.600000000000001</v>
      </c>
    </row>
    <row r="119" spans="1:34">
      <c r="A119" s="5" t="s">
        <v>150</v>
      </c>
      <c r="E119" s="21">
        <v>9.5</v>
      </c>
      <c r="F119" s="18">
        <v>11</v>
      </c>
      <c r="I119" s="21">
        <v>5.7</v>
      </c>
      <c r="J119" s="21">
        <v>45</v>
      </c>
      <c r="O119" s="21" t="s">
        <v>83</v>
      </c>
      <c r="V119" s="21">
        <v>35.14</v>
      </c>
      <c r="Y119" s="21">
        <v>19.899999999999999</v>
      </c>
    </row>
    <row r="120" spans="1:34">
      <c r="A120" s="5" t="s">
        <v>151</v>
      </c>
      <c r="E120" s="21">
        <v>9.5</v>
      </c>
      <c r="F120" s="18">
        <v>11</v>
      </c>
      <c r="I120" s="21">
        <v>6</v>
      </c>
      <c r="J120" s="21">
        <v>45</v>
      </c>
      <c r="O120" s="21" t="s">
        <v>83</v>
      </c>
      <c r="V120" s="21">
        <v>33.46</v>
      </c>
      <c r="Y120" s="21">
        <v>19.899999999999999</v>
      </c>
    </row>
    <row r="121" spans="1:34">
      <c r="A121" s="5" t="s">
        <v>152</v>
      </c>
      <c r="E121" s="21">
        <v>9.5</v>
      </c>
      <c r="F121" s="18">
        <v>11</v>
      </c>
      <c r="I121" s="21">
        <v>6.5</v>
      </c>
      <c r="J121" s="21">
        <v>45</v>
      </c>
      <c r="O121" s="21" t="s">
        <v>83</v>
      </c>
      <c r="V121" s="21">
        <v>40.29</v>
      </c>
      <c r="Y121" s="21">
        <v>18.600000000000001</v>
      </c>
    </row>
    <row r="122" spans="1:34">
      <c r="A122" s="5" t="s">
        <v>153</v>
      </c>
      <c r="E122" s="21">
        <v>9.5</v>
      </c>
      <c r="F122" s="18">
        <v>11</v>
      </c>
      <c r="I122" s="21">
        <v>6.5</v>
      </c>
      <c r="J122" s="21">
        <v>45</v>
      </c>
      <c r="O122" s="21" t="s">
        <v>83</v>
      </c>
      <c r="V122" s="21">
        <v>53.16</v>
      </c>
      <c r="Y122" s="21">
        <v>15.9</v>
      </c>
    </row>
    <row r="123" spans="1:34">
      <c r="A123" s="23" t="s">
        <v>154</v>
      </c>
      <c r="B123" s="12"/>
      <c r="C123" s="12"/>
      <c r="D123" s="12"/>
      <c r="E123" s="12">
        <v>12.5</v>
      </c>
      <c r="F123" s="19">
        <v>11</v>
      </c>
      <c r="G123" s="12"/>
      <c r="H123" s="12"/>
      <c r="I123" s="12">
        <v>6.7</v>
      </c>
      <c r="J123" s="12">
        <v>41</v>
      </c>
      <c r="K123" s="12"/>
      <c r="L123" s="13"/>
      <c r="M123" s="12"/>
      <c r="N123" s="12"/>
      <c r="O123" s="12" t="s">
        <v>83</v>
      </c>
      <c r="P123" s="12"/>
      <c r="Q123" s="12"/>
      <c r="R123" s="12">
        <v>17.25</v>
      </c>
      <c r="S123" s="12"/>
      <c r="T123" s="12"/>
      <c r="U123" s="12"/>
      <c r="V123" s="12">
        <v>48.62</v>
      </c>
      <c r="W123" s="13"/>
      <c r="X123" s="12"/>
      <c r="Y123" s="12">
        <v>12.7</v>
      </c>
      <c r="Z123" s="12"/>
      <c r="AA123" s="12"/>
      <c r="AB123" s="12"/>
      <c r="AC123" s="12"/>
      <c r="AD123" s="12"/>
      <c r="AE123" s="13"/>
      <c r="AF123" s="12"/>
      <c r="AG123" s="12"/>
      <c r="AH123" s="12"/>
    </row>
    <row r="124" spans="1:34">
      <c r="A124" s="5" t="s">
        <v>155</v>
      </c>
      <c r="E124" s="21">
        <v>12.5</v>
      </c>
      <c r="F124" s="18">
        <v>11</v>
      </c>
      <c r="I124" s="21">
        <v>6.7</v>
      </c>
      <c r="J124" s="21">
        <v>41</v>
      </c>
      <c r="O124" s="21" t="s">
        <v>83</v>
      </c>
      <c r="V124" s="21">
        <v>40.99</v>
      </c>
      <c r="Y124" s="21">
        <v>16.399999999999999</v>
      </c>
    </row>
    <row r="125" spans="1:34">
      <c r="A125" s="5" t="s">
        <v>156</v>
      </c>
      <c r="E125" s="21">
        <v>12.5</v>
      </c>
      <c r="F125" s="18">
        <v>11</v>
      </c>
      <c r="I125" s="21">
        <v>6.7</v>
      </c>
      <c r="J125" s="21">
        <v>38</v>
      </c>
      <c r="O125" s="21" t="s">
        <v>83</v>
      </c>
      <c r="V125" s="21">
        <v>38.58</v>
      </c>
      <c r="Y125" s="21">
        <v>16.600000000000001</v>
      </c>
    </row>
    <row r="126" spans="1:34">
      <c r="A126" s="5" t="s">
        <v>157</v>
      </c>
      <c r="E126" s="21">
        <v>12.5</v>
      </c>
      <c r="F126" s="18">
        <v>11</v>
      </c>
      <c r="I126" s="21">
        <v>6.7</v>
      </c>
      <c r="J126" s="21">
        <v>35</v>
      </c>
      <c r="O126" s="21" t="s">
        <v>83</v>
      </c>
      <c r="V126" s="21">
        <v>41.45</v>
      </c>
      <c r="Y126" s="21">
        <v>18.399999999999999</v>
      </c>
    </row>
    <row r="127" spans="1:34">
      <c r="A127" s="5" t="s">
        <v>158</v>
      </c>
      <c r="E127" s="21">
        <v>12.5</v>
      </c>
      <c r="F127" s="18">
        <v>11</v>
      </c>
      <c r="I127" s="21">
        <v>7.5</v>
      </c>
      <c r="J127" s="21">
        <v>35</v>
      </c>
      <c r="O127" s="21" t="s">
        <v>83</v>
      </c>
      <c r="V127" s="21">
        <v>35.21</v>
      </c>
      <c r="Y127" s="21">
        <v>18.100000000000001</v>
      </c>
    </row>
    <row r="128" spans="1:34">
      <c r="A128" s="5" t="s">
        <v>159</v>
      </c>
      <c r="E128" s="21">
        <v>12.5</v>
      </c>
      <c r="F128" s="18">
        <v>11</v>
      </c>
      <c r="I128" s="21">
        <v>7.5</v>
      </c>
      <c r="J128" s="21">
        <v>35</v>
      </c>
      <c r="O128" s="21" t="s">
        <v>83</v>
      </c>
      <c r="V128" s="21">
        <v>28.45</v>
      </c>
      <c r="Y128" s="21">
        <v>18.399999999999999</v>
      </c>
    </row>
    <row r="129" spans="1:34">
      <c r="A129" s="5" t="s">
        <v>160</v>
      </c>
      <c r="E129" s="21">
        <v>12.5</v>
      </c>
      <c r="F129" s="18">
        <v>11</v>
      </c>
      <c r="I129" s="21">
        <v>7.5</v>
      </c>
      <c r="J129" s="21">
        <v>35</v>
      </c>
      <c r="O129" s="21" t="s">
        <v>83</v>
      </c>
      <c r="V129" s="21">
        <v>27.81</v>
      </c>
      <c r="Y129" s="21">
        <v>19.3</v>
      </c>
    </row>
    <row r="130" spans="1:34">
      <c r="A130" s="5" t="s">
        <v>161</v>
      </c>
      <c r="E130" s="21">
        <v>12.5</v>
      </c>
      <c r="F130" s="18">
        <v>11</v>
      </c>
      <c r="I130" s="21">
        <v>7.5</v>
      </c>
      <c r="J130" s="21">
        <v>35</v>
      </c>
      <c r="O130" s="21" t="s">
        <v>83</v>
      </c>
      <c r="V130" s="21">
        <v>31.25</v>
      </c>
      <c r="Y130" s="21">
        <v>19.600000000000001</v>
      </c>
    </row>
    <row r="131" spans="1:34">
      <c r="A131" s="5" t="s">
        <v>162</v>
      </c>
      <c r="E131" s="21">
        <v>12.5</v>
      </c>
      <c r="F131" s="18">
        <v>11</v>
      </c>
      <c r="I131" s="21">
        <v>7.5</v>
      </c>
      <c r="J131" s="21">
        <v>35</v>
      </c>
      <c r="O131" s="21" t="s">
        <v>83</v>
      </c>
      <c r="V131" s="21">
        <v>26.51</v>
      </c>
      <c r="Y131" s="21">
        <v>19.899999999999999</v>
      </c>
    </row>
    <row r="132" spans="1:34">
      <c r="A132" s="5" t="s">
        <v>163</v>
      </c>
      <c r="E132" s="21">
        <v>12.5</v>
      </c>
      <c r="F132" s="18">
        <v>11</v>
      </c>
      <c r="I132" s="21">
        <v>7.5</v>
      </c>
      <c r="J132" s="21">
        <v>35</v>
      </c>
      <c r="O132" s="21" t="s">
        <v>83</v>
      </c>
      <c r="V132" s="21">
        <v>24.65</v>
      </c>
      <c r="Y132" s="21">
        <v>19.899999999999999</v>
      </c>
    </row>
    <row r="133" spans="1:34">
      <c r="A133" s="5" t="s">
        <v>164</v>
      </c>
      <c r="E133" s="21">
        <v>12.5</v>
      </c>
      <c r="F133" s="18">
        <v>11</v>
      </c>
      <c r="I133" s="21">
        <v>7.5</v>
      </c>
      <c r="J133" s="21">
        <v>35</v>
      </c>
      <c r="O133" s="21" t="s">
        <v>83</v>
      </c>
      <c r="V133" s="21">
        <v>25.75</v>
      </c>
      <c r="Y133" s="21">
        <v>18.600000000000001</v>
      </c>
    </row>
    <row r="134" spans="1:34">
      <c r="A134" s="5" t="s">
        <v>165</v>
      </c>
      <c r="E134" s="21">
        <v>12.5</v>
      </c>
      <c r="F134" s="18">
        <v>11</v>
      </c>
      <c r="I134" s="21">
        <v>7.5</v>
      </c>
      <c r="J134" s="21">
        <v>33</v>
      </c>
      <c r="O134" s="21" t="s">
        <v>83</v>
      </c>
      <c r="V134" s="21">
        <v>29.57</v>
      </c>
      <c r="Y134" s="21">
        <v>15.9</v>
      </c>
    </row>
    <row r="135" spans="1:34">
      <c r="A135" s="23" t="s">
        <v>166</v>
      </c>
      <c r="B135" s="12"/>
      <c r="C135" s="12"/>
      <c r="D135" s="12"/>
      <c r="E135" s="12">
        <v>12.5</v>
      </c>
      <c r="F135" s="19">
        <v>11</v>
      </c>
      <c r="G135" s="12"/>
      <c r="H135" s="12"/>
      <c r="I135" s="12">
        <v>7.5</v>
      </c>
      <c r="J135" s="12">
        <v>33</v>
      </c>
      <c r="K135" s="12"/>
      <c r="L135" s="13"/>
      <c r="M135" s="12"/>
      <c r="N135" s="12"/>
      <c r="O135" s="12" t="s">
        <v>83</v>
      </c>
      <c r="P135" s="12"/>
      <c r="Q135" s="12"/>
      <c r="R135" s="12">
        <v>12</v>
      </c>
      <c r="S135" s="12">
        <v>19.399999999999999</v>
      </c>
      <c r="T135" s="12"/>
      <c r="U135" s="12"/>
      <c r="V135" s="12">
        <v>27.23</v>
      </c>
      <c r="W135" s="13"/>
      <c r="X135" s="12"/>
      <c r="Y135" s="12">
        <v>12.7</v>
      </c>
      <c r="Z135" s="12"/>
      <c r="AA135" s="12"/>
      <c r="AB135" s="12"/>
      <c r="AC135" s="12"/>
      <c r="AD135" s="12"/>
      <c r="AE135" s="13"/>
      <c r="AF135" s="12"/>
      <c r="AG135" s="12"/>
      <c r="AH135" s="12"/>
    </row>
    <row r="136" spans="1:34">
      <c r="A136" s="5" t="s">
        <v>167</v>
      </c>
      <c r="E136" s="21">
        <v>12.5</v>
      </c>
      <c r="F136" s="18">
        <v>11</v>
      </c>
      <c r="I136" s="21">
        <v>7.5</v>
      </c>
      <c r="J136" s="21">
        <v>33</v>
      </c>
      <c r="O136" s="21" t="s">
        <v>83</v>
      </c>
      <c r="S136" s="21">
        <v>17.2</v>
      </c>
      <c r="V136" s="21">
        <v>23.55</v>
      </c>
      <c r="Y136" s="21">
        <v>10.6</v>
      </c>
    </row>
    <row r="137" spans="1:34">
      <c r="A137" s="5" t="s">
        <v>168</v>
      </c>
      <c r="E137" s="21">
        <v>12.5</v>
      </c>
      <c r="F137" s="18">
        <v>11</v>
      </c>
      <c r="I137" s="21">
        <v>7.25</v>
      </c>
      <c r="J137" s="21">
        <v>33</v>
      </c>
      <c r="O137" s="21" t="s">
        <v>83</v>
      </c>
      <c r="S137" s="21">
        <v>15.7</v>
      </c>
      <c r="V137" s="21">
        <v>19.8</v>
      </c>
      <c r="Y137" s="21">
        <v>10.6</v>
      </c>
    </row>
    <row r="138" spans="1:34">
      <c r="A138" s="5" t="s">
        <v>169</v>
      </c>
      <c r="E138" s="21">
        <v>12.5</v>
      </c>
      <c r="F138" s="18">
        <v>11</v>
      </c>
      <c r="I138" s="21">
        <v>7.25</v>
      </c>
      <c r="J138" s="21">
        <v>28.5</v>
      </c>
      <c r="O138" s="21" t="s">
        <v>83</v>
      </c>
      <c r="S138" s="21">
        <v>15.3</v>
      </c>
      <c r="V138" s="21">
        <v>21.66</v>
      </c>
      <c r="Y138" s="21">
        <v>10.5</v>
      </c>
    </row>
    <row r="139" spans="1:34">
      <c r="A139" s="5" t="s">
        <v>170</v>
      </c>
      <c r="E139" s="21">
        <v>12.5</v>
      </c>
      <c r="F139" s="18">
        <v>11</v>
      </c>
      <c r="I139" s="21">
        <v>7</v>
      </c>
      <c r="J139" s="21">
        <v>28.5</v>
      </c>
      <c r="O139" s="21" t="s">
        <v>83</v>
      </c>
      <c r="S139" s="21">
        <v>17.899999999999999</v>
      </c>
      <c r="V139" s="21">
        <v>21.35</v>
      </c>
      <c r="Y139" s="21">
        <v>10.6</v>
      </c>
    </row>
    <row r="140" spans="1:34">
      <c r="A140" s="5" t="s">
        <v>171</v>
      </c>
      <c r="E140" s="21">
        <v>9</v>
      </c>
      <c r="F140" s="18">
        <v>11</v>
      </c>
      <c r="I140" s="21">
        <v>7</v>
      </c>
      <c r="J140" s="21">
        <v>27.5</v>
      </c>
      <c r="O140" s="21" t="s">
        <v>83</v>
      </c>
      <c r="S140" s="21">
        <v>18.600000000000001</v>
      </c>
      <c r="V140" s="21">
        <v>18.420000000000002</v>
      </c>
      <c r="Y140" s="21">
        <v>10.1</v>
      </c>
    </row>
    <row r="141" spans="1:34">
      <c r="A141" s="5" t="s">
        <v>172</v>
      </c>
      <c r="E141" s="21">
        <v>9</v>
      </c>
      <c r="F141" s="18">
        <v>11</v>
      </c>
      <c r="I141" s="21">
        <v>6.75</v>
      </c>
      <c r="J141" s="21">
        <v>27.5</v>
      </c>
      <c r="O141" s="21" t="s">
        <v>83</v>
      </c>
      <c r="S141" s="21">
        <v>18</v>
      </c>
      <c r="V141" s="21">
        <v>20.170000000000002</v>
      </c>
      <c r="Y141" s="21">
        <v>10.6</v>
      </c>
    </row>
    <row r="142" spans="1:34">
      <c r="A142" s="5" t="s">
        <v>173</v>
      </c>
      <c r="E142" s="21">
        <v>9</v>
      </c>
      <c r="F142" s="18">
        <v>11</v>
      </c>
      <c r="I142" s="21">
        <v>6.75</v>
      </c>
      <c r="J142" s="21">
        <v>27.5</v>
      </c>
      <c r="O142" s="21" t="s">
        <v>83</v>
      </c>
      <c r="S142" s="21">
        <v>18</v>
      </c>
      <c r="V142" s="21">
        <v>18.8</v>
      </c>
      <c r="Y142" s="21">
        <v>11.4</v>
      </c>
    </row>
    <row r="143" spans="1:34">
      <c r="A143" s="5" t="s">
        <v>174</v>
      </c>
      <c r="E143" s="21">
        <v>9</v>
      </c>
      <c r="F143" s="18">
        <v>11</v>
      </c>
      <c r="I143" s="21">
        <v>6.75</v>
      </c>
      <c r="J143" s="21">
        <v>27</v>
      </c>
      <c r="O143" s="21" t="s">
        <v>83</v>
      </c>
      <c r="S143" s="21">
        <v>17.899999999999999</v>
      </c>
      <c r="V143" s="21">
        <v>18.93</v>
      </c>
      <c r="Y143" s="21">
        <v>11.8</v>
      </c>
    </row>
    <row r="144" spans="1:34">
      <c r="A144" s="5" t="s">
        <v>175</v>
      </c>
      <c r="E144" s="21">
        <v>9</v>
      </c>
      <c r="F144" s="18">
        <v>11</v>
      </c>
      <c r="I144" s="21">
        <v>6.5</v>
      </c>
      <c r="J144" s="21">
        <v>27</v>
      </c>
      <c r="O144" s="21" t="s">
        <v>83</v>
      </c>
      <c r="S144" s="21">
        <v>17.3</v>
      </c>
      <c r="V144" s="21">
        <v>18.02</v>
      </c>
      <c r="Y144" s="21">
        <v>12.4</v>
      </c>
    </row>
    <row r="145" spans="1:34">
      <c r="A145" s="5" t="s">
        <v>176</v>
      </c>
      <c r="E145" s="21">
        <v>9</v>
      </c>
      <c r="F145" s="18">
        <v>11</v>
      </c>
      <c r="I145" s="21">
        <v>6.5</v>
      </c>
      <c r="J145" s="21">
        <v>27</v>
      </c>
      <c r="O145" s="21" t="s">
        <v>83</v>
      </c>
      <c r="S145" s="21">
        <v>16.3</v>
      </c>
      <c r="V145" s="21">
        <v>17.920000000000002</v>
      </c>
      <c r="Y145" s="21">
        <v>12.9</v>
      </c>
    </row>
    <row r="146" spans="1:34">
      <c r="A146" s="5" t="s">
        <v>177</v>
      </c>
      <c r="E146" s="21">
        <v>9</v>
      </c>
      <c r="F146" s="18">
        <v>11</v>
      </c>
      <c r="I146" s="21">
        <v>6.5</v>
      </c>
      <c r="J146" s="21">
        <v>27</v>
      </c>
      <c r="O146" s="21" t="s">
        <v>83</v>
      </c>
      <c r="S146" s="21">
        <v>16.399999999999999</v>
      </c>
      <c r="V146" s="21">
        <v>20.16</v>
      </c>
      <c r="Y146" s="21">
        <v>13.3</v>
      </c>
    </row>
    <row r="147" spans="1:34">
      <c r="A147" s="23" t="s">
        <v>178</v>
      </c>
      <c r="B147" s="12"/>
      <c r="C147" s="12"/>
      <c r="D147" s="12"/>
      <c r="E147" s="12">
        <v>9</v>
      </c>
      <c r="F147" s="19">
        <v>11</v>
      </c>
      <c r="G147" s="12"/>
      <c r="H147" s="12"/>
      <c r="I147" s="12">
        <v>6.5</v>
      </c>
      <c r="J147" s="12">
        <v>27</v>
      </c>
      <c r="K147" s="12"/>
      <c r="L147" s="13"/>
      <c r="M147" s="12"/>
      <c r="N147" s="12"/>
      <c r="O147" s="12" t="s">
        <v>83</v>
      </c>
      <c r="P147" s="12"/>
      <c r="Q147" s="12"/>
      <c r="R147" s="12">
        <v>11</v>
      </c>
      <c r="S147" s="12">
        <v>17.2</v>
      </c>
      <c r="T147" s="12"/>
      <c r="U147" s="12"/>
      <c r="V147" s="12">
        <v>18.850000000000001</v>
      </c>
      <c r="W147" s="13"/>
      <c r="X147" s="12"/>
      <c r="Y147" s="12">
        <v>15.4</v>
      </c>
      <c r="Z147" s="12"/>
      <c r="AA147" s="12"/>
      <c r="AB147" s="12"/>
      <c r="AC147" s="12"/>
      <c r="AD147" s="12"/>
      <c r="AE147" s="13"/>
      <c r="AF147" s="12"/>
      <c r="AG147" s="12"/>
      <c r="AH147" s="12"/>
    </row>
    <row r="148" spans="1:34">
      <c r="A148" s="5" t="s">
        <v>179</v>
      </c>
      <c r="E148" s="21">
        <v>9</v>
      </c>
      <c r="F148" s="18">
        <v>11</v>
      </c>
      <c r="I148" s="21">
        <v>7</v>
      </c>
      <c r="J148" s="21">
        <v>27</v>
      </c>
      <c r="O148" s="21" t="s">
        <v>83</v>
      </c>
      <c r="S148" s="21">
        <v>20.5</v>
      </c>
      <c r="U148" s="21">
        <v>29</v>
      </c>
      <c r="V148" s="21">
        <v>17.95</v>
      </c>
      <c r="Y148" s="21">
        <v>19.8</v>
      </c>
    </row>
    <row r="149" spans="1:34">
      <c r="A149" s="5" t="s">
        <v>180</v>
      </c>
      <c r="E149" s="21">
        <v>9</v>
      </c>
      <c r="F149" s="18">
        <v>11</v>
      </c>
      <c r="I149" s="21">
        <v>8.5</v>
      </c>
      <c r="J149" s="21">
        <v>30</v>
      </c>
      <c r="O149" s="21" t="s">
        <v>83</v>
      </c>
      <c r="S149" s="21">
        <v>25.4</v>
      </c>
      <c r="U149" s="21">
        <v>29</v>
      </c>
      <c r="V149" s="21">
        <v>18.739999999999998</v>
      </c>
      <c r="Y149" s="21">
        <v>21.67</v>
      </c>
    </row>
    <row r="150" spans="1:34">
      <c r="A150" s="5" t="s">
        <v>181</v>
      </c>
      <c r="E150" s="21">
        <v>9</v>
      </c>
      <c r="F150" s="18">
        <v>11</v>
      </c>
      <c r="I150" s="21">
        <v>8.5</v>
      </c>
      <c r="J150" s="21">
        <v>30</v>
      </c>
      <c r="O150" s="21" t="s">
        <v>83</v>
      </c>
      <c r="S150" s="21">
        <v>25.4</v>
      </c>
      <c r="U150" s="21">
        <v>29</v>
      </c>
      <c r="V150" s="21">
        <v>19.850000000000001</v>
      </c>
      <c r="Y150" s="21">
        <v>22.228999999999999</v>
      </c>
    </row>
    <row r="151" spans="1:34">
      <c r="A151" s="5" t="s">
        <v>182</v>
      </c>
      <c r="E151" s="21">
        <v>9</v>
      </c>
      <c r="F151" s="18">
        <v>11</v>
      </c>
      <c r="I151" s="21">
        <v>8.5</v>
      </c>
      <c r="J151" s="21">
        <v>30</v>
      </c>
      <c r="O151" s="21" t="s">
        <v>83</v>
      </c>
      <c r="S151" s="21">
        <v>25.5</v>
      </c>
      <c r="U151" s="21">
        <v>26.5</v>
      </c>
      <c r="V151" s="21">
        <v>19.03</v>
      </c>
      <c r="Y151" s="21">
        <v>30.9</v>
      </c>
    </row>
    <row r="152" spans="1:34">
      <c r="A152" s="5" t="s">
        <v>183</v>
      </c>
      <c r="E152" s="21">
        <v>9</v>
      </c>
      <c r="F152" s="18">
        <v>11</v>
      </c>
      <c r="I152" s="21">
        <v>8.5</v>
      </c>
      <c r="J152" s="21">
        <v>32</v>
      </c>
      <c r="O152" s="21" t="s">
        <v>83</v>
      </c>
      <c r="S152" s="21">
        <v>25.4</v>
      </c>
      <c r="U152" s="21">
        <v>25</v>
      </c>
      <c r="V152" s="21">
        <v>17.91</v>
      </c>
      <c r="Y152" s="21">
        <v>28.6</v>
      </c>
    </row>
    <row r="153" spans="1:34">
      <c r="A153" s="5" t="s">
        <v>184</v>
      </c>
      <c r="E153" s="21">
        <v>9</v>
      </c>
      <c r="F153" s="18">
        <v>11</v>
      </c>
      <c r="I153" s="21">
        <v>8.5</v>
      </c>
      <c r="J153" s="21">
        <v>32</v>
      </c>
      <c r="O153" s="21" t="s">
        <v>83</v>
      </c>
      <c r="S153" s="21">
        <v>25.4</v>
      </c>
      <c r="U153" s="21">
        <v>24</v>
      </c>
      <c r="V153" s="21">
        <v>19.5</v>
      </c>
      <c r="Y153" s="21">
        <v>24.2</v>
      </c>
    </row>
    <row r="154" spans="1:34">
      <c r="A154" s="5" t="s">
        <v>185</v>
      </c>
      <c r="E154" s="21">
        <v>9</v>
      </c>
      <c r="F154" s="18">
        <v>11</v>
      </c>
      <c r="I154" s="21">
        <v>8.5</v>
      </c>
      <c r="J154" s="21">
        <v>32</v>
      </c>
      <c r="O154" s="21" t="s">
        <v>83</v>
      </c>
      <c r="S154" s="21">
        <v>25.2</v>
      </c>
      <c r="U154" s="21">
        <v>23</v>
      </c>
      <c r="V154" s="21">
        <v>20.079999999999998</v>
      </c>
      <c r="Y154" s="21">
        <v>23.9</v>
      </c>
    </row>
    <row r="155" spans="1:34">
      <c r="A155" s="5" t="s">
        <v>186</v>
      </c>
      <c r="E155" s="21">
        <v>9</v>
      </c>
      <c r="F155" s="18">
        <v>11</v>
      </c>
      <c r="I155" s="21">
        <v>8.5</v>
      </c>
      <c r="J155" s="21">
        <v>32</v>
      </c>
      <c r="O155" s="21" t="s">
        <v>83</v>
      </c>
      <c r="S155" s="21">
        <v>23.3</v>
      </c>
      <c r="U155" s="21">
        <v>22</v>
      </c>
      <c r="V155" s="21">
        <v>22.64</v>
      </c>
      <c r="Y155" s="21">
        <v>23.8</v>
      </c>
    </row>
    <row r="156" spans="1:34">
      <c r="A156" s="5" t="s">
        <v>187</v>
      </c>
      <c r="E156" s="21">
        <v>9</v>
      </c>
      <c r="F156" s="18">
        <v>11</v>
      </c>
      <c r="I156" s="21">
        <v>14</v>
      </c>
      <c r="J156" s="21">
        <v>32</v>
      </c>
      <c r="O156" s="21" t="s">
        <v>83</v>
      </c>
      <c r="S156" s="21">
        <v>21.3</v>
      </c>
      <c r="U156" s="21">
        <v>22</v>
      </c>
      <c r="V156" s="21">
        <v>40.799999999999997</v>
      </c>
      <c r="Y156" s="21">
        <v>24.7</v>
      </c>
    </row>
    <row r="157" spans="1:34">
      <c r="A157" s="5" t="s">
        <v>188</v>
      </c>
      <c r="E157" s="21">
        <v>9</v>
      </c>
      <c r="F157" s="18">
        <v>11</v>
      </c>
      <c r="I157" s="21">
        <v>12</v>
      </c>
      <c r="J157" s="21">
        <v>32</v>
      </c>
      <c r="O157" s="21" t="s">
        <v>83</v>
      </c>
      <c r="S157" s="21">
        <v>19.7</v>
      </c>
      <c r="U157" s="21">
        <v>22</v>
      </c>
      <c r="V157" s="21">
        <v>34.86</v>
      </c>
      <c r="Y157" s="21">
        <v>26.4</v>
      </c>
    </row>
    <row r="158" spans="1:34">
      <c r="A158" s="5" t="s">
        <v>189</v>
      </c>
      <c r="E158" s="21">
        <v>9</v>
      </c>
      <c r="F158" s="18">
        <v>11</v>
      </c>
      <c r="I158" s="21">
        <v>10</v>
      </c>
      <c r="J158" s="21">
        <v>28</v>
      </c>
      <c r="O158" s="21" t="s">
        <v>83</v>
      </c>
      <c r="S158" s="21">
        <v>12.1</v>
      </c>
      <c r="U158" s="21">
        <v>22</v>
      </c>
      <c r="V158" s="21">
        <v>32.119999999999997</v>
      </c>
      <c r="Y158" s="21">
        <v>25.6</v>
      </c>
    </row>
    <row r="159" spans="1:34">
      <c r="A159" s="23" t="s">
        <v>190</v>
      </c>
      <c r="B159" s="12"/>
      <c r="C159" s="12"/>
      <c r="D159" s="12"/>
      <c r="E159" s="12">
        <v>9</v>
      </c>
      <c r="F159" s="19">
        <v>11</v>
      </c>
      <c r="G159" s="12"/>
      <c r="H159" s="12"/>
      <c r="I159" s="12">
        <v>8.5</v>
      </c>
      <c r="J159" s="12">
        <v>26</v>
      </c>
      <c r="K159" s="12"/>
      <c r="L159" s="13"/>
      <c r="M159" s="12"/>
      <c r="N159" s="12"/>
      <c r="O159" s="12" t="s">
        <v>83</v>
      </c>
      <c r="P159" s="12"/>
      <c r="Q159" s="12"/>
      <c r="R159" s="12">
        <v>11.25</v>
      </c>
      <c r="S159" s="12">
        <v>9.1999999999999993</v>
      </c>
      <c r="T159" s="12"/>
      <c r="U159" s="12">
        <v>22</v>
      </c>
      <c r="V159" s="12">
        <v>33.659999999999997</v>
      </c>
      <c r="W159" s="13"/>
      <c r="X159" s="12"/>
      <c r="Y159" s="12">
        <v>26.2</v>
      </c>
      <c r="Z159" s="12"/>
      <c r="AA159" s="12"/>
      <c r="AB159" s="12"/>
      <c r="AC159" s="12"/>
      <c r="AD159" s="12"/>
      <c r="AE159" s="13"/>
      <c r="AF159" s="12"/>
      <c r="AG159" s="12"/>
      <c r="AH159" s="12"/>
    </row>
    <row r="160" spans="1:34">
      <c r="A160" s="5" t="s">
        <v>191</v>
      </c>
      <c r="E160" s="21">
        <v>9</v>
      </c>
      <c r="F160" s="18">
        <v>11</v>
      </c>
      <c r="I160" s="21">
        <v>7.8</v>
      </c>
      <c r="J160" s="21">
        <v>26</v>
      </c>
      <c r="O160" s="21" t="s">
        <v>83</v>
      </c>
      <c r="S160" s="21">
        <v>9.8000000000000007</v>
      </c>
      <c r="U160" s="21">
        <v>22</v>
      </c>
      <c r="V160" s="21">
        <v>32.130000000000003</v>
      </c>
      <c r="Y160" s="21">
        <v>26.7</v>
      </c>
    </row>
    <row r="161" spans="1:34">
      <c r="A161" s="5" t="s">
        <v>192</v>
      </c>
      <c r="E161" s="21">
        <v>9</v>
      </c>
      <c r="F161" s="18">
        <v>11</v>
      </c>
      <c r="I161" s="21">
        <v>7.25</v>
      </c>
      <c r="J161" s="21">
        <v>24</v>
      </c>
      <c r="O161" s="21" t="s">
        <v>83</v>
      </c>
      <c r="S161" s="21">
        <v>10.199999999999999</v>
      </c>
      <c r="U161" s="21">
        <v>22</v>
      </c>
      <c r="V161" s="21">
        <v>28.76</v>
      </c>
      <c r="Y161" s="21">
        <v>27.1</v>
      </c>
    </row>
    <row r="162" spans="1:34">
      <c r="A162" s="5" t="s">
        <v>193</v>
      </c>
      <c r="E162" s="21">
        <v>9</v>
      </c>
      <c r="F162" s="18">
        <v>11</v>
      </c>
      <c r="H162" s="21">
        <v>45</v>
      </c>
      <c r="I162" s="21">
        <v>7</v>
      </c>
      <c r="J162" s="21">
        <v>20</v>
      </c>
      <c r="O162" s="21" t="s">
        <v>83</v>
      </c>
      <c r="S162" s="21">
        <v>10.3</v>
      </c>
      <c r="U162" s="21">
        <v>20.75</v>
      </c>
      <c r="V162" s="21">
        <v>23.47</v>
      </c>
      <c r="Y162" s="21">
        <v>27.8</v>
      </c>
    </row>
    <row r="163" spans="1:34">
      <c r="A163" s="5" t="s">
        <v>194</v>
      </c>
      <c r="E163" s="21">
        <v>9</v>
      </c>
      <c r="F163" s="18">
        <v>11</v>
      </c>
      <c r="H163" s="21">
        <v>34</v>
      </c>
      <c r="I163" s="21">
        <v>6.5</v>
      </c>
      <c r="J163" s="21">
        <v>19</v>
      </c>
      <c r="O163" s="21" t="s">
        <v>83</v>
      </c>
      <c r="S163" s="21">
        <v>10.199999999999999</v>
      </c>
      <c r="U163" s="21">
        <v>18.850000000000001</v>
      </c>
      <c r="V163" s="21">
        <v>20.29</v>
      </c>
      <c r="Y163" s="21">
        <v>28.756699999999999</v>
      </c>
    </row>
    <row r="164" spans="1:34">
      <c r="A164" s="5" t="s">
        <v>195</v>
      </c>
      <c r="E164" s="21">
        <v>10</v>
      </c>
      <c r="F164" s="18">
        <v>11</v>
      </c>
      <c r="H164" s="21">
        <v>32</v>
      </c>
      <c r="I164" s="21">
        <v>6</v>
      </c>
      <c r="J164" s="21">
        <v>18</v>
      </c>
      <c r="O164" s="21" t="s">
        <v>83</v>
      </c>
      <c r="S164" s="21">
        <v>10.199999999999999</v>
      </c>
      <c r="U164" s="21">
        <v>18.850000000000001</v>
      </c>
      <c r="V164" s="21">
        <v>19.89</v>
      </c>
      <c r="Y164" s="21">
        <v>24.3888</v>
      </c>
    </row>
    <row r="165" spans="1:34">
      <c r="A165" s="5" t="s">
        <v>196</v>
      </c>
      <c r="E165" s="21">
        <v>10</v>
      </c>
      <c r="F165" s="18">
        <v>11</v>
      </c>
      <c r="H165" s="21">
        <v>23.5</v>
      </c>
      <c r="I165" s="21">
        <v>5.75</v>
      </c>
      <c r="J165" s="21">
        <v>18</v>
      </c>
      <c r="O165" s="21" t="s">
        <v>83</v>
      </c>
      <c r="S165" s="21">
        <v>10.3</v>
      </c>
      <c r="U165" s="21">
        <v>18.850000000000001</v>
      </c>
      <c r="V165" s="21">
        <v>21.08</v>
      </c>
      <c r="Y165" s="21">
        <v>16.293900000000001</v>
      </c>
    </row>
    <row r="166" spans="1:34">
      <c r="A166" s="5" t="s">
        <v>197</v>
      </c>
      <c r="E166" s="21">
        <v>10</v>
      </c>
      <c r="F166" s="18">
        <v>11</v>
      </c>
      <c r="H166" s="21">
        <v>21</v>
      </c>
      <c r="I166" s="21">
        <v>5</v>
      </c>
      <c r="J166" s="21">
        <v>17</v>
      </c>
      <c r="O166" s="21" t="s">
        <v>83</v>
      </c>
      <c r="S166" s="21">
        <v>10.3</v>
      </c>
      <c r="U166" s="21">
        <v>18.850000000000001</v>
      </c>
      <c r="V166" s="21">
        <v>19.78</v>
      </c>
      <c r="Y166" s="21">
        <v>14.5137</v>
      </c>
    </row>
    <row r="167" spans="1:34">
      <c r="A167" s="5" t="s">
        <v>198</v>
      </c>
      <c r="E167" s="21">
        <v>10</v>
      </c>
      <c r="F167" s="18">
        <v>11</v>
      </c>
      <c r="H167" s="21">
        <v>19.5</v>
      </c>
      <c r="I167" s="21">
        <v>5</v>
      </c>
      <c r="J167" s="21">
        <v>16</v>
      </c>
      <c r="O167" s="21" t="s">
        <v>83</v>
      </c>
      <c r="S167" s="21">
        <v>10.3</v>
      </c>
      <c r="U167" s="21">
        <v>18.350000000000001</v>
      </c>
      <c r="V167" s="21">
        <v>20.54</v>
      </c>
      <c r="Y167" s="21">
        <v>14.5</v>
      </c>
    </row>
    <row r="168" spans="1:34">
      <c r="A168" s="5" t="s">
        <v>199</v>
      </c>
      <c r="E168" s="21">
        <v>10</v>
      </c>
      <c r="F168" s="18">
        <v>11</v>
      </c>
      <c r="H168" s="21">
        <v>19.5</v>
      </c>
      <c r="I168" s="21">
        <v>5</v>
      </c>
      <c r="J168" s="21">
        <v>16</v>
      </c>
      <c r="O168" s="21" t="s">
        <v>83</v>
      </c>
      <c r="S168" s="21">
        <v>10.3</v>
      </c>
      <c r="U168" s="21">
        <v>18.350000000000001</v>
      </c>
      <c r="V168" s="21">
        <v>19.71</v>
      </c>
      <c r="Y168" s="21">
        <v>14.607200000000001</v>
      </c>
    </row>
    <row r="169" spans="1:34">
      <c r="A169" s="5" t="s">
        <v>200</v>
      </c>
      <c r="E169" s="21">
        <v>10</v>
      </c>
      <c r="F169" s="18">
        <v>11</v>
      </c>
      <c r="H169" s="21">
        <v>19</v>
      </c>
      <c r="I169" s="21">
        <v>5</v>
      </c>
      <c r="J169" s="21">
        <v>15</v>
      </c>
      <c r="O169" s="21" t="s">
        <v>83</v>
      </c>
      <c r="S169" s="21">
        <v>15.3</v>
      </c>
      <c r="U169" s="21">
        <v>18.350000000000001</v>
      </c>
      <c r="V169" s="21">
        <v>17.87</v>
      </c>
      <c r="Y169" s="21">
        <v>13.7925</v>
      </c>
    </row>
    <row r="170" spans="1:34">
      <c r="A170" s="24" t="s">
        <v>201</v>
      </c>
      <c r="B170" s="25"/>
      <c r="C170" s="25"/>
      <c r="D170" s="25"/>
      <c r="E170" s="25">
        <v>10</v>
      </c>
      <c r="F170" s="20">
        <v>11</v>
      </c>
      <c r="G170" s="25"/>
      <c r="H170" s="25">
        <v>19</v>
      </c>
      <c r="I170" s="25">
        <v>5</v>
      </c>
      <c r="J170" s="25">
        <v>13</v>
      </c>
      <c r="K170" s="25"/>
      <c r="L170" s="26"/>
      <c r="M170" s="25"/>
      <c r="N170" s="25"/>
      <c r="O170" s="25" t="s">
        <v>83</v>
      </c>
      <c r="P170" s="25"/>
      <c r="Q170" s="25"/>
      <c r="S170" s="21">
        <v>17.8</v>
      </c>
      <c r="U170" s="21">
        <v>18.350000000000001</v>
      </c>
      <c r="V170" s="21">
        <v>16.96</v>
      </c>
      <c r="Y170" s="21">
        <v>13.360900000000001</v>
      </c>
    </row>
    <row r="171" spans="1:34">
      <c r="A171" s="23" t="s">
        <v>202</v>
      </c>
      <c r="B171" s="12"/>
      <c r="C171" s="12"/>
      <c r="D171" s="12"/>
      <c r="E171" s="12">
        <v>10</v>
      </c>
      <c r="F171" s="19">
        <v>11</v>
      </c>
      <c r="G171" s="12"/>
      <c r="H171" s="12">
        <v>19</v>
      </c>
      <c r="I171" s="12">
        <v>5</v>
      </c>
      <c r="J171" s="12">
        <v>12</v>
      </c>
      <c r="K171" s="12"/>
      <c r="L171" s="13"/>
      <c r="M171" s="12"/>
      <c r="N171" s="12"/>
      <c r="O171" s="12" t="s">
        <v>83</v>
      </c>
      <c r="P171" s="12"/>
      <c r="Q171" s="12"/>
      <c r="R171" s="12">
        <v>13.25</v>
      </c>
      <c r="S171" s="12">
        <v>21.1</v>
      </c>
      <c r="T171" s="12"/>
      <c r="U171" s="12">
        <v>18.350000000000001</v>
      </c>
      <c r="V171" s="12">
        <v>16.45</v>
      </c>
      <c r="W171" s="13"/>
      <c r="X171" s="12"/>
      <c r="Y171" s="12">
        <v>13.2</v>
      </c>
      <c r="Z171" s="12"/>
      <c r="AA171" s="12"/>
      <c r="AB171" s="12"/>
      <c r="AC171" s="12"/>
      <c r="AD171" s="12"/>
      <c r="AE171" s="13"/>
      <c r="AF171" s="12"/>
      <c r="AG171" s="12"/>
      <c r="AH171" s="12"/>
    </row>
    <row r="172" spans="1:34">
      <c r="A172" s="5" t="s">
        <v>203</v>
      </c>
      <c r="E172" s="21">
        <v>10</v>
      </c>
      <c r="F172" s="18">
        <v>11</v>
      </c>
      <c r="H172" s="21">
        <v>19</v>
      </c>
      <c r="I172" s="21">
        <v>5</v>
      </c>
      <c r="J172" s="21">
        <v>12</v>
      </c>
      <c r="O172" s="21" t="s">
        <v>83</v>
      </c>
      <c r="S172" s="21">
        <v>21.1</v>
      </c>
      <c r="U172" s="21">
        <v>18.350000000000001</v>
      </c>
      <c r="V172" s="21">
        <v>16.190000000000001</v>
      </c>
      <c r="Y172" s="21">
        <v>13.7</v>
      </c>
    </row>
    <row r="173" spans="1:34">
      <c r="A173" s="5" t="s">
        <v>204</v>
      </c>
      <c r="E173" s="21">
        <v>10</v>
      </c>
      <c r="F173" s="18">
        <v>11</v>
      </c>
      <c r="H173" s="21">
        <v>19</v>
      </c>
      <c r="I173" s="21">
        <v>5.25</v>
      </c>
      <c r="J173" s="21">
        <v>12</v>
      </c>
      <c r="O173" s="21" t="s">
        <v>83</v>
      </c>
      <c r="S173" s="21">
        <v>21.1</v>
      </c>
      <c r="U173" s="21">
        <v>17.3</v>
      </c>
      <c r="V173" s="21">
        <v>15.81</v>
      </c>
      <c r="Y173" s="21">
        <v>14.1</v>
      </c>
    </row>
    <row r="174" spans="1:34">
      <c r="A174" s="5" t="s">
        <v>205</v>
      </c>
      <c r="E174" s="21">
        <v>10</v>
      </c>
      <c r="F174" s="18">
        <v>11</v>
      </c>
      <c r="H174" s="21">
        <v>19</v>
      </c>
      <c r="I174" s="21">
        <v>5.5</v>
      </c>
      <c r="J174" s="21">
        <v>12</v>
      </c>
      <c r="O174" s="21" t="s">
        <v>83</v>
      </c>
      <c r="S174" s="21">
        <v>23.3</v>
      </c>
      <c r="U174" s="21">
        <v>17</v>
      </c>
      <c r="V174" s="21">
        <v>13.66</v>
      </c>
      <c r="Y174" s="21">
        <v>14</v>
      </c>
    </row>
    <row r="175" spans="1:34">
      <c r="A175" s="5" t="s">
        <v>206</v>
      </c>
      <c r="E175" s="21">
        <v>10</v>
      </c>
      <c r="F175" s="18">
        <v>11</v>
      </c>
      <c r="H175" s="21">
        <v>18.5</v>
      </c>
      <c r="I175" s="21">
        <v>5.5</v>
      </c>
      <c r="J175" s="21">
        <v>12</v>
      </c>
      <c r="O175" s="21" t="s">
        <v>83</v>
      </c>
      <c r="S175" s="21">
        <v>23.3</v>
      </c>
      <c r="U175" s="21">
        <v>17</v>
      </c>
      <c r="V175" s="21">
        <v>12.93</v>
      </c>
      <c r="Y175" s="21">
        <v>13.9</v>
      </c>
    </row>
    <row r="176" spans="1:34">
      <c r="A176" s="5" t="s">
        <v>207</v>
      </c>
      <c r="E176" s="21">
        <v>10</v>
      </c>
      <c r="F176" s="18">
        <v>11</v>
      </c>
      <c r="H176" s="21">
        <v>18.5</v>
      </c>
      <c r="I176" s="21">
        <v>5.5</v>
      </c>
      <c r="J176" s="21">
        <v>12</v>
      </c>
      <c r="O176" s="21" t="s">
        <v>83</v>
      </c>
      <c r="S176" s="21">
        <v>23.3</v>
      </c>
      <c r="U176" s="21">
        <v>17</v>
      </c>
      <c r="V176" s="21">
        <v>14.18</v>
      </c>
      <c r="Y176" s="21">
        <v>12</v>
      </c>
    </row>
    <row r="177" spans="1:34">
      <c r="A177" s="5" t="s">
        <v>208</v>
      </c>
      <c r="E177" s="21">
        <v>10</v>
      </c>
      <c r="F177" s="18">
        <v>11</v>
      </c>
      <c r="H177" s="21">
        <v>18.5</v>
      </c>
      <c r="I177" s="21">
        <v>5.5</v>
      </c>
      <c r="J177" s="21">
        <v>12</v>
      </c>
      <c r="O177" s="21" t="s">
        <v>83</v>
      </c>
      <c r="S177" s="21">
        <v>23.3</v>
      </c>
      <c r="U177" s="21">
        <v>16.75</v>
      </c>
      <c r="V177" s="21">
        <v>15.65</v>
      </c>
      <c r="Y177" s="21">
        <v>9.9</v>
      </c>
    </row>
    <row r="178" spans="1:34">
      <c r="A178" s="5" t="s">
        <v>209</v>
      </c>
      <c r="E178" s="21">
        <v>10</v>
      </c>
      <c r="F178" s="18">
        <v>11</v>
      </c>
      <c r="H178" s="21">
        <v>17.5</v>
      </c>
      <c r="I178" s="21">
        <v>5.5</v>
      </c>
      <c r="J178" s="21">
        <v>12</v>
      </c>
      <c r="O178" s="21" t="s">
        <v>83</v>
      </c>
      <c r="S178" s="21">
        <v>23.3</v>
      </c>
      <c r="U178" s="21">
        <v>16.45</v>
      </c>
      <c r="V178" s="21">
        <v>13.73</v>
      </c>
      <c r="Y178" s="21">
        <v>9.5</v>
      </c>
    </row>
    <row r="179" spans="1:34">
      <c r="A179" s="5" t="s">
        <v>210</v>
      </c>
      <c r="E179" s="21">
        <v>10</v>
      </c>
      <c r="F179" s="18">
        <v>11</v>
      </c>
      <c r="H179" s="21">
        <v>16.5</v>
      </c>
      <c r="I179" s="21">
        <v>5.5</v>
      </c>
      <c r="J179" s="21">
        <v>12</v>
      </c>
      <c r="O179" s="21" t="s">
        <v>83</v>
      </c>
      <c r="S179" s="21">
        <v>26.7</v>
      </c>
      <c r="U179" s="21">
        <v>16.45</v>
      </c>
      <c r="V179" s="21">
        <v>15.23</v>
      </c>
      <c r="Y179" s="21">
        <v>8.6</v>
      </c>
    </row>
    <row r="180" spans="1:34">
      <c r="A180" s="5" t="s">
        <v>211</v>
      </c>
      <c r="E180" s="21">
        <v>10</v>
      </c>
      <c r="F180" s="18">
        <v>11</v>
      </c>
      <c r="H180" s="21">
        <v>16.5</v>
      </c>
      <c r="I180" s="21">
        <v>5</v>
      </c>
      <c r="J180" s="21">
        <v>12</v>
      </c>
      <c r="O180" s="21" t="s">
        <v>83</v>
      </c>
      <c r="S180" s="21">
        <v>26.7</v>
      </c>
      <c r="U180" s="21">
        <v>16.45</v>
      </c>
      <c r="V180" s="21">
        <v>15.06</v>
      </c>
      <c r="Y180" s="21">
        <v>7.7</v>
      </c>
    </row>
    <row r="181" spans="1:34">
      <c r="A181" s="5" t="s">
        <v>212</v>
      </c>
      <c r="E181" s="21">
        <v>10</v>
      </c>
      <c r="F181" s="18">
        <v>11</v>
      </c>
      <c r="H181" s="21">
        <v>16.5</v>
      </c>
      <c r="I181" s="21">
        <v>5</v>
      </c>
      <c r="J181" s="21">
        <v>12</v>
      </c>
      <c r="O181" s="21" t="s">
        <v>83</v>
      </c>
      <c r="S181" s="21">
        <v>26.7</v>
      </c>
      <c r="U181" s="21">
        <v>16.45</v>
      </c>
      <c r="V181" s="21">
        <v>15.88</v>
      </c>
      <c r="Y181" s="21">
        <v>7.7</v>
      </c>
    </row>
    <row r="182" spans="1:34">
      <c r="A182" s="5" t="s">
        <v>213</v>
      </c>
      <c r="E182" s="21">
        <v>10</v>
      </c>
      <c r="F182" s="18">
        <v>11</v>
      </c>
      <c r="H182" s="21">
        <v>16.5</v>
      </c>
      <c r="I182" s="21">
        <v>5</v>
      </c>
      <c r="J182" s="21">
        <v>12</v>
      </c>
      <c r="O182" s="21" t="s">
        <v>83</v>
      </c>
      <c r="S182" s="21">
        <v>26.7</v>
      </c>
      <c r="U182" s="21">
        <v>16.45</v>
      </c>
      <c r="V182" s="21">
        <v>17.559999999999999</v>
      </c>
      <c r="Y182" s="21">
        <v>6.9</v>
      </c>
    </row>
    <row r="183" spans="1:34">
      <c r="A183" s="23" t="s">
        <v>214</v>
      </c>
      <c r="B183" s="12"/>
      <c r="C183" s="12"/>
      <c r="D183" s="12"/>
      <c r="E183" s="12">
        <v>10</v>
      </c>
      <c r="F183" s="19">
        <v>11</v>
      </c>
      <c r="G183" s="12"/>
      <c r="H183" s="12">
        <v>16.5</v>
      </c>
      <c r="I183" s="12">
        <v>5</v>
      </c>
      <c r="J183" s="12">
        <v>12</v>
      </c>
      <c r="K183" s="12"/>
      <c r="L183" s="13"/>
      <c r="M183" s="12"/>
      <c r="N183" s="12"/>
      <c r="O183" s="12" t="s">
        <v>83</v>
      </c>
      <c r="P183" s="12"/>
      <c r="Q183" s="12"/>
      <c r="R183" s="12">
        <v>11.75</v>
      </c>
      <c r="S183" s="12">
        <v>26.7</v>
      </c>
      <c r="T183" s="12"/>
      <c r="U183" s="12">
        <v>16.45</v>
      </c>
      <c r="V183" s="12">
        <v>17.05</v>
      </c>
      <c r="W183" s="13"/>
      <c r="X183" s="12"/>
      <c r="Y183" s="12">
        <v>5.9</v>
      </c>
      <c r="Z183" s="12"/>
      <c r="AA183" s="12"/>
      <c r="AB183" s="12"/>
      <c r="AC183" s="12"/>
      <c r="AD183" s="12"/>
      <c r="AE183" s="13"/>
      <c r="AF183" s="12"/>
      <c r="AG183" s="12"/>
      <c r="AH183" s="12"/>
    </row>
    <row r="184" spans="1:34">
      <c r="A184" s="5" t="s">
        <v>215</v>
      </c>
      <c r="E184" s="21">
        <v>10</v>
      </c>
      <c r="F184" s="18">
        <v>11</v>
      </c>
      <c r="H184" s="21">
        <v>16.5</v>
      </c>
      <c r="I184" s="21">
        <v>4.75</v>
      </c>
      <c r="J184" s="21">
        <v>12</v>
      </c>
      <c r="O184" s="21">
        <v>4.7300000000000004</v>
      </c>
      <c r="R184" s="21">
        <v>11.5</v>
      </c>
      <c r="S184" s="21">
        <v>26.7</v>
      </c>
      <c r="U184" s="21">
        <v>16.45</v>
      </c>
      <c r="V184" s="21">
        <v>17.89</v>
      </c>
      <c r="Y184" s="21">
        <v>11.6</v>
      </c>
    </row>
    <row r="185" spans="1:34">
      <c r="A185" s="5" t="s">
        <v>216</v>
      </c>
      <c r="B185" s="21">
        <v>8</v>
      </c>
      <c r="E185" s="21">
        <v>10</v>
      </c>
      <c r="F185" s="18">
        <v>11</v>
      </c>
      <c r="H185" s="21">
        <v>15.25</v>
      </c>
      <c r="I185" s="21">
        <v>4.5</v>
      </c>
      <c r="J185" s="21">
        <v>12</v>
      </c>
      <c r="M185" s="21">
        <v>8</v>
      </c>
      <c r="O185" s="21">
        <v>4.91</v>
      </c>
      <c r="P185" s="21">
        <v>8</v>
      </c>
      <c r="R185" s="21">
        <v>11.5</v>
      </c>
      <c r="S185" s="21">
        <v>26.7</v>
      </c>
      <c r="U185" s="21">
        <v>15.5</v>
      </c>
      <c r="V185" s="21">
        <v>17.34</v>
      </c>
      <c r="Y185" s="21">
        <v>11.5</v>
      </c>
      <c r="Z185" s="21">
        <v>8.5</v>
      </c>
      <c r="AB185" s="21">
        <v>8</v>
      </c>
      <c r="AC185" s="21">
        <v>8</v>
      </c>
      <c r="AD185" s="21">
        <v>8</v>
      </c>
    </row>
    <row r="186" spans="1:34">
      <c r="A186" s="5" t="s">
        <v>217</v>
      </c>
      <c r="B186" s="21">
        <v>8</v>
      </c>
      <c r="E186" s="21">
        <v>10</v>
      </c>
      <c r="F186" s="18">
        <v>11</v>
      </c>
      <c r="H186" s="21">
        <v>15.25</v>
      </c>
      <c r="I186" s="21">
        <v>4</v>
      </c>
      <c r="J186" s="21">
        <v>11.5</v>
      </c>
      <c r="M186" s="21">
        <v>8</v>
      </c>
      <c r="O186" s="21">
        <v>5.47</v>
      </c>
      <c r="P186" s="21">
        <v>8</v>
      </c>
      <c r="R186" s="21">
        <v>12</v>
      </c>
      <c r="S186" s="21">
        <v>26.7</v>
      </c>
      <c r="U186" s="21">
        <v>15.5</v>
      </c>
      <c r="V186" s="21">
        <v>15.8</v>
      </c>
      <c r="Y186" s="21">
        <v>15.6</v>
      </c>
      <c r="Z186" s="21">
        <v>7.75</v>
      </c>
      <c r="AB186" s="21">
        <v>8</v>
      </c>
      <c r="AC186" s="21">
        <v>8</v>
      </c>
      <c r="AD186" s="21">
        <v>8</v>
      </c>
    </row>
    <row r="187" spans="1:34">
      <c r="A187" s="5" t="s">
        <v>218</v>
      </c>
      <c r="B187" s="21">
        <v>8</v>
      </c>
      <c r="E187" s="21">
        <v>9.5</v>
      </c>
      <c r="F187" s="18">
        <v>11</v>
      </c>
      <c r="H187" s="21">
        <v>15.75</v>
      </c>
      <c r="I187" s="21">
        <v>3.75</v>
      </c>
      <c r="J187" s="21">
        <v>11.5</v>
      </c>
      <c r="M187" s="21">
        <v>8</v>
      </c>
      <c r="O187" s="21">
        <v>4.93</v>
      </c>
      <c r="P187" s="21">
        <v>8</v>
      </c>
      <c r="R187" s="21">
        <v>12</v>
      </c>
      <c r="S187" s="21">
        <v>26.7</v>
      </c>
      <c r="U187" s="21">
        <v>14.75</v>
      </c>
      <c r="V187" s="21">
        <v>14.96</v>
      </c>
      <c r="Y187" s="21">
        <v>15.4</v>
      </c>
      <c r="Z187" s="21">
        <v>7.5</v>
      </c>
      <c r="AB187" s="21">
        <v>8</v>
      </c>
      <c r="AC187" s="21">
        <v>8</v>
      </c>
      <c r="AD187" s="21">
        <v>8</v>
      </c>
    </row>
    <row r="188" spans="1:34">
      <c r="A188" s="5" t="s">
        <v>219</v>
      </c>
      <c r="B188" s="21">
        <v>8</v>
      </c>
      <c r="E188" s="21">
        <v>9.5</v>
      </c>
      <c r="F188" s="18">
        <v>11</v>
      </c>
      <c r="H188" s="21">
        <v>16.25</v>
      </c>
      <c r="I188" s="21">
        <v>3.75</v>
      </c>
      <c r="J188" s="21">
        <v>11.5</v>
      </c>
      <c r="M188" s="21">
        <v>8</v>
      </c>
      <c r="O188" s="21">
        <v>4.42</v>
      </c>
      <c r="P188" s="21">
        <v>8</v>
      </c>
      <c r="R188" s="21">
        <v>11.5</v>
      </c>
      <c r="S188" s="21">
        <v>26.7</v>
      </c>
      <c r="U188" s="21">
        <v>14.25</v>
      </c>
      <c r="V188" s="21">
        <v>11.95</v>
      </c>
      <c r="Y188" s="21">
        <v>15.6</v>
      </c>
      <c r="Z188" s="21">
        <v>7.5</v>
      </c>
      <c r="AB188" s="21">
        <v>8</v>
      </c>
      <c r="AC188" s="21">
        <v>8</v>
      </c>
      <c r="AD188" s="21">
        <v>8</v>
      </c>
    </row>
    <row r="189" spans="1:34">
      <c r="A189" s="5" t="s">
        <v>220</v>
      </c>
      <c r="B189" s="21">
        <v>8</v>
      </c>
      <c r="E189" s="21">
        <v>9.5</v>
      </c>
      <c r="F189" s="18">
        <v>11</v>
      </c>
      <c r="H189" s="21">
        <v>16.75</v>
      </c>
      <c r="I189" s="21">
        <v>3.5</v>
      </c>
      <c r="J189" s="21">
        <v>11.5</v>
      </c>
      <c r="M189" s="21">
        <v>8</v>
      </c>
      <c r="O189" s="21">
        <v>3.67</v>
      </c>
      <c r="P189" s="21">
        <v>8</v>
      </c>
      <c r="R189" s="21">
        <v>11</v>
      </c>
      <c r="S189" s="21">
        <v>26.7</v>
      </c>
      <c r="U189" s="21">
        <v>14.25</v>
      </c>
      <c r="V189" s="21">
        <v>9.43</v>
      </c>
      <c r="Y189" s="21">
        <v>15.7</v>
      </c>
      <c r="Z189" s="21">
        <v>7.25</v>
      </c>
      <c r="AB189" s="21">
        <v>8</v>
      </c>
      <c r="AC189" s="21">
        <v>8</v>
      </c>
      <c r="AD189" s="21">
        <v>8</v>
      </c>
    </row>
    <row r="190" spans="1:34">
      <c r="A190" s="5" t="s">
        <v>221</v>
      </c>
      <c r="B190" s="21">
        <v>8</v>
      </c>
      <c r="E190" s="21">
        <v>8.5</v>
      </c>
      <c r="F190" s="18">
        <v>11</v>
      </c>
      <c r="H190" s="21">
        <v>18.25</v>
      </c>
      <c r="I190" s="21">
        <v>3.5</v>
      </c>
      <c r="J190" s="21">
        <v>11</v>
      </c>
      <c r="M190" s="21">
        <v>8</v>
      </c>
      <c r="O190" s="21">
        <v>3.54</v>
      </c>
      <c r="P190" s="21">
        <v>8</v>
      </c>
      <c r="R190" s="21">
        <v>10.25</v>
      </c>
      <c r="S190" s="21">
        <v>26.7</v>
      </c>
      <c r="U190" s="21">
        <v>14.25</v>
      </c>
      <c r="V190" s="21">
        <v>9.39</v>
      </c>
      <c r="Y190" s="21">
        <v>27.8</v>
      </c>
      <c r="Z190" s="21">
        <v>7</v>
      </c>
      <c r="AB190" s="21">
        <v>8</v>
      </c>
      <c r="AC190" s="21">
        <v>8</v>
      </c>
      <c r="AD190" s="21">
        <v>8</v>
      </c>
    </row>
    <row r="191" spans="1:34">
      <c r="A191" s="5" t="s">
        <v>222</v>
      </c>
      <c r="B191" s="21">
        <v>8</v>
      </c>
      <c r="E191" s="21">
        <v>8.5</v>
      </c>
      <c r="F191" s="18">
        <v>11</v>
      </c>
      <c r="H191" s="21">
        <v>19</v>
      </c>
      <c r="I191" s="21">
        <v>6.5</v>
      </c>
      <c r="J191" s="21">
        <v>10</v>
      </c>
      <c r="M191" s="21">
        <v>8</v>
      </c>
      <c r="O191" s="21">
        <v>3.37</v>
      </c>
      <c r="P191" s="21">
        <v>8</v>
      </c>
      <c r="R191" s="21">
        <v>9.25</v>
      </c>
      <c r="S191" s="21">
        <v>26.7</v>
      </c>
      <c r="U191" s="21">
        <v>14.25</v>
      </c>
      <c r="V191" s="21">
        <v>7.51</v>
      </c>
      <c r="Y191" s="21">
        <v>26.8</v>
      </c>
      <c r="Z191" s="21">
        <v>6.5</v>
      </c>
      <c r="AB191" s="21">
        <v>8</v>
      </c>
      <c r="AC191" s="21">
        <v>8</v>
      </c>
      <c r="AD191" s="21">
        <v>8</v>
      </c>
    </row>
    <row r="192" spans="1:34">
      <c r="A192" s="5" t="s">
        <v>223</v>
      </c>
      <c r="B192" s="21">
        <v>8</v>
      </c>
      <c r="E192" s="21">
        <v>8.5</v>
      </c>
      <c r="F192" s="18">
        <v>11</v>
      </c>
      <c r="H192" s="21">
        <v>19</v>
      </c>
      <c r="I192" s="21">
        <v>6.5</v>
      </c>
      <c r="J192" s="21">
        <v>9.5</v>
      </c>
      <c r="M192" s="21">
        <v>8</v>
      </c>
      <c r="O192" s="21">
        <v>2.77</v>
      </c>
      <c r="P192" s="21">
        <v>8</v>
      </c>
      <c r="R192" s="21">
        <v>9</v>
      </c>
      <c r="S192" s="21">
        <v>26.7</v>
      </c>
      <c r="U192" s="21">
        <v>14.25</v>
      </c>
      <c r="V192" s="21">
        <v>9.32</v>
      </c>
      <c r="Y192" s="21">
        <v>25.9</v>
      </c>
      <c r="Z192" s="21">
        <v>6.25</v>
      </c>
      <c r="AB192" s="21">
        <v>8</v>
      </c>
      <c r="AC192" s="21">
        <v>8</v>
      </c>
      <c r="AD192" s="21">
        <v>8</v>
      </c>
    </row>
    <row r="193" spans="1:34">
      <c r="A193" s="5" t="s">
        <v>224</v>
      </c>
      <c r="B193" s="21">
        <v>8</v>
      </c>
      <c r="E193" s="21">
        <v>8.5</v>
      </c>
      <c r="F193" s="18">
        <v>11</v>
      </c>
      <c r="H193" s="21">
        <v>19</v>
      </c>
      <c r="I193" s="21">
        <v>6.5</v>
      </c>
      <c r="J193" s="21">
        <v>9.25</v>
      </c>
      <c r="M193" s="21">
        <v>8</v>
      </c>
      <c r="O193" s="21">
        <v>2.29</v>
      </c>
      <c r="P193" s="21">
        <v>8</v>
      </c>
      <c r="R193" s="21">
        <v>8.75</v>
      </c>
      <c r="S193" s="21">
        <v>20.100000000000001</v>
      </c>
      <c r="U193" s="21">
        <v>14.25</v>
      </c>
      <c r="V193" s="21">
        <v>8.36</v>
      </c>
      <c r="Y193" s="21">
        <v>27.3</v>
      </c>
      <c r="Z193" s="21">
        <v>5.25</v>
      </c>
      <c r="AB193" s="21">
        <v>8</v>
      </c>
      <c r="AC193" s="21">
        <v>8</v>
      </c>
      <c r="AD193" s="21">
        <v>8</v>
      </c>
    </row>
    <row r="194" spans="1:34">
      <c r="A194" s="5" t="s">
        <v>225</v>
      </c>
      <c r="B194" s="21">
        <v>7</v>
      </c>
      <c r="E194" s="21">
        <v>8.5</v>
      </c>
      <c r="F194" s="18">
        <v>11</v>
      </c>
      <c r="H194" s="21">
        <v>19</v>
      </c>
      <c r="I194" s="21">
        <v>6.5</v>
      </c>
      <c r="J194" s="21">
        <v>8.75</v>
      </c>
      <c r="M194" s="21">
        <v>7</v>
      </c>
      <c r="O194" s="21">
        <v>2.68</v>
      </c>
      <c r="P194" s="21">
        <v>7</v>
      </c>
      <c r="R194" s="21">
        <v>9</v>
      </c>
      <c r="S194" s="21">
        <v>19.899999999999999</v>
      </c>
      <c r="U194" s="21">
        <v>14.25</v>
      </c>
      <c r="V194" s="21">
        <v>7.43</v>
      </c>
      <c r="Y194" s="21">
        <v>24.7</v>
      </c>
      <c r="Z194" s="21">
        <v>4.25</v>
      </c>
      <c r="AB194" s="21">
        <v>7</v>
      </c>
      <c r="AC194" s="21">
        <v>7</v>
      </c>
      <c r="AD194" s="21">
        <v>7</v>
      </c>
    </row>
    <row r="195" spans="1:34">
      <c r="A195" s="23" t="s">
        <v>226</v>
      </c>
      <c r="B195" s="12">
        <v>7</v>
      </c>
      <c r="C195" s="12"/>
      <c r="D195" s="12"/>
      <c r="E195" s="12">
        <v>7.5</v>
      </c>
      <c r="F195" s="19">
        <v>11</v>
      </c>
      <c r="G195" s="12"/>
      <c r="H195" s="12">
        <v>19</v>
      </c>
      <c r="I195" s="12">
        <v>6.5</v>
      </c>
      <c r="J195" s="12">
        <v>8.5</v>
      </c>
      <c r="K195" s="12"/>
      <c r="L195" s="13"/>
      <c r="M195" s="12">
        <v>7</v>
      </c>
      <c r="N195" s="12"/>
      <c r="O195" s="12">
        <v>2.81</v>
      </c>
      <c r="P195" s="12">
        <v>7</v>
      </c>
      <c r="Q195" s="12"/>
      <c r="R195" s="12">
        <v>8.75</v>
      </c>
      <c r="S195" s="12">
        <v>18.899999999999999</v>
      </c>
      <c r="T195" s="12"/>
      <c r="U195" s="12">
        <v>14.25</v>
      </c>
      <c r="V195" s="12">
        <v>6.29</v>
      </c>
      <c r="W195" s="13"/>
      <c r="X195" s="12"/>
      <c r="Y195" s="12">
        <v>21</v>
      </c>
      <c r="Z195" s="12">
        <v>3.5</v>
      </c>
      <c r="AA195" s="12"/>
      <c r="AB195" s="12">
        <v>7</v>
      </c>
      <c r="AC195" s="12">
        <v>7</v>
      </c>
      <c r="AD195" s="12">
        <v>7</v>
      </c>
      <c r="AE195" s="13"/>
      <c r="AF195" s="12"/>
      <c r="AG195" s="12"/>
      <c r="AH195" s="12"/>
    </row>
    <row r="196" spans="1:34">
      <c r="A196" s="5" t="s">
        <v>227</v>
      </c>
      <c r="B196" s="21">
        <v>7</v>
      </c>
      <c r="D196" s="21">
        <v>5.75</v>
      </c>
      <c r="E196" s="21">
        <v>7.5</v>
      </c>
      <c r="F196" s="18">
        <v>11</v>
      </c>
      <c r="H196" s="21">
        <v>19</v>
      </c>
      <c r="I196" s="21">
        <v>6</v>
      </c>
      <c r="J196" s="21">
        <v>8</v>
      </c>
      <c r="M196" s="21">
        <v>7</v>
      </c>
      <c r="O196" s="21">
        <v>1.81</v>
      </c>
      <c r="P196" s="21">
        <v>7</v>
      </c>
      <c r="R196" s="21">
        <v>8.5</v>
      </c>
      <c r="S196" s="21">
        <v>16.899999999999999</v>
      </c>
      <c r="U196" s="21">
        <v>13.75</v>
      </c>
      <c r="V196" s="21">
        <v>6.97</v>
      </c>
      <c r="Y196" s="21">
        <v>25.14</v>
      </c>
      <c r="Z196" s="21">
        <v>3</v>
      </c>
      <c r="AB196" s="21">
        <v>7</v>
      </c>
      <c r="AC196" s="21">
        <v>7</v>
      </c>
      <c r="AD196" s="21">
        <v>7</v>
      </c>
    </row>
    <row r="197" spans="1:34">
      <c r="A197" s="5" t="s">
        <v>228</v>
      </c>
      <c r="B197" s="21">
        <v>7</v>
      </c>
      <c r="D197" s="21">
        <v>5.75</v>
      </c>
      <c r="E197" s="21">
        <v>7.5</v>
      </c>
      <c r="F197" s="18">
        <v>11</v>
      </c>
      <c r="H197" s="21">
        <v>19</v>
      </c>
      <c r="I197" s="21">
        <v>5.5</v>
      </c>
      <c r="J197" s="21">
        <v>8</v>
      </c>
      <c r="M197" s="21">
        <v>7</v>
      </c>
      <c r="O197" s="21">
        <v>1.52</v>
      </c>
      <c r="P197" s="21">
        <v>7</v>
      </c>
      <c r="R197" s="21">
        <v>8.25</v>
      </c>
      <c r="S197" s="21">
        <v>15</v>
      </c>
      <c r="U197" s="21">
        <v>13.25</v>
      </c>
      <c r="V197" s="21">
        <v>7.91</v>
      </c>
      <c r="Y197" s="21">
        <v>25.99</v>
      </c>
      <c r="Z197" s="21">
        <v>2.7</v>
      </c>
      <c r="AB197" s="21">
        <v>7</v>
      </c>
      <c r="AC197" s="21">
        <v>7</v>
      </c>
      <c r="AD197" s="21">
        <v>7</v>
      </c>
    </row>
    <row r="198" spans="1:34">
      <c r="A198" s="5" t="s">
        <v>229</v>
      </c>
      <c r="B198" s="21">
        <v>7</v>
      </c>
      <c r="D198" s="21">
        <v>5.75</v>
      </c>
      <c r="E198" s="21">
        <v>7.5</v>
      </c>
      <c r="F198" s="18">
        <v>11</v>
      </c>
      <c r="H198" s="21">
        <v>18.75</v>
      </c>
      <c r="I198" s="21">
        <v>4.75</v>
      </c>
      <c r="J198" s="21">
        <v>7.25</v>
      </c>
      <c r="M198" s="21">
        <v>7</v>
      </c>
      <c r="O198" s="21">
        <v>1.37</v>
      </c>
      <c r="P198" s="21">
        <v>7</v>
      </c>
      <c r="R198" s="21">
        <v>8.25</v>
      </c>
      <c r="S198" s="21">
        <v>12</v>
      </c>
      <c r="U198" s="21">
        <v>13.25</v>
      </c>
      <c r="V198" s="21">
        <v>7.23</v>
      </c>
      <c r="Y198" s="21">
        <v>26.08</v>
      </c>
      <c r="Z198" s="21">
        <v>2.4500000000000002</v>
      </c>
      <c r="AB198" s="21">
        <v>7</v>
      </c>
      <c r="AC198" s="21">
        <v>7</v>
      </c>
      <c r="AD198" s="21">
        <v>7</v>
      </c>
    </row>
    <row r="199" spans="1:34">
      <c r="A199" s="5" t="s">
        <v>230</v>
      </c>
      <c r="B199" s="21">
        <v>7</v>
      </c>
      <c r="D199" s="21">
        <v>5.75</v>
      </c>
      <c r="E199" s="21">
        <v>7.5</v>
      </c>
      <c r="F199" s="18">
        <v>11</v>
      </c>
      <c r="H199" s="21">
        <v>18.5</v>
      </c>
      <c r="I199" s="21">
        <v>4</v>
      </c>
      <c r="J199" s="21">
        <v>6.25</v>
      </c>
      <c r="M199" s="21">
        <v>7</v>
      </c>
      <c r="O199" s="21">
        <v>2.1800000000000002</v>
      </c>
      <c r="P199" s="21">
        <v>7</v>
      </c>
      <c r="R199" s="21">
        <v>8</v>
      </c>
      <c r="S199" s="21">
        <v>10.1</v>
      </c>
      <c r="U199" s="21">
        <v>13.25</v>
      </c>
      <c r="V199" s="21">
        <v>5.76</v>
      </c>
      <c r="Y199" s="21">
        <v>22.54</v>
      </c>
      <c r="Z199" s="21">
        <v>2.4500000000000002</v>
      </c>
      <c r="AB199" s="21">
        <v>7</v>
      </c>
      <c r="AC199" s="21">
        <v>7</v>
      </c>
      <c r="AD199" s="21">
        <v>7</v>
      </c>
    </row>
    <row r="200" spans="1:34">
      <c r="A200" s="5" t="s">
        <v>231</v>
      </c>
      <c r="B200" s="21">
        <v>7</v>
      </c>
      <c r="D200" s="21">
        <v>5.75</v>
      </c>
      <c r="E200" s="21">
        <v>7.5</v>
      </c>
      <c r="F200" s="18">
        <v>11</v>
      </c>
      <c r="H200" s="21">
        <v>18.5</v>
      </c>
      <c r="I200" s="21">
        <v>4</v>
      </c>
      <c r="J200" s="21">
        <v>5.75</v>
      </c>
      <c r="M200" s="21">
        <v>7</v>
      </c>
      <c r="O200" s="21">
        <v>2.71</v>
      </c>
      <c r="P200" s="21">
        <v>7</v>
      </c>
      <c r="R200" s="21">
        <v>7.75</v>
      </c>
      <c r="S200" s="21">
        <v>9.9</v>
      </c>
      <c r="U200" s="21">
        <v>13.25</v>
      </c>
      <c r="V200" s="21">
        <v>6.61</v>
      </c>
      <c r="Y200" s="21">
        <v>19.66</v>
      </c>
      <c r="Z200" s="21">
        <v>2.4500000000000002</v>
      </c>
      <c r="AB200" s="21">
        <v>7</v>
      </c>
      <c r="AC200" s="21">
        <v>7</v>
      </c>
      <c r="AD200" s="21">
        <v>7</v>
      </c>
      <c r="AF200" s="21">
        <v>5.75</v>
      </c>
    </row>
    <row r="201" spans="1:34">
      <c r="A201" s="5" t="s">
        <v>232</v>
      </c>
      <c r="B201" s="21">
        <v>7</v>
      </c>
      <c r="D201" s="21">
        <v>5.75</v>
      </c>
      <c r="E201" s="21">
        <v>7.5</v>
      </c>
      <c r="F201" s="18">
        <v>11</v>
      </c>
      <c r="H201" s="21">
        <v>18.5</v>
      </c>
      <c r="I201" s="21">
        <v>3.25</v>
      </c>
      <c r="J201" s="21">
        <v>5.25</v>
      </c>
      <c r="M201" s="21">
        <v>7</v>
      </c>
      <c r="O201" s="21">
        <v>2.36</v>
      </c>
      <c r="P201" s="21">
        <v>7</v>
      </c>
      <c r="R201" s="21">
        <v>7.75</v>
      </c>
      <c r="S201" s="21">
        <v>10</v>
      </c>
      <c r="U201" s="21">
        <v>12.95</v>
      </c>
      <c r="V201" s="21">
        <v>7.3</v>
      </c>
      <c r="Y201" s="21">
        <v>19.829999999999998</v>
      </c>
      <c r="Z201" s="21">
        <v>2.4500000000000002</v>
      </c>
      <c r="AB201" s="21">
        <v>7</v>
      </c>
      <c r="AC201" s="21">
        <v>7</v>
      </c>
      <c r="AD201" s="21">
        <v>7</v>
      </c>
      <c r="AF201" s="21">
        <v>5.75</v>
      </c>
    </row>
    <row r="202" spans="1:34">
      <c r="A202" s="5" t="s">
        <v>233</v>
      </c>
      <c r="B202" s="21">
        <v>7</v>
      </c>
      <c r="D202" s="21">
        <v>5.75</v>
      </c>
      <c r="E202" s="21">
        <v>7.5</v>
      </c>
      <c r="F202" s="18">
        <v>11</v>
      </c>
      <c r="H202" s="21">
        <v>18.5</v>
      </c>
      <c r="I202" s="21">
        <v>3</v>
      </c>
      <c r="J202" s="21">
        <v>5.25</v>
      </c>
      <c r="M202" s="21">
        <v>7</v>
      </c>
      <c r="O202" s="21">
        <v>2.61</v>
      </c>
      <c r="P202" s="21">
        <v>7</v>
      </c>
      <c r="R202" s="21">
        <v>6.75</v>
      </c>
      <c r="S202" s="21">
        <v>10.1</v>
      </c>
      <c r="U202" s="21">
        <v>12.95</v>
      </c>
      <c r="V202" s="21">
        <v>7.38</v>
      </c>
      <c r="Y202" s="21">
        <v>27.72</v>
      </c>
      <c r="Z202" s="21">
        <v>2.5750000000000002</v>
      </c>
      <c r="AB202" s="21">
        <v>7</v>
      </c>
      <c r="AC202" s="21">
        <v>7</v>
      </c>
      <c r="AD202" s="21">
        <v>7</v>
      </c>
      <c r="AF202" s="21">
        <v>5.75</v>
      </c>
    </row>
    <row r="203" spans="1:34">
      <c r="A203" s="5" t="s">
        <v>234</v>
      </c>
      <c r="B203" s="21">
        <v>7</v>
      </c>
      <c r="D203" s="21">
        <v>5.75</v>
      </c>
      <c r="E203" s="21">
        <v>7.5</v>
      </c>
      <c r="F203" s="18">
        <v>11</v>
      </c>
      <c r="H203" s="21">
        <v>18</v>
      </c>
      <c r="I203" s="21">
        <v>3</v>
      </c>
      <c r="J203" s="21">
        <v>5.25</v>
      </c>
      <c r="M203" s="21">
        <v>7</v>
      </c>
      <c r="O203" s="21">
        <v>2.76</v>
      </c>
      <c r="P203" s="21">
        <v>7</v>
      </c>
      <c r="R203" s="21">
        <v>6.75</v>
      </c>
      <c r="S203" s="21">
        <v>10.199999999999999</v>
      </c>
      <c r="U203" s="21">
        <v>12.95</v>
      </c>
      <c r="V203" s="21">
        <v>6.68</v>
      </c>
      <c r="Y203" s="21">
        <v>33.74</v>
      </c>
      <c r="Z203" s="21">
        <v>2.5750000000000002</v>
      </c>
      <c r="AB203" s="21">
        <v>7</v>
      </c>
      <c r="AC203" s="21">
        <v>7</v>
      </c>
      <c r="AD203" s="21">
        <v>7</v>
      </c>
      <c r="AF203" s="21">
        <v>5.25</v>
      </c>
    </row>
    <row r="204" spans="1:34">
      <c r="A204" s="5" t="s">
        <v>235</v>
      </c>
      <c r="B204" s="21">
        <v>7</v>
      </c>
      <c r="D204" s="21">
        <v>5.75</v>
      </c>
      <c r="E204" s="21">
        <v>7.5</v>
      </c>
      <c r="F204" s="18">
        <v>11</v>
      </c>
      <c r="H204" s="21">
        <v>18</v>
      </c>
      <c r="I204" s="21">
        <v>3</v>
      </c>
      <c r="J204" s="21">
        <v>5.25</v>
      </c>
      <c r="M204" s="21">
        <v>7</v>
      </c>
      <c r="O204" s="21">
        <v>2.16</v>
      </c>
      <c r="P204" s="21">
        <v>7</v>
      </c>
      <c r="R204" s="21">
        <v>6.25</v>
      </c>
      <c r="S204" s="21">
        <v>10.199999999999999</v>
      </c>
      <c r="U204" s="21">
        <v>12.95</v>
      </c>
      <c r="V204" s="21">
        <v>7.34</v>
      </c>
      <c r="Y204" s="21">
        <v>28.7</v>
      </c>
      <c r="Z204" s="21">
        <v>2.8250000000000002</v>
      </c>
      <c r="AB204" s="21">
        <v>7</v>
      </c>
      <c r="AC204" s="21">
        <v>7</v>
      </c>
      <c r="AD204" s="21">
        <v>7</v>
      </c>
      <c r="AF204" s="21">
        <v>5.25</v>
      </c>
    </row>
    <row r="205" spans="1:34">
      <c r="A205" s="5" t="s">
        <v>236</v>
      </c>
      <c r="B205" s="21">
        <v>7</v>
      </c>
      <c r="D205" s="21">
        <v>5.75</v>
      </c>
      <c r="E205" s="21">
        <v>7.5</v>
      </c>
      <c r="F205" s="18">
        <v>11</v>
      </c>
      <c r="H205" s="21">
        <v>21</v>
      </c>
      <c r="I205" s="21">
        <v>3</v>
      </c>
      <c r="J205" s="21">
        <v>5.25</v>
      </c>
      <c r="M205" s="21">
        <v>7</v>
      </c>
      <c r="O205" s="21">
        <v>2.2599999999999998</v>
      </c>
      <c r="P205" s="21">
        <v>7</v>
      </c>
      <c r="R205" s="21">
        <v>6.25</v>
      </c>
      <c r="S205" s="21">
        <v>10.26</v>
      </c>
      <c r="U205" s="21">
        <v>12.95</v>
      </c>
      <c r="V205" s="21">
        <v>7.66</v>
      </c>
      <c r="Y205" s="21">
        <v>27.5</v>
      </c>
      <c r="Z205" s="21">
        <v>3.875</v>
      </c>
      <c r="AB205" s="21">
        <v>7</v>
      </c>
      <c r="AC205" s="21">
        <v>7</v>
      </c>
      <c r="AD205" s="21">
        <v>7</v>
      </c>
      <c r="AF205" s="21">
        <v>5.25</v>
      </c>
    </row>
    <row r="206" spans="1:34">
      <c r="A206" s="24" t="s">
        <v>237</v>
      </c>
      <c r="B206" s="25">
        <v>7</v>
      </c>
      <c r="C206" s="25">
        <v>18.239999999999998</v>
      </c>
      <c r="D206" s="25">
        <v>5.75</v>
      </c>
      <c r="E206" s="25">
        <v>7.5</v>
      </c>
      <c r="F206" s="20">
        <v>11</v>
      </c>
      <c r="G206" s="25"/>
      <c r="H206" s="25">
        <v>21</v>
      </c>
      <c r="I206" s="25">
        <v>3</v>
      </c>
      <c r="J206" s="25">
        <v>5.25</v>
      </c>
      <c r="K206" s="25"/>
      <c r="L206" s="26"/>
      <c r="M206" s="25">
        <v>7</v>
      </c>
      <c r="N206" s="25"/>
      <c r="O206" s="25">
        <v>2.39</v>
      </c>
      <c r="P206" s="25">
        <v>7</v>
      </c>
      <c r="Q206" s="25"/>
      <c r="R206" s="25">
        <v>6.25</v>
      </c>
      <c r="S206" s="25">
        <v>12.71</v>
      </c>
      <c r="T206" s="25"/>
      <c r="U206" s="25">
        <v>12.95</v>
      </c>
      <c r="V206" s="25">
        <v>7.3</v>
      </c>
      <c r="W206" s="26"/>
      <c r="X206" s="25"/>
      <c r="Y206" s="25">
        <v>26.06</v>
      </c>
      <c r="Z206" s="25">
        <v>3.875</v>
      </c>
      <c r="AA206" s="25"/>
      <c r="AB206" s="25">
        <v>7</v>
      </c>
      <c r="AC206" s="25">
        <v>7</v>
      </c>
      <c r="AD206" s="25">
        <v>7</v>
      </c>
      <c r="AE206" s="26"/>
      <c r="AF206" s="25">
        <v>5.25</v>
      </c>
      <c r="AG206" s="25"/>
      <c r="AH206" s="25"/>
    </row>
    <row r="207" spans="1:34">
      <c r="A207" s="23" t="s">
        <v>238</v>
      </c>
      <c r="B207" s="12">
        <v>7</v>
      </c>
      <c r="C207" s="12">
        <v>10.82</v>
      </c>
      <c r="D207" s="12">
        <v>5.75</v>
      </c>
      <c r="E207" s="12">
        <v>7.5</v>
      </c>
      <c r="F207" s="19">
        <v>11</v>
      </c>
      <c r="G207" s="12">
        <v>12.5</v>
      </c>
      <c r="H207" s="12">
        <v>22</v>
      </c>
      <c r="I207" s="12">
        <v>3</v>
      </c>
      <c r="J207" s="12">
        <v>5.25</v>
      </c>
      <c r="K207" s="12"/>
      <c r="L207" s="13"/>
      <c r="M207" s="12">
        <v>7</v>
      </c>
      <c r="N207" s="12"/>
      <c r="O207" s="12">
        <v>2.4900000000000002</v>
      </c>
      <c r="P207" s="12">
        <v>7</v>
      </c>
      <c r="Q207" s="12"/>
      <c r="R207" s="12">
        <v>6.25</v>
      </c>
      <c r="S207" s="12">
        <v>15.59</v>
      </c>
      <c r="T207" s="12"/>
      <c r="U207" s="12">
        <v>12.95</v>
      </c>
      <c r="V207" s="12">
        <v>6.88</v>
      </c>
      <c r="W207" s="13"/>
      <c r="X207" s="12"/>
      <c r="Y207" s="12">
        <v>24.73</v>
      </c>
      <c r="Z207" s="12">
        <v>3.75</v>
      </c>
      <c r="AA207" s="12"/>
      <c r="AB207" s="12">
        <v>7</v>
      </c>
      <c r="AC207" s="12">
        <v>7</v>
      </c>
      <c r="AD207" s="12">
        <v>7</v>
      </c>
      <c r="AE207" s="13"/>
      <c r="AF207" s="12">
        <v>5.25</v>
      </c>
      <c r="AG207" s="12"/>
      <c r="AH207" s="12"/>
    </row>
    <row r="208" spans="1:34">
      <c r="A208" s="5" t="s">
        <v>239</v>
      </c>
      <c r="B208" s="21">
        <v>7</v>
      </c>
      <c r="C208" s="21">
        <v>11.932500000000001</v>
      </c>
      <c r="D208" s="21">
        <v>5.75</v>
      </c>
      <c r="E208" s="21">
        <v>7.5</v>
      </c>
      <c r="F208" s="18">
        <v>11</v>
      </c>
      <c r="G208" s="21">
        <v>11</v>
      </c>
      <c r="H208" s="21">
        <v>25</v>
      </c>
      <c r="I208" s="21">
        <v>2.75</v>
      </c>
      <c r="J208" s="21">
        <v>6.25</v>
      </c>
      <c r="M208" s="21">
        <v>7</v>
      </c>
      <c r="O208" s="21">
        <v>2.0099999999999998</v>
      </c>
      <c r="P208" s="21">
        <v>7</v>
      </c>
      <c r="R208" s="21">
        <v>6.25</v>
      </c>
      <c r="S208" s="21">
        <v>15.59</v>
      </c>
      <c r="U208" s="21">
        <v>12.95</v>
      </c>
      <c r="V208" s="21">
        <v>8.27</v>
      </c>
      <c r="Y208" s="21">
        <v>24.7</v>
      </c>
      <c r="Z208" s="21">
        <v>3.625</v>
      </c>
      <c r="AB208" s="21">
        <v>7</v>
      </c>
      <c r="AC208" s="21">
        <v>7</v>
      </c>
      <c r="AD208" s="21">
        <v>7</v>
      </c>
      <c r="AF208" s="21">
        <v>5.25</v>
      </c>
    </row>
    <row r="209" spans="1:34">
      <c r="A209" s="5" t="s">
        <v>240</v>
      </c>
      <c r="B209" s="21">
        <v>7</v>
      </c>
      <c r="C209" s="21">
        <v>21.997999999999998</v>
      </c>
      <c r="D209" s="21">
        <v>5.75</v>
      </c>
      <c r="E209" s="21">
        <v>7.5</v>
      </c>
      <c r="F209" s="18">
        <v>11</v>
      </c>
      <c r="G209" s="21">
        <v>11</v>
      </c>
      <c r="H209" s="21">
        <v>25.5</v>
      </c>
      <c r="I209" s="21">
        <v>2.75</v>
      </c>
      <c r="J209" s="21">
        <v>6.25</v>
      </c>
      <c r="M209" s="21">
        <v>7</v>
      </c>
      <c r="O209" s="21">
        <v>2.62</v>
      </c>
      <c r="P209" s="21">
        <v>7</v>
      </c>
      <c r="R209" s="21">
        <v>6.25</v>
      </c>
      <c r="S209" s="21">
        <v>21.61</v>
      </c>
      <c r="U209" s="21">
        <v>12.95</v>
      </c>
      <c r="V209" s="21">
        <v>9.0399999999999991</v>
      </c>
      <c r="Y209" s="21">
        <v>23.22</v>
      </c>
      <c r="Z209" s="21">
        <v>3.625</v>
      </c>
      <c r="AB209" s="21">
        <v>7</v>
      </c>
      <c r="AC209" s="21">
        <v>7</v>
      </c>
      <c r="AD209" s="21">
        <v>7</v>
      </c>
      <c r="AF209" s="21">
        <v>5.25</v>
      </c>
    </row>
    <row r="210" spans="1:34">
      <c r="A210" s="5" t="s">
        <v>241</v>
      </c>
      <c r="B210" s="21">
        <v>7</v>
      </c>
      <c r="C210" s="21">
        <v>22.2</v>
      </c>
      <c r="D210" s="21">
        <v>5.75</v>
      </c>
      <c r="E210" s="21">
        <v>7.5</v>
      </c>
      <c r="F210" s="18">
        <v>11</v>
      </c>
      <c r="G210" s="21">
        <v>11</v>
      </c>
      <c r="H210" s="21">
        <v>26.5</v>
      </c>
      <c r="I210" s="21">
        <v>2.75</v>
      </c>
      <c r="J210" s="21">
        <v>6.25</v>
      </c>
      <c r="M210" s="21">
        <v>7</v>
      </c>
      <c r="O210" s="21">
        <v>2.52</v>
      </c>
      <c r="P210" s="21">
        <v>7</v>
      </c>
      <c r="R210" s="21">
        <v>5.25</v>
      </c>
      <c r="S210" s="21">
        <v>27.5</v>
      </c>
      <c r="U210" s="21">
        <v>15</v>
      </c>
      <c r="V210" s="21">
        <v>9.17</v>
      </c>
      <c r="Y210" s="21">
        <v>23.2</v>
      </c>
      <c r="Z210" s="21">
        <v>3.625</v>
      </c>
      <c r="AB210" s="21">
        <v>7</v>
      </c>
      <c r="AC210" s="21">
        <v>7</v>
      </c>
      <c r="AD210" s="21">
        <v>7</v>
      </c>
      <c r="AF210" s="21">
        <v>5.25</v>
      </c>
    </row>
    <row r="211" spans="1:34">
      <c r="A211" s="5" t="s">
        <v>242</v>
      </c>
      <c r="B211" s="21">
        <v>7</v>
      </c>
      <c r="C211" s="21">
        <v>17.170000000000002</v>
      </c>
      <c r="D211" s="21">
        <v>5.75</v>
      </c>
      <c r="E211" s="21">
        <v>7.5</v>
      </c>
      <c r="F211" s="18">
        <v>11</v>
      </c>
      <c r="G211" s="21">
        <v>10</v>
      </c>
      <c r="H211" s="21">
        <v>26.5</v>
      </c>
      <c r="I211" s="21">
        <v>2.75</v>
      </c>
      <c r="J211" s="21">
        <v>7.25</v>
      </c>
      <c r="M211" s="21">
        <v>7</v>
      </c>
      <c r="O211" s="21">
        <v>2.33</v>
      </c>
      <c r="P211" s="21">
        <v>7</v>
      </c>
      <c r="R211" s="21">
        <v>5.25</v>
      </c>
      <c r="S211" s="21">
        <v>27.83</v>
      </c>
      <c r="U211" s="21">
        <v>15</v>
      </c>
      <c r="V211" s="21">
        <v>7.86</v>
      </c>
      <c r="Y211" s="21">
        <v>16.100000000000001</v>
      </c>
      <c r="Z211" s="21">
        <v>3.625</v>
      </c>
      <c r="AB211" s="21">
        <v>7</v>
      </c>
      <c r="AC211" s="21">
        <v>7</v>
      </c>
      <c r="AD211" s="21">
        <v>7</v>
      </c>
      <c r="AF211" s="21">
        <v>5.25</v>
      </c>
    </row>
    <row r="212" spans="1:34">
      <c r="A212" s="5" t="s">
        <v>243</v>
      </c>
      <c r="B212" s="21">
        <v>7</v>
      </c>
      <c r="C212" s="21">
        <v>10.85</v>
      </c>
      <c r="D212" s="21">
        <v>5.75</v>
      </c>
      <c r="E212" s="21">
        <v>7.5</v>
      </c>
      <c r="F212" s="18">
        <v>11</v>
      </c>
      <c r="G212" s="21">
        <v>9.5</v>
      </c>
      <c r="H212" s="21">
        <v>26.5</v>
      </c>
      <c r="I212" s="21">
        <v>2.75</v>
      </c>
      <c r="J212" s="21">
        <v>7.25</v>
      </c>
      <c r="M212" s="21">
        <v>7</v>
      </c>
      <c r="O212" s="21">
        <v>2.2000000000000002</v>
      </c>
      <c r="P212" s="21">
        <v>7</v>
      </c>
      <c r="R212" s="21">
        <v>5.25</v>
      </c>
      <c r="S212" s="21">
        <v>27.83</v>
      </c>
      <c r="U212" s="21">
        <v>15</v>
      </c>
      <c r="V212" s="21">
        <v>5.25</v>
      </c>
      <c r="Y212" s="21">
        <v>11.8</v>
      </c>
      <c r="Z212" s="21">
        <v>3.625</v>
      </c>
      <c r="AB212" s="21">
        <v>7</v>
      </c>
      <c r="AC212" s="21">
        <v>7</v>
      </c>
      <c r="AD212" s="21">
        <v>7</v>
      </c>
      <c r="AF212" s="21">
        <v>5.25</v>
      </c>
    </row>
    <row r="213" spans="1:34">
      <c r="A213" s="5" t="s">
        <v>244</v>
      </c>
      <c r="B213" s="21">
        <v>7</v>
      </c>
      <c r="C213" s="21">
        <v>6.83</v>
      </c>
      <c r="D213" s="21">
        <v>5.75</v>
      </c>
      <c r="E213" s="21">
        <v>7.5</v>
      </c>
      <c r="F213" s="18">
        <v>11</v>
      </c>
      <c r="G213" s="21">
        <v>8.5</v>
      </c>
      <c r="H213" s="21">
        <v>26.5</v>
      </c>
      <c r="I213" s="21">
        <v>2.75</v>
      </c>
      <c r="J213" s="21">
        <v>7.25</v>
      </c>
      <c r="M213" s="21">
        <v>7</v>
      </c>
      <c r="O213" s="21">
        <v>2.4300000000000002</v>
      </c>
      <c r="P213" s="21">
        <v>7</v>
      </c>
      <c r="R213" s="21">
        <v>5.25</v>
      </c>
      <c r="S213" s="21">
        <v>27.83</v>
      </c>
      <c r="U213" s="21">
        <v>15</v>
      </c>
      <c r="V213" s="21">
        <v>5.2</v>
      </c>
      <c r="Y213" s="21">
        <v>13.3</v>
      </c>
      <c r="Z213" s="21">
        <v>3.625</v>
      </c>
      <c r="AB213" s="21">
        <v>7</v>
      </c>
      <c r="AC213" s="21">
        <v>7</v>
      </c>
      <c r="AD213" s="21">
        <v>7</v>
      </c>
      <c r="AF213" s="21">
        <v>5.25</v>
      </c>
    </row>
    <row r="214" spans="1:34">
      <c r="A214" s="5" t="s">
        <v>245</v>
      </c>
      <c r="B214" s="21">
        <v>6.5</v>
      </c>
      <c r="C214" s="21">
        <v>4.5</v>
      </c>
      <c r="D214" s="21">
        <v>5.75</v>
      </c>
      <c r="E214" s="21">
        <v>7.5</v>
      </c>
      <c r="F214" s="18">
        <v>11</v>
      </c>
      <c r="G214" s="21">
        <v>7.5</v>
      </c>
      <c r="H214" s="21">
        <v>26</v>
      </c>
      <c r="I214" s="21">
        <v>2.75</v>
      </c>
      <c r="J214" s="21">
        <v>7.25</v>
      </c>
      <c r="M214" s="21">
        <v>6.5</v>
      </c>
      <c r="O214" s="21">
        <v>2.29</v>
      </c>
      <c r="P214" s="21">
        <v>6.5</v>
      </c>
      <c r="R214" s="21">
        <v>5.25</v>
      </c>
      <c r="S214" s="21">
        <v>27.83</v>
      </c>
      <c r="U214" s="21">
        <v>15</v>
      </c>
      <c r="V214" s="21">
        <v>4.57</v>
      </c>
      <c r="Y214" s="21">
        <v>10.8</v>
      </c>
      <c r="Z214" s="21">
        <v>3.375</v>
      </c>
      <c r="AA214" s="27"/>
      <c r="AB214" s="21">
        <v>6.5</v>
      </c>
      <c r="AC214" s="21">
        <v>6.5</v>
      </c>
      <c r="AD214" s="21">
        <v>6.5</v>
      </c>
      <c r="AF214" s="21">
        <v>5.25</v>
      </c>
    </row>
    <row r="215" spans="1:34">
      <c r="A215" s="5" t="s">
        <v>246</v>
      </c>
      <c r="B215" s="21">
        <v>6.5</v>
      </c>
      <c r="C215" s="21">
        <v>4.3</v>
      </c>
      <c r="D215" s="21">
        <v>5.75</v>
      </c>
      <c r="E215" s="21">
        <v>7.5</v>
      </c>
      <c r="F215" s="18">
        <v>11</v>
      </c>
      <c r="G215" s="21">
        <v>7.5</v>
      </c>
      <c r="H215" s="21">
        <v>24.5</v>
      </c>
      <c r="I215" s="21">
        <v>2.75</v>
      </c>
      <c r="J215" s="21">
        <v>7.25</v>
      </c>
      <c r="M215" s="21">
        <v>6.5</v>
      </c>
      <c r="O215" s="21">
        <v>2.63</v>
      </c>
      <c r="P215" s="21">
        <v>6.5</v>
      </c>
      <c r="R215" s="21">
        <v>5</v>
      </c>
      <c r="S215" s="21">
        <v>27.83</v>
      </c>
      <c r="U215" s="21">
        <v>15</v>
      </c>
      <c r="V215" s="21">
        <v>4.45</v>
      </c>
      <c r="Y215" s="21">
        <v>13</v>
      </c>
      <c r="Z215" s="21">
        <v>2.875</v>
      </c>
      <c r="AB215" s="21">
        <v>6.5</v>
      </c>
      <c r="AC215" s="21">
        <v>6.5</v>
      </c>
      <c r="AD215" s="21">
        <v>6.5</v>
      </c>
      <c r="AF215" s="21">
        <v>5.25</v>
      </c>
    </row>
    <row r="216" spans="1:34">
      <c r="A216" s="5" t="s">
        <v>247</v>
      </c>
      <c r="B216" s="21">
        <v>6.5</v>
      </c>
      <c r="C216" s="21">
        <v>3.87</v>
      </c>
      <c r="D216" s="21">
        <v>5.75</v>
      </c>
      <c r="E216" s="21">
        <v>7.5</v>
      </c>
      <c r="F216" s="18">
        <v>11</v>
      </c>
      <c r="G216" s="21">
        <v>7.5</v>
      </c>
      <c r="H216" s="21">
        <v>22</v>
      </c>
      <c r="I216" s="21">
        <v>2.75</v>
      </c>
      <c r="J216" s="21">
        <v>7.25</v>
      </c>
      <c r="M216" s="21">
        <v>6.5</v>
      </c>
      <c r="O216" s="21">
        <v>3.04</v>
      </c>
      <c r="P216" s="21">
        <v>6.5</v>
      </c>
      <c r="R216" s="21">
        <v>5.5</v>
      </c>
      <c r="S216" s="21">
        <v>27.83</v>
      </c>
      <c r="U216" s="21">
        <v>15</v>
      </c>
      <c r="V216" s="21">
        <v>4.7300000000000004</v>
      </c>
      <c r="Y216" s="21">
        <v>13.7</v>
      </c>
      <c r="Z216" s="21">
        <v>2.75</v>
      </c>
      <c r="AB216" s="21">
        <v>6.5</v>
      </c>
      <c r="AC216" s="21">
        <v>6.5</v>
      </c>
      <c r="AD216" s="21">
        <v>6.5</v>
      </c>
      <c r="AF216" s="21">
        <v>5</v>
      </c>
    </row>
    <row r="217" spans="1:34">
      <c r="A217" s="5" t="s">
        <v>248</v>
      </c>
      <c r="B217" s="21">
        <v>6.5</v>
      </c>
      <c r="C217" s="21">
        <v>2.98</v>
      </c>
      <c r="D217" s="21">
        <v>5.75</v>
      </c>
      <c r="E217" s="21">
        <v>7.5</v>
      </c>
      <c r="F217" s="18">
        <v>11</v>
      </c>
      <c r="G217" s="21">
        <v>7.5</v>
      </c>
      <c r="H217" s="21">
        <v>20</v>
      </c>
      <c r="I217" s="21">
        <v>2.75</v>
      </c>
      <c r="J217" s="21">
        <v>7.25</v>
      </c>
      <c r="M217" s="21">
        <v>6.5</v>
      </c>
      <c r="O217" s="21">
        <v>2.76</v>
      </c>
      <c r="P217" s="21">
        <v>6.5</v>
      </c>
      <c r="R217" s="21">
        <v>5.25</v>
      </c>
      <c r="S217" s="21">
        <v>27.83</v>
      </c>
      <c r="U217" s="21">
        <v>15</v>
      </c>
      <c r="V217" s="21">
        <v>5.1100000000000003</v>
      </c>
      <c r="Y217" s="21">
        <v>11.6</v>
      </c>
      <c r="Z217" s="21">
        <v>2.75</v>
      </c>
      <c r="AB217" s="21">
        <v>6.5</v>
      </c>
      <c r="AC217" s="21">
        <v>6.5</v>
      </c>
      <c r="AD217" s="21">
        <v>6.5</v>
      </c>
      <c r="AF217" s="21">
        <v>5</v>
      </c>
    </row>
    <row r="218" spans="1:34">
      <c r="A218" s="5" t="s">
        <v>249</v>
      </c>
      <c r="B218" s="21">
        <v>6.5</v>
      </c>
      <c r="C218" s="21">
        <v>2.65</v>
      </c>
      <c r="D218" s="21">
        <v>5.75</v>
      </c>
      <c r="E218" s="21">
        <v>7.5</v>
      </c>
      <c r="F218" s="18">
        <v>11</v>
      </c>
      <c r="G218" s="21">
        <v>7.5</v>
      </c>
      <c r="H218" s="21">
        <v>19</v>
      </c>
      <c r="I218" s="21">
        <v>2.75</v>
      </c>
      <c r="J218" s="21">
        <v>7.25</v>
      </c>
      <c r="M218" s="21">
        <v>6.5</v>
      </c>
      <c r="O218" s="21">
        <v>2.94</v>
      </c>
      <c r="P218" s="21">
        <v>6.5</v>
      </c>
      <c r="R218" s="21">
        <v>5.25</v>
      </c>
      <c r="S218" s="21">
        <v>27.83</v>
      </c>
      <c r="U218" s="21">
        <v>15</v>
      </c>
      <c r="V218" s="25">
        <v>4.99</v>
      </c>
      <c r="W218" s="26"/>
      <c r="X218" s="25"/>
      <c r="Y218" s="25">
        <v>12</v>
      </c>
      <c r="Z218" s="21">
        <v>2.5</v>
      </c>
      <c r="AB218" s="21">
        <v>6.5</v>
      </c>
      <c r="AC218" s="21">
        <v>6.5</v>
      </c>
      <c r="AD218" s="21">
        <v>6.5</v>
      </c>
      <c r="AF218" s="21">
        <v>5</v>
      </c>
    </row>
    <row r="219" spans="1:34">
      <c r="A219" s="23" t="s">
        <v>250</v>
      </c>
      <c r="B219" s="12">
        <v>6.5</v>
      </c>
      <c r="C219" s="12">
        <v>2.2999999999999998</v>
      </c>
      <c r="D219" s="12">
        <v>5.75</v>
      </c>
      <c r="E219" s="12">
        <v>7.5</v>
      </c>
      <c r="F219" s="19">
        <v>11</v>
      </c>
      <c r="G219" s="12">
        <v>7.5</v>
      </c>
      <c r="H219" s="12">
        <v>17.5</v>
      </c>
      <c r="I219" s="12">
        <v>2.25</v>
      </c>
      <c r="J219" s="12">
        <v>7.25</v>
      </c>
      <c r="K219" s="12"/>
      <c r="L219" s="13"/>
      <c r="M219" s="12">
        <v>6.5</v>
      </c>
      <c r="N219" s="12"/>
      <c r="O219" s="12">
        <v>3.39</v>
      </c>
      <c r="P219" s="12">
        <v>6.5</v>
      </c>
      <c r="Q219" s="12"/>
      <c r="R219" s="12">
        <v>5.5</v>
      </c>
      <c r="S219" s="12">
        <v>27.83</v>
      </c>
      <c r="T219" s="12"/>
      <c r="U219" s="12">
        <v>14.85</v>
      </c>
      <c r="V219" s="12">
        <v>6.06</v>
      </c>
      <c r="W219" s="13"/>
      <c r="X219" s="12"/>
      <c r="Y219" s="12">
        <v>12.8</v>
      </c>
      <c r="Z219" s="12">
        <v>2.5</v>
      </c>
      <c r="AA219" s="12"/>
      <c r="AB219" s="12">
        <v>6.5</v>
      </c>
      <c r="AC219" s="12">
        <v>6.5</v>
      </c>
      <c r="AD219" s="12">
        <v>6.5</v>
      </c>
      <c r="AE219" s="13"/>
      <c r="AF219" s="12">
        <v>5</v>
      </c>
      <c r="AG219" s="12"/>
      <c r="AH219" s="12"/>
    </row>
    <row r="220" spans="1:34">
      <c r="A220" s="5" t="s">
        <v>251</v>
      </c>
      <c r="B220" s="21">
        <v>6.5</v>
      </c>
      <c r="C220" s="21">
        <v>1.79</v>
      </c>
      <c r="D220" s="21">
        <v>5.75</v>
      </c>
      <c r="E220" s="21">
        <v>7.5</v>
      </c>
      <c r="F220" s="18">
        <v>11</v>
      </c>
      <c r="G220" s="21">
        <v>7</v>
      </c>
      <c r="H220" s="21">
        <v>16.5</v>
      </c>
      <c r="I220" s="21">
        <v>1.75</v>
      </c>
      <c r="J220" s="21">
        <v>7.25</v>
      </c>
      <c r="M220" s="21">
        <v>6.5</v>
      </c>
      <c r="O220" s="21">
        <v>2.42</v>
      </c>
      <c r="P220" s="21">
        <v>6.5</v>
      </c>
      <c r="R220" s="21">
        <v>5.5</v>
      </c>
      <c r="S220" s="21">
        <v>27.83</v>
      </c>
      <c r="U220" s="21">
        <v>14.85</v>
      </c>
      <c r="V220" s="21">
        <v>4.95</v>
      </c>
      <c r="Y220" s="21">
        <v>10.1</v>
      </c>
      <c r="Z220" s="21">
        <v>2.5</v>
      </c>
      <c r="AA220" s="21">
        <v>45</v>
      </c>
      <c r="AB220" s="21">
        <v>6.5</v>
      </c>
      <c r="AC220" s="21">
        <v>6.5</v>
      </c>
      <c r="AD220" s="21">
        <v>6.5</v>
      </c>
      <c r="AF220" s="21">
        <v>5</v>
      </c>
    </row>
    <row r="221" spans="1:34">
      <c r="A221" s="5" t="s">
        <v>252</v>
      </c>
      <c r="B221" s="21">
        <v>6.5</v>
      </c>
      <c r="C221" s="21">
        <v>1.64</v>
      </c>
      <c r="D221" s="21">
        <v>5.75</v>
      </c>
      <c r="E221" s="21">
        <v>7.5</v>
      </c>
      <c r="F221" s="18">
        <v>11</v>
      </c>
      <c r="G221" s="21">
        <v>7</v>
      </c>
      <c r="H221" s="21">
        <v>16.5</v>
      </c>
      <c r="I221" s="21">
        <v>1.75</v>
      </c>
      <c r="J221" s="21">
        <v>7</v>
      </c>
      <c r="M221" s="21">
        <v>6.5</v>
      </c>
      <c r="O221" s="21">
        <v>2.69</v>
      </c>
      <c r="P221" s="21">
        <v>6.5</v>
      </c>
      <c r="R221" s="21">
        <v>5.5</v>
      </c>
      <c r="U221" s="21">
        <v>14.85</v>
      </c>
      <c r="V221" s="21">
        <v>5.57</v>
      </c>
      <c r="Y221" s="21">
        <v>10.3</v>
      </c>
      <c r="Z221" s="21">
        <v>2.5</v>
      </c>
      <c r="AA221" s="21">
        <v>50</v>
      </c>
      <c r="AB221" s="21">
        <v>6.5</v>
      </c>
      <c r="AC221" s="21">
        <v>6.5</v>
      </c>
      <c r="AD221" s="21">
        <v>6.5</v>
      </c>
      <c r="AF221" s="21">
        <v>5</v>
      </c>
    </row>
    <row r="222" spans="1:34">
      <c r="A222" s="5" t="s">
        <v>253</v>
      </c>
      <c r="B222" s="21">
        <v>6.5</v>
      </c>
      <c r="C222" s="21">
        <v>1.53</v>
      </c>
      <c r="D222" s="21">
        <v>5.75</v>
      </c>
      <c r="E222" s="21">
        <v>7.5</v>
      </c>
      <c r="F222" s="18">
        <v>18</v>
      </c>
      <c r="G222" s="21">
        <v>7.5</v>
      </c>
      <c r="H222" s="21">
        <v>16.5</v>
      </c>
      <c r="I222" s="21">
        <v>1.75</v>
      </c>
      <c r="J222" s="21">
        <v>6.75</v>
      </c>
      <c r="M222" s="21">
        <v>6.5</v>
      </c>
      <c r="O222" s="21">
        <v>2.67</v>
      </c>
      <c r="P222" s="21">
        <v>6.5</v>
      </c>
      <c r="R222" s="21">
        <v>5.5</v>
      </c>
      <c r="U222" s="21">
        <v>14.4</v>
      </c>
      <c r="V222" s="21">
        <v>6.28</v>
      </c>
      <c r="Y222" s="21">
        <v>9.4</v>
      </c>
      <c r="Z222" s="21">
        <v>2.5</v>
      </c>
      <c r="AA222" s="21">
        <v>50</v>
      </c>
      <c r="AB222" s="21">
        <v>6.5</v>
      </c>
      <c r="AC222" s="21">
        <v>6.5</v>
      </c>
      <c r="AD222" s="21">
        <v>6.5</v>
      </c>
      <c r="AF222" s="21">
        <v>5</v>
      </c>
    </row>
    <row r="223" spans="1:34">
      <c r="A223" s="5" t="s">
        <v>254</v>
      </c>
      <c r="B223" s="21">
        <v>6.5</v>
      </c>
      <c r="C223" s="21">
        <v>1.32</v>
      </c>
      <c r="D223" s="21">
        <v>5.75</v>
      </c>
      <c r="E223" s="21">
        <v>7.5</v>
      </c>
      <c r="F223" s="18">
        <v>18</v>
      </c>
      <c r="G223" s="21">
        <v>8</v>
      </c>
      <c r="H223" s="21">
        <v>16.25</v>
      </c>
      <c r="I223" s="21">
        <v>1.75</v>
      </c>
      <c r="J223" s="21">
        <v>6.75</v>
      </c>
      <c r="M223" s="21">
        <v>6.5</v>
      </c>
      <c r="O223" s="21">
        <v>2.27</v>
      </c>
      <c r="P223" s="21">
        <v>6.5</v>
      </c>
      <c r="R223" s="21">
        <v>5.5</v>
      </c>
      <c r="S223" s="21">
        <v>22.2</v>
      </c>
      <c r="U223" s="21">
        <v>14.2</v>
      </c>
      <c r="V223" s="21">
        <v>5.98</v>
      </c>
      <c r="Y223" s="21">
        <v>9.5</v>
      </c>
      <c r="Z223" s="21">
        <v>2.5</v>
      </c>
      <c r="AA223" s="21">
        <v>50</v>
      </c>
      <c r="AB223" s="21">
        <v>6.5</v>
      </c>
      <c r="AC223" s="21">
        <v>6.5</v>
      </c>
      <c r="AD223" s="21">
        <v>6.5</v>
      </c>
      <c r="AF223" s="21">
        <v>5</v>
      </c>
    </row>
    <row r="224" spans="1:34">
      <c r="A224" s="5" t="s">
        <v>255</v>
      </c>
      <c r="B224" s="21">
        <v>6.5</v>
      </c>
      <c r="C224" s="21">
        <v>1.1299999999999999</v>
      </c>
      <c r="D224" s="21">
        <v>5.75</v>
      </c>
      <c r="E224" s="21">
        <v>7.5</v>
      </c>
      <c r="F224" s="18">
        <v>18</v>
      </c>
      <c r="G224" s="21">
        <v>8</v>
      </c>
      <c r="H224" s="21">
        <v>16</v>
      </c>
      <c r="I224" s="21">
        <v>1.75</v>
      </c>
      <c r="J224" s="21">
        <v>6.75</v>
      </c>
      <c r="M224" s="21">
        <v>6.5</v>
      </c>
      <c r="O224" s="21">
        <v>2.2799999999999998</v>
      </c>
      <c r="P224" s="21">
        <v>6.5</v>
      </c>
      <c r="R224" s="21">
        <v>5.5</v>
      </c>
      <c r="S224" s="21">
        <v>22.2</v>
      </c>
      <c r="U224" s="21">
        <v>14.2</v>
      </c>
      <c r="V224" s="21">
        <v>6.59</v>
      </c>
      <c r="Y224" s="21">
        <v>7.1</v>
      </c>
      <c r="Z224" s="21">
        <v>2.5</v>
      </c>
      <c r="AA224" s="21">
        <v>15</v>
      </c>
      <c r="AB224" s="21">
        <v>6.5</v>
      </c>
      <c r="AC224" s="21">
        <v>6.5</v>
      </c>
      <c r="AD224" s="21">
        <v>6.5</v>
      </c>
      <c r="AF224" s="21">
        <v>5</v>
      </c>
    </row>
    <row r="225" spans="1:34">
      <c r="A225" s="5" t="s">
        <v>256</v>
      </c>
      <c r="B225" s="21">
        <v>6.5</v>
      </c>
      <c r="C225" s="28">
        <v>1.1299999999999999</v>
      </c>
      <c r="D225" s="21">
        <v>5.75</v>
      </c>
      <c r="E225" s="21">
        <v>7.5</v>
      </c>
      <c r="F225" s="18">
        <v>18</v>
      </c>
      <c r="G225" s="21">
        <v>8</v>
      </c>
      <c r="H225" s="21">
        <v>16.16</v>
      </c>
      <c r="I225" s="21">
        <v>1.75</v>
      </c>
      <c r="J225" s="21">
        <v>6.75</v>
      </c>
      <c r="M225" s="21">
        <v>6.5</v>
      </c>
      <c r="O225" s="21">
        <v>2.02</v>
      </c>
      <c r="P225" s="21">
        <v>6.5</v>
      </c>
      <c r="R225" s="21">
        <v>5.5</v>
      </c>
      <c r="S225" s="21">
        <v>20</v>
      </c>
      <c r="U225" s="21">
        <v>14.2</v>
      </c>
      <c r="V225" s="21">
        <v>6.57</v>
      </c>
      <c r="Y225" s="21">
        <v>5.7</v>
      </c>
      <c r="Z225" s="21">
        <v>2.5</v>
      </c>
      <c r="AA225" s="21">
        <v>15</v>
      </c>
      <c r="AB225" s="21">
        <v>6.5</v>
      </c>
      <c r="AC225" s="21">
        <v>6.5</v>
      </c>
      <c r="AD225" s="21">
        <v>6.5</v>
      </c>
      <c r="AF225" s="21">
        <v>5</v>
      </c>
    </row>
    <row r="226" spans="1:34">
      <c r="A226" s="5" t="s">
        <v>257</v>
      </c>
      <c r="B226" s="21">
        <v>6.5</v>
      </c>
      <c r="C226" s="28">
        <v>1.1299999999999999</v>
      </c>
      <c r="D226" s="21">
        <v>5.75</v>
      </c>
      <c r="E226" s="21">
        <v>7.5</v>
      </c>
      <c r="F226" s="18">
        <v>18</v>
      </c>
      <c r="G226" s="21">
        <v>7.5</v>
      </c>
      <c r="H226" s="21">
        <v>16</v>
      </c>
      <c r="I226" s="21">
        <v>1.75</v>
      </c>
      <c r="J226" s="21">
        <v>6.75</v>
      </c>
      <c r="M226" s="21">
        <v>6.5</v>
      </c>
      <c r="O226" s="21">
        <v>2.17</v>
      </c>
      <c r="P226" s="21">
        <v>6.5</v>
      </c>
      <c r="R226" s="21">
        <v>6</v>
      </c>
      <c r="S226" s="21">
        <v>20</v>
      </c>
      <c r="U226" s="21">
        <v>14.2</v>
      </c>
      <c r="V226" s="21">
        <v>6.81</v>
      </c>
      <c r="Y226" s="21">
        <v>4.2</v>
      </c>
      <c r="Z226" s="21">
        <v>2.5</v>
      </c>
      <c r="AA226" s="21">
        <v>15</v>
      </c>
      <c r="AB226" s="21">
        <v>6.5</v>
      </c>
      <c r="AC226" s="21">
        <v>6.5</v>
      </c>
      <c r="AD226" s="21">
        <v>6.5</v>
      </c>
      <c r="AF226" s="21">
        <v>5</v>
      </c>
    </row>
    <row r="227" spans="1:34">
      <c r="A227" s="5" t="s">
        <v>258</v>
      </c>
      <c r="B227" s="21">
        <v>6.5</v>
      </c>
      <c r="C227" s="28">
        <v>1.1299999999999999</v>
      </c>
      <c r="D227" s="21">
        <v>5.75</v>
      </c>
      <c r="E227" s="21">
        <v>7.5</v>
      </c>
      <c r="F227" s="18">
        <v>18</v>
      </c>
      <c r="G227" s="21">
        <v>7</v>
      </c>
      <c r="H227" s="21">
        <v>16</v>
      </c>
      <c r="I227" s="21">
        <v>1.75</v>
      </c>
      <c r="J227" s="21">
        <v>6.75</v>
      </c>
      <c r="M227" s="21">
        <v>6.5</v>
      </c>
      <c r="O227" s="21">
        <v>2.13</v>
      </c>
      <c r="P227" s="21">
        <v>6.5</v>
      </c>
      <c r="R227" s="21">
        <v>6</v>
      </c>
      <c r="S227" s="21">
        <v>13.6</v>
      </c>
      <c r="U227" s="21">
        <v>14</v>
      </c>
      <c r="V227" s="21">
        <v>7.21</v>
      </c>
      <c r="Y227" s="21">
        <v>5.3</v>
      </c>
      <c r="Z227" s="21">
        <v>2.75</v>
      </c>
      <c r="AA227" s="21">
        <v>15</v>
      </c>
      <c r="AB227" s="21">
        <v>6.5</v>
      </c>
      <c r="AC227" s="21">
        <v>6.5</v>
      </c>
      <c r="AD227" s="21">
        <v>6.5</v>
      </c>
      <c r="AF227" s="21">
        <v>5</v>
      </c>
    </row>
    <row r="228" spans="1:34">
      <c r="A228" s="5" t="s">
        <v>259</v>
      </c>
      <c r="B228" s="21">
        <v>6.5</v>
      </c>
      <c r="C228" s="28">
        <v>1.1299999999999999</v>
      </c>
      <c r="D228" s="21">
        <v>5.75</v>
      </c>
      <c r="E228" s="21">
        <v>7.5</v>
      </c>
      <c r="F228" s="18">
        <v>18</v>
      </c>
      <c r="G228" s="21">
        <v>6</v>
      </c>
      <c r="H228" s="21">
        <v>16.25</v>
      </c>
      <c r="I228" s="21">
        <v>2</v>
      </c>
      <c r="J228" s="21">
        <v>6.75</v>
      </c>
      <c r="M228" s="21">
        <v>6.5</v>
      </c>
      <c r="O228" s="21">
        <v>2.12</v>
      </c>
      <c r="P228" s="21">
        <v>6.5</v>
      </c>
      <c r="R228" s="21">
        <v>6</v>
      </c>
      <c r="S228" s="21">
        <v>7.6</v>
      </c>
      <c r="U228" s="21">
        <v>14</v>
      </c>
      <c r="V228" s="21">
        <v>7.36</v>
      </c>
      <c r="Y228" s="21">
        <v>4.9000000000000004</v>
      </c>
      <c r="Z228" s="21">
        <v>2.75</v>
      </c>
      <c r="AA228" s="21">
        <v>15</v>
      </c>
      <c r="AB228" s="21">
        <v>6.5</v>
      </c>
      <c r="AC228" s="21">
        <v>6.5</v>
      </c>
      <c r="AD228" s="21">
        <v>6.5</v>
      </c>
      <c r="AF228" s="21">
        <v>5</v>
      </c>
    </row>
    <row r="229" spans="1:34">
      <c r="A229" s="5" t="s">
        <v>260</v>
      </c>
      <c r="B229" s="21">
        <v>6.5</v>
      </c>
      <c r="C229" s="28">
        <v>1.1299999999999999</v>
      </c>
      <c r="D229" s="21">
        <v>5.75</v>
      </c>
      <c r="E229" s="21">
        <v>7.5</v>
      </c>
      <c r="F229" s="18">
        <v>18</v>
      </c>
      <c r="G229" s="21">
        <v>6</v>
      </c>
      <c r="H229" s="21">
        <v>16.25</v>
      </c>
      <c r="I229" s="21">
        <v>2</v>
      </c>
      <c r="J229" s="21">
        <v>6.75</v>
      </c>
      <c r="M229" s="21">
        <v>6.5</v>
      </c>
      <c r="O229" s="21">
        <v>2.04</v>
      </c>
      <c r="P229" s="21">
        <v>6.5</v>
      </c>
      <c r="R229" s="21">
        <v>6</v>
      </c>
      <c r="S229" s="21">
        <v>7.5</v>
      </c>
      <c r="U229" s="21">
        <v>14</v>
      </c>
      <c r="V229" s="21">
        <v>7.76</v>
      </c>
      <c r="Y229" s="21">
        <v>4.3</v>
      </c>
      <c r="Z229" s="21">
        <v>3</v>
      </c>
      <c r="AA229" s="21">
        <v>10</v>
      </c>
      <c r="AB229" s="21">
        <v>6.5</v>
      </c>
      <c r="AC229" s="21">
        <v>6.5</v>
      </c>
      <c r="AD229" s="21">
        <v>6.5</v>
      </c>
      <c r="AF229" s="21">
        <v>5</v>
      </c>
    </row>
    <row r="230" spans="1:34">
      <c r="A230" s="5" t="s">
        <v>261</v>
      </c>
      <c r="B230" s="21">
        <v>6.5</v>
      </c>
      <c r="C230" s="28">
        <v>1.1299999999999999</v>
      </c>
      <c r="D230" s="21">
        <v>5.75</v>
      </c>
      <c r="E230" s="21">
        <v>7.5</v>
      </c>
      <c r="F230" s="18">
        <v>18</v>
      </c>
      <c r="G230" s="21">
        <v>6</v>
      </c>
      <c r="H230" s="21">
        <v>16.75</v>
      </c>
      <c r="I230" s="21">
        <v>2.25</v>
      </c>
      <c r="J230" s="21">
        <v>6.75</v>
      </c>
      <c r="M230" s="21">
        <v>6.5</v>
      </c>
      <c r="O230" s="21">
        <v>2.17</v>
      </c>
      <c r="P230" s="21">
        <v>6.5</v>
      </c>
      <c r="R230" s="21">
        <v>6</v>
      </c>
      <c r="S230" s="21">
        <v>7.6</v>
      </c>
      <c r="U230" s="21">
        <v>13.8</v>
      </c>
      <c r="V230" s="21">
        <v>8.1999999999999993</v>
      </c>
      <c r="Y230" s="21">
        <v>3.6</v>
      </c>
      <c r="Z230" s="21">
        <v>3</v>
      </c>
      <c r="AA230" s="21">
        <v>10</v>
      </c>
      <c r="AB230" s="21">
        <v>6.5</v>
      </c>
      <c r="AC230" s="21">
        <v>6.5</v>
      </c>
      <c r="AD230" s="21">
        <v>6.5</v>
      </c>
      <c r="AF230" s="21">
        <v>5</v>
      </c>
    </row>
    <row r="231" spans="1:34">
      <c r="A231" s="23" t="s">
        <v>262</v>
      </c>
      <c r="B231" s="12">
        <v>6.5</v>
      </c>
      <c r="C231" s="12">
        <v>3.55</v>
      </c>
      <c r="D231" s="12">
        <v>5.75</v>
      </c>
      <c r="E231" s="12">
        <v>7.5</v>
      </c>
      <c r="F231" s="19">
        <v>18</v>
      </c>
      <c r="G231" s="12">
        <v>6</v>
      </c>
      <c r="H231" s="12">
        <v>17.25</v>
      </c>
      <c r="I231" s="12">
        <v>2.25</v>
      </c>
      <c r="J231" s="12">
        <v>6.5</v>
      </c>
      <c r="K231" s="12"/>
      <c r="L231" s="13"/>
      <c r="M231" s="12">
        <v>6.5</v>
      </c>
      <c r="N231" s="12"/>
      <c r="O231" s="12">
        <v>2.37</v>
      </c>
      <c r="P231" s="12">
        <v>6.5</v>
      </c>
      <c r="Q231" s="12"/>
      <c r="R231" s="12">
        <v>6</v>
      </c>
      <c r="S231" s="12">
        <v>7.6</v>
      </c>
      <c r="T231" s="12"/>
      <c r="U231" s="12">
        <v>13.8</v>
      </c>
      <c r="V231" s="12">
        <v>8.5</v>
      </c>
      <c r="W231" s="13"/>
      <c r="X231" s="12"/>
      <c r="Y231" s="12">
        <v>4.3</v>
      </c>
      <c r="Z231" s="12">
        <v>3</v>
      </c>
      <c r="AA231" s="12">
        <v>10</v>
      </c>
      <c r="AB231" s="12">
        <v>6.5</v>
      </c>
      <c r="AC231" s="12">
        <v>6.5</v>
      </c>
      <c r="AD231" s="12">
        <v>6.5</v>
      </c>
      <c r="AE231" s="13"/>
      <c r="AF231" s="12">
        <v>5</v>
      </c>
      <c r="AG231" s="12"/>
      <c r="AH231" s="12"/>
    </row>
    <row r="232" spans="1:34">
      <c r="A232" s="5" t="s">
        <v>263</v>
      </c>
      <c r="B232" s="21">
        <v>6.5</v>
      </c>
      <c r="C232" s="21">
        <v>3.64</v>
      </c>
      <c r="D232" s="21">
        <v>5.75</v>
      </c>
      <c r="E232" s="21">
        <v>7.5</v>
      </c>
      <c r="F232" s="18">
        <v>18</v>
      </c>
      <c r="G232" s="21">
        <v>6</v>
      </c>
      <c r="H232" s="21">
        <v>17.75</v>
      </c>
      <c r="I232" s="21">
        <v>2.5</v>
      </c>
      <c r="J232" s="21">
        <v>6.5</v>
      </c>
      <c r="M232" s="21">
        <v>6.5</v>
      </c>
      <c r="O232" s="21">
        <v>2.04</v>
      </c>
      <c r="P232" s="21">
        <v>6.5</v>
      </c>
      <c r="Q232" s="21">
        <v>2.5499999999999998</v>
      </c>
      <c r="R232" s="21">
        <v>6</v>
      </c>
      <c r="S232" s="21">
        <v>7.6</v>
      </c>
      <c r="U232" s="21">
        <v>13.5</v>
      </c>
      <c r="V232" s="21">
        <v>8.6</v>
      </c>
      <c r="Y232" s="21">
        <v>4.8</v>
      </c>
      <c r="Z232" s="21">
        <v>3</v>
      </c>
      <c r="AA232" s="21">
        <v>7</v>
      </c>
      <c r="AB232" s="21">
        <v>6.5</v>
      </c>
      <c r="AC232" s="21">
        <v>6.5</v>
      </c>
      <c r="AD232" s="21">
        <v>6.5</v>
      </c>
      <c r="AF232" s="21">
        <v>5</v>
      </c>
    </row>
    <row r="233" spans="1:34">
      <c r="A233" s="5" t="s">
        <v>264</v>
      </c>
      <c r="B233" s="21">
        <v>6.5</v>
      </c>
      <c r="C233" s="21">
        <v>4.01</v>
      </c>
      <c r="D233" s="21">
        <v>5.25</v>
      </c>
      <c r="E233" s="21">
        <v>7.5</v>
      </c>
      <c r="F233" s="18">
        <v>18</v>
      </c>
      <c r="G233" s="21">
        <v>5.5</v>
      </c>
      <c r="H233" s="21">
        <v>18.25</v>
      </c>
      <c r="I233" s="21">
        <v>2.75</v>
      </c>
      <c r="J233" s="21">
        <v>6.5</v>
      </c>
      <c r="M233" s="21">
        <v>6.5</v>
      </c>
      <c r="O233" s="21">
        <v>2.0699999999999998</v>
      </c>
      <c r="P233" s="21">
        <v>6.5</v>
      </c>
      <c r="Q233" s="21">
        <v>2.75</v>
      </c>
      <c r="R233" s="21">
        <v>6</v>
      </c>
      <c r="S233" s="21">
        <v>7.6</v>
      </c>
      <c r="U233" s="21">
        <v>13.5</v>
      </c>
      <c r="V233" s="21">
        <v>9.15</v>
      </c>
      <c r="Y233" s="21">
        <v>3.62</v>
      </c>
      <c r="Z233" s="21">
        <v>3</v>
      </c>
      <c r="AA233" s="21">
        <v>4</v>
      </c>
      <c r="AB233" s="21">
        <v>6.5</v>
      </c>
      <c r="AC233" s="21">
        <v>6.5</v>
      </c>
      <c r="AD233" s="21">
        <v>6.5</v>
      </c>
      <c r="AF233" s="21">
        <v>5</v>
      </c>
    </row>
    <row r="234" spans="1:34">
      <c r="A234" s="5" t="s">
        <v>265</v>
      </c>
      <c r="B234" s="21">
        <v>6.5</v>
      </c>
      <c r="C234" s="21">
        <v>4.3899999999999997</v>
      </c>
      <c r="D234" s="21">
        <v>5.25</v>
      </c>
      <c r="E234" s="21">
        <v>7.5</v>
      </c>
      <c r="F234" s="18">
        <v>18</v>
      </c>
      <c r="G234" s="21">
        <v>5.5</v>
      </c>
      <c r="H234" s="21">
        <v>18.75</v>
      </c>
      <c r="I234" s="21">
        <v>2.75</v>
      </c>
      <c r="J234" s="21">
        <v>6.5</v>
      </c>
      <c r="M234" s="21">
        <v>6.5</v>
      </c>
      <c r="O234" s="21">
        <v>2.27</v>
      </c>
      <c r="P234" s="21">
        <v>6.5</v>
      </c>
      <c r="Q234" s="21">
        <v>2.75</v>
      </c>
      <c r="R234" s="21">
        <v>6</v>
      </c>
      <c r="S234" s="21">
        <v>7.6</v>
      </c>
      <c r="U234" s="21">
        <v>12.95</v>
      </c>
      <c r="V234" s="21">
        <v>9.41</v>
      </c>
      <c r="Y234" s="21">
        <v>4.47</v>
      </c>
      <c r="Z234" s="21">
        <v>3</v>
      </c>
      <c r="AA234" s="21">
        <v>4</v>
      </c>
      <c r="AB234" s="21">
        <v>6.5</v>
      </c>
      <c r="AC234" s="21">
        <v>6.5</v>
      </c>
      <c r="AD234" s="21">
        <v>6.5</v>
      </c>
      <c r="AF234" s="21">
        <v>5.25</v>
      </c>
    </row>
    <row r="235" spans="1:34">
      <c r="A235" s="5" t="s">
        <v>266</v>
      </c>
      <c r="B235" s="21">
        <v>6.5</v>
      </c>
      <c r="C235" s="21">
        <v>5.26</v>
      </c>
      <c r="D235" s="21">
        <v>5.25</v>
      </c>
      <c r="E235" s="21">
        <v>7.5</v>
      </c>
      <c r="F235" s="18">
        <v>18</v>
      </c>
      <c r="G235" s="21">
        <v>5.5</v>
      </c>
      <c r="H235" s="21">
        <v>19.25</v>
      </c>
      <c r="I235" s="21">
        <v>3</v>
      </c>
      <c r="J235" s="21">
        <v>6.5</v>
      </c>
      <c r="M235" s="21">
        <v>6.5</v>
      </c>
      <c r="O235" s="21">
        <v>2.66</v>
      </c>
      <c r="P235" s="21">
        <v>6.5</v>
      </c>
      <c r="Q235" s="21">
        <v>2.75</v>
      </c>
      <c r="R235" s="21">
        <v>6</v>
      </c>
      <c r="S235" s="21">
        <v>7.6</v>
      </c>
      <c r="T235" s="21">
        <v>6.5</v>
      </c>
      <c r="U235" s="21">
        <v>12.95</v>
      </c>
      <c r="V235" s="21">
        <v>9.6300000000000008</v>
      </c>
      <c r="Y235" s="21">
        <v>3.27</v>
      </c>
      <c r="Z235" s="21">
        <v>3</v>
      </c>
      <c r="AA235" s="21">
        <v>4</v>
      </c>
      <c r="AB235" s="21">
        <v>6.5</v>
      </c>
      <c r="AC235" s="21">
        <v>6.5</v>
      </c>
      <c r="AD235" s="21">
        <v>6.5</v>
      </c>
      <c r="AF235" s="21">
        <v>5.25</v>
      </c>
    </row>
    <row r="236" spans="1:34">
      <c r="A236" s="5" t="s">
        <v>267</v>
      </c>
      <c r="B236" s="21">
        <v>6.5</v>
      </c>
      <c r="C236" s="21">
        <v>5.94</v>
      </c>
      <c r="D236" s="21">
        <v>5.25</v>
      </c>
      <c r="E236" s="21">
        <v>7.5</v>
      </c>
      <c r="F236" s="18">
        <v>18</v>
      </c>
      <c r="G236" s="21">
        <v>5.5</v>
      </c>
      <c r="H236" s="21">
        <v>19.5</v>
      </c>
      <c r="I236" s="21">
        <v>3.25</v>
      </c>
      <c r="J236" s="21">
        <v>6.5</v>
      </c>
      <c r="M236" s="21">
        <v>6.5</v>
      </c>
      <c r="O236" s="21">
        <v>2.52</v>
      </c>
      <c r="P236" s="21">
        <v>6.5</v>
      </c>
      <c r="Q236" s="21">
        <v>3</v>
      </c>
      <c r="R236" s="21">
        <v>6</v>
      </c>
      <c r="S236" s="21">
        <v>7.6</v>
      </c>
      <c r="T236" s="21">
        <v>7</v>
      </c>
      <c r="U236" s="21">
        <v>12.6</v>
      </c>
      <c r="V236" s="21">
        <v>9.75</v>
      </c>
      <c r="Y236" s="21">
        <v>3.88</v>
      </c>
      <c r="Z236" s="21">
        <v>3</v>
      </c>
      <c r="AA236" s="21">
        <v>8</v>
      </c>
      <c r="AB236" s="21">
        <v>6.5</v>
      </c>
      <c r="AC236" s="21">
        <v>6.5</v>
      </c>
      <c r="AD236" s="21">
        <v>6.5</v>
      </c>
      <c r="AF236" s="21">
        <v>5.25</v>
      </c>
    </row>
    <row r="237" spans="1:34">
      <c r="A237" s="5" t="s">
        <v>268</v>
      </c>
      <c r="B237" s="21">
        <v>6.5</v>
      </c>
      <c r="C237" s="21">
        <v>6.54</v>
      </c>
      <c r="D237" s="21">
        <v>5.25</v>
      </c>
      <c r="E237" s="21">
        <v>7.5</v>
      </c>
      <c r="F237" s="18">
        <v>18</v>
      </c>
      <c r="G237" s="21">
        <v>6.5</v>
      </c>
      <c r="H237" s="21">
        <v>19.75</v>
      </c>
      <c r="I237" s="21">
        <v>3.25</v>
      </c>
      <c r="J237" s="21">
        <v>6.5</v>
      </c>
      <c r="M237" s="21">
        <v>6.5</v>
      </c>
      <c r="O237" s="21">
        <v>2.85</v>
      </c>
      <c r="P237" s="21">
        <v>6.5</v>
      </c>
      <c r="Q237" s="21">
        <v>3</v>
      </c>
      <c r="R237" s="21">
        <v>6</v>
      </c>
      <c r="S237" s="21">
        <v>13.4</v>
      </c>
      <c r="T237" s="21">
        <v>7</v>
      </c>
      <c r="U237" s="21">
        <v>12.6</v>
      </c>
      <c r="V237" s="21">
        <v>9.6300000000000008</v>
      </c>
      <c r="Y237" s="21">
        <v>4.68</v>
      </c>
      <c r="Z237" s="21">
        <v>3</v>
      </c>
      <c r="AA237" s="21">
        <v>8</v>
      </c>
      <c r="AB237" s="21">
        <v>6.5</v>
      </c>
      <c r="AC237" s="21">
        <v>6.5</v>
      </c>
      <c r="AD237" s="21">
        <v>6.5</v>
      </c>
      <c r="AF237" s="21">
        <v>5.25</v>
      </c>
    </row>
    <row r="238" spans="1:34">
      <c r="A238" s="5" t="s">
        <v>269</v>
      </c>
      <c r="B238" s="21">
        <v>6.5</v>
      </c>
      <c r="C238" s="21">
        <v>6.85</v>
      </c>
      <c r="D238" s="21">
        <v>5.25</v>
      </c>
      <c r="E238" s="21">
        <v>10</v>
      </c>
      <c r="F238" s="18">
        <v>18</v>
      </c>
      <c r="G238" s="21">
        <v>6</v>
      </c>
      <c r="H238" s="21">
        <v>19.75</v>
      </c>
      <c r="I238" s="21">
        <v>3.5</v>
      </c>
      <c r="J238" s="21">
        <v>6.5</v>
      </c>
      <c r="M238" s="21">
        <v>6.5</v>
      </c>
      <c r="O238" s="21">
        <v>2.89</v>
      </c>
      <c r="P238" s="21">
        <v>6.5</v>
      </c>
      <c r="Q238" s="21">
        <v>3.25</v>
      </c>
      <c r="R238" s="21">
        <v>6</v>
      </c>
      <c r="S238" s="21">
        <v>13.4</v>
      </c>
      <c r="T238" s="21">
        <v>7</v>
      </c>
      <c r="U238" s="21">
        <v>12.6</v>
      </c>
      <c r="V238" s="21">
        <v>9.61</v>
      </c>
      <c r="Y238" s="21">
        <v>4.5</v>
      </c>
      <c r="Z238" s="21">
        <v>3</v>
      </c>
      <c r="AA238" s="21">
        <v>8</v>
      </c>
      <c r="AB238" s="21">
        <v>6.5</v>
      </c>
      <c r="AC238" s="21">
        <v>6.5</v>
      </c>
      <c r="AD238" s="21">
        <v>6.5</v>
      </c>
      <c r="AF238" s="21">
        <v>5.5</v>
      </c>
    </row>
    <row r="239" spans="1:34">
      <c r="A239" s="5" t="s">
        <v>270</v>
      </c>
      <c r="B239" s="21">
        <v>6.5</v>
      </c>
      <c r="C239" s="21">
        <v>6.83</v>
      </c>
      <c r="D239" s="21">
        <v>5.25</v>
      </c>
      <c r="E239" s="21">
        <v>10</v>
      </c>
      <c r="F239" s="18">
        <v>18</v>
      </c>
      <c r="G239" s="21">
        <v>5.5</v>
      </c>
      <c r="H239" s="21">
        <v>19.75</v>
      </c>
      <c r="I239" s="21">
        <v>3.75</v>
      </c>
      <c r="J239" s="21">
        <v>6.5</v>
      </c>
      <c r="M239" s="21">
        <v>6.5</v>
      </c>
      <c r="O239" s="21">
        <v>3.36</v>
      </c>
      <c r="P239" s="21">
        <v>6.5</v>
      </c>
      <c r="Q239" s="21">
        <v>3.5</v>
      </c>
      <c r="R239" s="21">
        <v>6</v>
      </c>
      <c r="S239" s="21">
        <v>15.6</v>
      </c>
      <c r="T239" s="21">
        <v>7</v>
      </c>
      <c r="U239" s="21">
        <v>12.6</v>
      </c>
      <c r="V239" s="21">
        <v>9.6</v>
      </c>
      <c r="Y239" s="21">
        <v>4.9000000000000004</v>
      </c>
      <c r="Z239" s="21">
        <v>3</v>
      </c>
      <c r="AA239" s="21">
        <v>8</v>
      </c>
      <c r="AB239" s="21">
        <v>6.5</v>
      </c>
      <c r="AC239" s="21">
        <v>6.5</v>
      </c>
      <c r="AD239" s="21">
        <v>6.5</v>
      </c>
      <c r="AF239" s="21">
        <v>5.5</v>
      </c>
    </row>
    <row r="240" spans="1:34">
      <c r="A240" s="5" t="s">
        <v>271</v>
      </c>
      <c r="B240" s="21">
        <v>6.5</v>
      </c>
      <c r="C240" s="21">
        <v>6.87</v>
      </c>
      <c r="D240" s="21">
        <v>5.25</v>
      </c>
      <c r="E240" s="21">
        <v>10</v>
      </c>
      <c r="F240" s="18">
        <v>18</v>
      </c>
      <c r="G240" s="21">
        <v>5.25</v>
      </c>
      <c r="H240" s="21">
        <v>19.5</v>
      </c>
      <c r="I240" s="21">
        <v>4</v>
      </c>
      <c r="J240" s="21">
        <v>6</v>
      </c>
      <c r="M240" s="21">
        <v>6.5</v>
      </c>
      <c r="O240" s="21">
        <v>3.32</v>
      </c>
      <c r="P240" s="21">
        <v>6.5</v>
      </c>
      <c r="Q240" s="21">
        <v>3.75</v>
      </c>
      <c r="R240" s="21">
        <v>6</v>
      </c>
      <c r="S240" s="21">
        <v>15.6</v>
      </c>
      <c r="T240" s="21">
        <v>7</v>
      </c>
      <c r="U240" s="21">
        <v>12.6</v>
      </c>
      <c r="V240" s="21">
        <v>9.2100000000000009</v>
      </c>
      <c r="Y240" s="21">
        <v>5.0999999999999996</v>
      </c>
      <c r="Z240" s="21">
        <v>3</v>
      </c>
      <c r="AA240" s="21">
        <v>10</v>
      </c>
      <c r="AB240" s="21">
        <v>6.5</v>
      </c>
      <c r="AC240" s="21">
        <v>6.5</v>
      </c>
      <c r="AD240" s="21">
        <v>6.5</v>
      </c>
      <c r="AF240" s="21">
        <v>5.75</v>
      </c>
    </row>
    <row r="241" spans="1:34">
      <c r="A241" s="5" t="s">
        <v>272</v>
      </c>
      <c r="B241" s="21">
        <v>6.5</v>
      </c>
      <c r="C241" s="21">
        <v>6.95</v>
      </c>
      <c r="D241" s="21">
        <v>5.25</v>
      </c>
      <c r="E241" s="21">
        <v>10</v>
      </c>
      <c r="F241" s="18">
        <v>18</v>
      </c>
      <c r="G241" s="21">
        <v>5.25</v>
      </c>
      <c r="H241" s="21">
        <v>19.5</v>
      </c>
      <c r="I241" s="21">
        <v>4.25</v>
      </c>
      <c r="J241" s="21">
        <v>6</v>
      </c>
      <c r="M241" s="21">
        <v>6.5</v>
      </c>
      <c r="O241" s="21">
        <v>4.25</v>
      </c>
      <c r="P241" s="21">
        <v>6.5</v>
      </c>
      <c r="Q241" s="21">
        <v>3.75</v>
      </c>
      <c r="R241" s="21">
        <v>6</v>
      </c>
      <c r="S241" s="21">
        <v>18.899999999999999</v>
      </c>
      <c r="T241" s="21">
        <v>7</v>
      </c>
      <c r="U241" s="21">
        <v>12.6</v>
      </c>
      <c r="V241" s="21">
        <v>8.91</v>
      </c>
      <c r="Y241" s="21">
        <v>5.3</v>
      </c>
      <c r="Z241" s="21">
        <v>3</v>
      </c>
      <c r="AA241" s="21">
        <v>10</v>
      </c>
      <c r="AB241" s="21">
        <v>6.5</v>
      </c>
      <c r="AC241" s="21">
        <v>6.5</v>
      </c>
      <c r="AD241" s="21">
        <v>6.5</v>
      </c>
      <c r="AF241" s="21">
        <v>5.75</v>
      </c>
    </row>
    <row r="242" spans="1:34">
      <c r="A242" s="5" t="s">
        <v>273</v>
      </c>
      <c r="B242" s="25">
        <v>6.5</v>
      </c>
      <c r="C242" s="25">
        <v>7.26</v>
      </c>
      <c r="D242" s="25">
        <v>5.25</v>
      </c>
      <c r="E242" s="25">
        <v>10</v>
      </c>
      <c r="F242" s="20">
        <v>18</v>
      </c>
      <c r="G242" s="25">
        <v>5.25</v>
      </c>
      <c r="H242" s="25">
        <v>19</v>
      </c>
      <c r="I242" s="25">
        <v>4.5</v>
      </c>
      <c r="J242" s="25">
        <v>6</v>
      </c>
      <c r="K242" s="25"/>
      <c r="L242" s="26"/>
      <c r="M242" s="25">
        <v>6.5</v>
      </c>
      <c r="N242" s="25"/>
      <c r="O242" s="25">
        <v>4.0199999999999996</v>
      </c>
      <c r="P242" s="25">
        <v>6.5</v>
      </c>
      <c r="Q242" s="25">
        <v>4</v>
      </c>
      <c r="R242" s="25">
        <v>6</v>
      </c>
      <c r="S242" s="21">
        <v>18.899999999999999</v>
      </c>
      <c r="T242" s="21">
        <v>7</v>
      </c>
      <c r="U242" s="21">
        <v>12.6</v>
      </c>
      <c r="V242" s="21">
        <v>8.7100000000000009</v>
      </c>
      <c r="Y242" s="21">
        <v>6.4</v>
      </c>
      <c r="Z242" s="21">
        <v>3</v>
      </c>
      <c r="AA242" s="21">
        <v>10</v>
      </c>
      <c r="AB242" s="21">
        <v>6.5</v>
      </c>
      <c r="AC242" s="21">
        <v>6.5</v>
      </c>
      <c r="AD242" s="21">
        <v>6.5</v>
      </c>
      <c r="AF242" s="21">
        <v>6</v>
      </c>
    </row>
    <row r="243" spans="1:34">
      <c r="A243" s="23" t="s">
        <v>274</v>
      </c>
      <c r="B243" s="12">
        <v>6.5</v>
      </c>
      <c r="C243" s="12">
        <v>7.3</v>
      </c>
      <c r="D243" s="12">
        <v>5.25</v>
      </c>
      <c r="E243" s="12">
        <v>10</v>
      </c>
      <c r="F243" s="19">
        <v>18</v>
      </c>
      <c r="G243" s="12">
        <v>5.25</v>
      </c>
      <c r="H243" s="12">
        <v>18.5</v>
      </c>
      <c r="I243" s="12">
        <v>4.5</v>
      </c>
      <c r="J243" s="12">
        <v>6</v>
      </c>
      <c r="K243" s="12"/>
      <c r="L243" s="13"/>
      <c r="M243" s="12">
        <v>6.5</v>
      </c>
      <c r="N243" s="12"/>
      <c r="O243" s="12">
        <v>3.89</v>
      </c>
      <c r="P243" s="12">
        <v>6.5</v>
      </c>
      <c r="Q243" s="12">
        <v>4.25</v>
      </c>
      <c r="R243" s="12">
        <v>6</v>
      </c>
      <c r="S243" s="12">
        <v>18.899999999999999</v>
      </c>
      <c r="T243" s="12">
        <v>7</v>
      </c>
      <c r="U243" s="12">
        <v>12.6</v>
      </c>
      <c r="V243" s="12">
        <v>8.2200000000000006</v>
      </c>
      <c r="W243" s="13"/>
      <c r="X243" s="12"/>
      <c r="Y243" s="12">
        <v>6.7</v>
      </c>
      <c r="Z243" s="12">
        <v>3.25</v>
      </c>
      <c r="AA243" s="12">
        <v>10</v>
      </c>
      <c r="AB243" s="12">
        <v>6.5</v>
      </c>
      <c r="AC243" s="12">
        <v>6.5</v>
      </c>
      <c r="AD243" s="12">
        <v>6.5</v>
      </c>
      <c r="AE243" s="13"/>
      <c r="AF243" s="12">
        <v>6</v>
      </c>
      <c r="AG243" s="12"/>
      <c r="AH243" s="12"/>
    </row>
    <row r="244" spans="1:34">
      <c r="A244" s="5" t="s">
        <v>275</v>
      </c>
      <c r="B244" s="21">
        <v>6.5</v>
      </c>
      <c r="C244" s="21">
        <v>7.13</v>
      </c>
      <c r="D244" s="21">
        <v>5.25</v>
      </c>
      <c r="E244" s="21">
        <v>10</v>
      </c>
      <c r="F244" s="18">
        <v>18</v>
      </c>
      <c r="G244" s="21">
        <v>5.25</v>
      </c>
      <c r="H244" s="21">
        <v>18</v>
      </c>
      <c r="I244" s="21">
        <v>4.5</v>
      </c>
      <c r="J244" s="21">
        <v>6</v>
      </c>
      <c r="M244" s="21">
        <v>6.5</v>
      </c>
      <c r="O244" s="21">
        <v>3.55</v>
      </c>
      <c r="P244" s="21">
        <v>6.5</v>
      </c>
      <c r="Q244" s="21">
        <v>4.25</v>
      </c>
      <c r="R244" s="21">
        <v>6.25</v>
      </c>
      <c r="S244" s="21">
        <v>18.899999999999999</v>
      </c>
      <c r="T244" s="21">
        <v>7</v>
      </c>
      <c r="U244" s="21">
        <v>12.6</v>
      </c>
      <c r="V244" s="21">
        <v>7.88</v>
      </c>
      <c r="Y244" s="21">
        <v>7.1</v>
      </c>
      <c r="Z244" s="21">
        <v>3.5</v>
      </c>
      <c r="AA244" s="21">
        <v>10</v>
      </c>
      <c r="AB244" s="21">
        <v>6.5</v>
      </c>
      <c r="AC244" s="21">
        <v>6.5</v>
      </c>
      <c r="AD244" s="21">
        <v>6.5</v>
      </c>
      <c r="AF244" s="21">
        <v>6.25</v>
      </c>
      <c r="AH244" s="21">
        <v>11.664782299689277</v>
      </c>
    </row>
    <row r="245" spans="1:34">
      <c r="A245" s="5" t="s">
        <v>276</v>
      </c>
      <c r="B245" s="21">
        <v>6.5</v>
      </c>
      <c r="C245" s="21">
        <v>7.25</v>
      </c>
      <c r="D245" s="21">
        <v>5.25</v>
      </c>
      <c r="E245" s="21">
        <v>10</v>
      </c>
      <c r="F245" s="18">
        <v>18</v>
      </c>
      <c r="G245" s="21">
        <v>5.25</v>
      </c>
      <c r="H245" s="21">
        <v>17.25</v>
      </c>
      <c r="I245" s="21">
        <v>4.75</v>
      </c>
      <c r="J245" s="21">
        <v>6</v>
      </c>
      <c r="M245" s="21">
        <v>6.5</v>
      </c>
      <c r="O245" s="21">
        <v>3.54</v>
      </c>
      <c r="P245" s="21">
        <v>6.5</v>
      </c>
      <c r="Q245" s="21">
        <v>4.25</v>
      </c>
      <c r="R245" s="21">
        <v>6.25</v>
      </c>
      <c r="S245" s="21">
        <v>18.899999999999999</v>
      </c>
      <c r="T245" s="21">
        <v>7</v>
      </c>
      <c r="U245" s="21">
        <v>12.6</v>
      </c>
      <c r="V245" s="21">
        <v>7.61</v>
      </c>
      <c r="Y245" s="21">
        <v>7.1</v>
      </c>
      <c r="Z245" s="21">
        <v>3.75</v>
      </c>
      <c r="AA245" s="21">
        <v>10</v>
      </c>
      <c r="AB245" s="21">
        <v>6.5</v>
      </c>
      <c r="AC245" s="21">
        <v>6.5</v>
      </c>
      <c r="AD245" s="21">
        <v>6.5</v>
      </c>
      <c r="AF245" s="21">
        <v>6.5</v>
      </c>
      <c r="AH245" s="21">
        <v>9.842788655458051</v>
      </c>
    </row>
    <row r="246" spans="1:34">
      <c r="A246" s="5" t="s">
        <v>277</v>
      </c>
      <c r="B246" s="25">
        <v>6.5</v>
      </c>
      <c r="C246" s="21">
        <v>7.24</v>
      </c>
      <c r="D246" s="21">
        <v>5.25</v>
      </c>
      <c r="E246" s="21">
        <v>12</v>
      </c>
      <c r="F246" s="18">
        <v>18</v>
      </c>
      <c r="G246" s="21">
        <v>5.25</v>
      </c>
      <c r="H246" s="21">
        <v>16.5</v>
      </c>
      <c r="I246" s="21">
        <v>4.75</v>
      </c>
      <c r="J246" s="21">
        <v>6</v>
      </c>
      <c r="K246" s="21">
        <v>8.51</v>
      </c>
      <c r="M246" s="25">
        <v>6.5</v>
      </c>
      <c r="N246" s="25"/>
      <c r="O246" s="25">
        <v>3.87</v>
      </c>
      <c r="P246" s="25">
        <v>6.5</v>
      </c>
      <c r="Q246" s="21">
        <v>4.25</v>
      </c>
      <c r="R246" s="21">
        <v>6.25</v>
      </c>
      <c r="S246" s="21">
        <v>18.899999999999999</v>
      </c>
      <c r="T246" s="21">
        <v>6.75</v>
      </c>
      <c r="U246" s="21">
        <v>12.6</v>
      </c>
      <c r="V246" s="21">
        <v>7.37</v>
      </c>
      <c r="X246" s="25"/>
      <c r="Y246" s="21">
        <v>8.3000000000000007</v>
      </c>
      <c r="Z246" s="21">
        <v>4</v>
      </c>
      <c r="AA246" s="21">
        <v>10</v>
      </c>
      <c r="AB246" s="25">
        <v>6.5</v>
      </c>
      <c r="AC246" s="25">
        <v>6.5</v>
      </c>
      <c r="AD246" s="25">
        <v>6.5</v>
      </c>
      <c r="AF246" s="21">
        <v>6.75</v>
      </c>
      <c r="AH246" s="21">
        <v>9.8800000000000008</v>
      </c>
    </row>
    <row r="247" spans="1:34">
      <c r="A247" s="5" t="s">
        <v>278</v>
      </c>
      <c r="B247" s="25">
        <v>6.5</v>
      </c>
      <c r="C247" s="21">
        <v>7.18</v>
      </c>
      <c r="D247" s="21">
        <v>5.25</v>
      </c>
      <c r="E247" s="21">
        <v>12</v>
      </c>
      <c r="F247" s="18">
        <v>18</v>
      </c>
      <c r="G247" s="21">
        <v>5.25</v>
      </c>
      <c r="H247" s="21">
        <v>16.5</v>
      </c>
      <c r="I247" s="21">
        <v>5</v>
      </c>
      <c r="J247" s="21">
        <v>6</v>
      </c>
      <c r="K247" s="21">
        <v>8.51</v>
      </c>
      <c r="M247" s="25">
        <v>6.5</v>
      </c>
      <c r="N247" s="25"/>
      <c r="O247" s="25">
        <v>4.4800000000000004</v>
      </c>
      <c r="P247" s="25">
        <v>6.5</v>
      </c>
      <c r="Q247" s="21">
        <v>4.25</v>
      </c>
      <c r="R247" s="21">
        <v>6.25</v>
      </c>
      <c r="S247" s="21">
        <v>18.899999999999999</v>
      </c>
      <c r="T247" s="21">
        <v>6.5</v>
      </c>
      <c r="U247" s="21">
        <v>12.6</v>
      </c>
      <c r="V247" s="21">
        <v>7.17</v>
      </c>
      <c r="X247" s="25"/>
      <c r="Y247" s="21">
        <v>10</v>
      </c>
      <c r="Z247" s="21">
        <v>4.25</v>
      </c>
      <c r="AA247" s="21">
        <v>10</v>
      </c>
      <c r="AB247" s="25">
        <v>6.5</v>
      </c>
      <c r="AC247" s="25">
        <v>6.5</v>
      </c>
      <c r="AD247" s="25">
        <v>6.5</v>
      </c>
      <c r="AF247" s="21">
        <v>6.75</v>
      </c>
      <c r="AH247" s="21">
        <v>9.9</v>
      </c>
    </row>
    <row r="248" spans="1:34">
      <c r="A248" s="5" t="s">
        <v>279</v>
      </c>
      <c r="B248" s="25">
        <v>6.5</v>
      </c>
      <c r="C248" s="21">
        <v>7.08</v>
      </c>
      <c r="D248" s="21">
        <v>5.25</v>
      </c>
      <c r="E248" s="21">
        <v>12</v>
      </c>
      <c r="F248" s="18">
        <v>18</v>
      </c>
      <c r="G248" s="21">
        <v>5.25</v>
      </c>
      <c r="H248" s="21">
        <v>15.75</v>
      </c>
      <c r="I248" s="21">
        <v>5</v>
      </c>
      <c r="J248" s="21">
        <v>6.25</v>
      </c>
      <c r="K248" s="21">
        <v>8.51</v>
      </c>
      <c r="M248" s="25">
        <v>6.5</v>
      </c>
      <c r="N248" s="25"/>
      <c r="O248" s="25">
        <v>4.72</v>
      </c>
      <c r="P248" s="25">
        <v>6.5</v>
      </c>
      <c r="Q248" s="21">
        <v>4.5</v>
      </c>
      <c r="R248" s="21">
        <v>6.25</v>
      </c>
      <c r="S248" s="21">
        <v>18.899999999999999</v>
      </c>
      <c r="T248" s="21">
        <v>6.5</v>
      </c>
      <c r="U248" s="21">
        <v>12.45</v>
      </c>
      <c r="V248" s="21">
        <v>7.02</v>
      </c>
      <c r="X248" s="25"/>
      <c r="Y248" s="21">
        <v>10.3</v>
      </c>
      <c r="Z248" s="21">
        <v>4.5</v>
      </c>
      <c r="AA248" s="21">
        <v>10</v>
      </c>
      <c r="AB248" s="25">
        <v>6.5</v>
      </c>
      <c r="AC248" s="25">
        <v>6.5</v>
      </c>
      <c r="AD248" s="25">
        <v>6.5</v>
      </c>
      <c r="AF248" s="21">
        <v>7</v>
      </c>
      <c r="AH248" s="21">
        <v>9.92</v>
      </c>
    </row>
    <row r="249" spans="1:34">
      <c r="A249" s="5" t="s">
        <v>280</v>
      </c>
      <c r="B249" s="25">
        <v>6.5</v>
      </c>
      <c r="C249" s="21">
        <v>7.3</v>
      </c>
      <c r="D249" s="21">
        <v>5.25</v>
      </c>
      <c r="E249" s="21">
        <v>12</v>
      </c>
      <c r="F249" s="18">
        <v>18</v>
      </c>
      <c r="G249" s="21">
        <v>5.25</v>
      </c>
      <c r="H249" s="21">
        <v>15.25</v>
      </c>
      <c r="I249" s="21">
        <v>5</v>
      </c>
      <c r="J249" s="21">
        <v>6.5</v>
      </c>
      <c r="K249" s="21">
        <v>8.51</v>
      </c>
      <c r="M249" s="25">
        <v>6.5</v>
      </c>
      <c r="N249" s="25"/>
      <c r="O249" s="25">
        <v>4.62</v>
      </c>
      <c r="P249" s="25">
        <v>6.5</v>
      </c>
      <c r="Q249" s="21">
        <v>4.75</v>
      </c>
      <c r="R249" s="21">
        <v>6.25</v>
      </c>
      <c r="S249" s="21">
        <v>17.8</v>
      </c>
      <c r="T249" s="21">
        <v>6.5</v>
      </c>
      <c r="U249" s="21">
        <v>12.45</v>
      </c>
      <c r="V249" s="21">
        <v>7.02</v>
      </c>
      <c r="X249" s="25"/>
      <c r="Y249" s="21">
        <v>10.3</v>
      </c>
      <c r="Z249" s="21">
        <v>4.5</v>
      </c>
      <c r="AA249" s="21">
        <v>10</v>
      </c>
      <c r="AB249" s="25">
        <v>6.5</v>
      </c>
      <c r="AC249" s="25">
        <v>6.5</v>
      </c>
      <c r="AD249" s="25">
        <v>6.5</v>
      </c>
      <c r="AF249" s="21">
        <v>7.25</v>
      </c>
      <c r="AH249" s="21">
        <v>9.92</v>
      </c>
    </row>
    <row r="250" spans="1:34">
      <c r="A250" s="5" t="s">
        <v>281</v>
      </c>
      <c r="B250" s="25">
        <v>6.5</v>
      </c>
      <c r="C250" s="21">
        <v>7.2</v>
      </c>
      <c r="D250" s="21">
        <v>5.25</v>
      </c>
      <c r="E250" s="21">
        <v>12</v>
      </c>
      <c r="F250" s="18">
        <v>18</v>
      </c>
      <c r="G250" s="21">
        <v>5.25</v>
      </c>
      <c r="H250" s="21">
        <v>15.25</v>
      </c>
      <c r="I250" s="21">
        <v>5.25</v>
      </c>
      <c r="J250" s="21">
        <v>6.5</v>
      </c>
      <c r="K250" s="21">
        <v>8.51</v>
      </c>
      <c r="M250" s="25">
        <v>6.5</v>
      </c>
      <c r="N250" s="25"/>
      <c r="O250" s="25">
        <v>4.71</v>
      </c>
      <c r="P250" s="25">
        <v>6.5</v>
      </c>
      <c r="Q250" s="21">
        <v>4.75</v>
      </c>
      <c r="R250" s="21">
        <v>6.25</v>
      </c>
      <c r="S250" s="21">
        <v>17.8</v>
      </c>
      <c r="T250" s="21">
        <v>6.5</v>
      </c>
      <c r="U250" s="21">
        <v>12.45</v>
      </c>
      <c r="V250" s="21">
        <v>7.03</v>
      </c>
      <c r="X250" s="25"/>
      <c r="Y250" s="21">
        <v>10.3</v>
      </c>
      <c r="Z250" s="21">
        <v>4.5</v>
      </c>
      <c r="AA250" s="21">
        <v>10</v>
      </c>
      <c r="AB250" s="25">
        <v>6.5</v>
      </c>
      <c r="AC250" s="25">
        <v>6.5</v>
      </c>
      <c r="AD250" s="25">
        <v>6.5</v>
      </c>
      <c r="AF250" s="21">
        <v>7.5</v>
      </c>
      <c r="AH250" s="21">
        <v>9.8800000000000008</v>
      </c>
    </row>
    <row r="251" spans="1:34">
      <c r="A251" s="5" t="s">
        <v>282</v>
      </c>
      <c r="B251" s="25">
        <v>6.5</v>
      </c>
      <c r="C251" s="28">
        <v>7.2</v>
      </c>
      <c r="D251" s="21">
        <v>5.25</v>
      </c>
      <c r="E251" s="21">
        <v>12</v>
      </c>
      <c r="F251" s="18">
        <v>18</v>
      </c>
      <c r="G251" s="21">
        <v>5.25</v>
      </c>
      <c r="H251" s="21">
        <v>14.75</v>
      </c>
      <c r="I251" s="21">
        <v>5.25</v>
      </c>
      <c r="J251" s="21">
        <v>6.75</v>
      </c>
      <c r="K251" s="21">
        <v>8.74</v>
      </c>
      <c r="M251" s="25">
        <v>6.5</v>
      </c>
      <c r="N251" s="25"/>
      <c r="O251" s="25">
        <v>4.28</v>
      </c>
      <c r="P251" s="25">
        <v>6.5</v>
      </c>
      <c r="Q251" s="21">
        <v>5</v>
      </c>
      <c r="R251" s="21">
        <v>6.5</v>
      </c>
      <c r="S251" s="21">
        <v>17.8</v>
      </c>
      <c r="T251" s="21">
        <v>6.5</v>
      </c>
      <c r="U251" s="21">
        <v>12.45</v>
      </c>
      <c r="V251" s="21">
        <v>7.03</v>
      </c>
      <c r="X251" s="25"/>
      <c r="Y251" s="21">
        <v>10.5</v>
      </c>
      <c r="Z251" s="21">
        <v>4.5</v>
      </c>
      <c r="AA251" s="21">
        <v>8</v>
      </c>
      <c r="AB251" s="25">
        <v>6.5</v>
      </c>
      <c r="AC251" s="25">
        <v>6.5</v>
      </c>
      <c r="AD251" s="25">
        <v>6.5</v>
      </c>
      <c r="AF251" s="21">
        <v>7.75</v>
      </c>
      <c r="AH251" s="21">
        <v>9.9</v>
      </c>
    </row>
    <row r="252" spans="1:34">
      <c r="A252" s="5" t="s">
        <v>283</v>
      </c>
      <c r="B252" s="25">
        <v>6.5</v>
      </c>
      <c r="C252" s="28">
        <v>7.2</v>
      </c>
      <c r="D252" s="21">
        <v>5.25</v>
      </c>
      <c r="E252" s="21">
        <v>12</v>
      </c>
      <c r="F252" s="18">
        <v>18</v>
      </c>
      <c r="G252" s="21">
        <v>5.25</v>
      </c>
      <c r="H252" s="21">
        <v>14.25</v>
      </c>
      <c r="I252" s="21">
        <v>5.25</v>
      </c>
      <c r="J252" s="21">
        <v>6.75</v>
      </c>
      <c r="K252" s="21">
        <v>9.1999999999999993</v>
      </c>
      <c r="M252" s="25">
        <v>6.5</v>
      </c>
      <c r="N252" s="25"/>
      <c r="O252" s="25">
        <v>4.8499999999999996</v>
      </c>
      <c r="P252" s="25">
        <v>6.5</v>
      </c>
      <c r="Q252" s="21">
        <v>5</v>
      </c>
      <c r="R252" s="21">
        <v>6.5</v>
      </c>
      <c r="S252" s="21">
        <v>17.8</v>
      </c>
      <c r="T252" s="21">
        <v>6</v>
      </c>
      <c r="U252" s="21">
        <v>11.95</v>
      </c>
      <c r="V252" s="21">
        <v>7.06</v>
      </c>
      <c r="X252" s="25"/>
      <c r="Y252" s="21">
        <v>10.5</v>
      </c>
      <c r="Z252" s="21">
        <v>4.5</v>
      </c>
      <c r="AA252" s="21">
        <v>8</v>
      </c>
      <c r="AB252" s="25">
        <v>6.5</v>
      </c>
      <c r="AC252" s="25">
        <v>6.5</v>
      </c>
      <c r="AD252" s="25">
        <v>6.5</v>
      </c>
      <c r="AF252" s="21">
        <v>8</v>
      </c>
      <c r="AH252" s="21">
        <v>9.1907916729466077</v>
      </c>
    </row>
    <row r="253" spans="1:34">
      <c r="A253" s="5" t="s">
        <v>284</v>
      </c>
      <c r="B253" s="25">
        <v>6.5</v>
      </c>
      <c r="C253" s="28">
        <v>7.2</v>
      </c>
      <c r="D253" s="21">
        <v>5.25</v>
      </c>
      <c r="E253" s="21">
        <v>12</v>
      </c>
      <c r="F253" s="18">
        <v>18</v>
      </c>
      <c r="G253" s="21">
        <v>5.25</v>
      </c>
      <c r="H253" s="21">
        <v>14.25</v>
      </c>
      <c r="I253" s="21">
        <v>5.25</v>
      </c>
      <c r="J253" s="21">
        <v>7.25</v>
      </c>
      <c r="K253" s="21">
        <v>9.1999999999999993</v>
      </c>
      <c r="M253" s="25">
        <v>6.5</v>
      </c>
      <c r="N253" s="25"/>
      <c r="O253" s="25">
        <v>4.82</v>
      </c>
      <c r="P253" s="25">
        <v>6.5</v>
      </c>
      <c r="Q253" s="21">
        <v>5</v>
      </c>
      <c r="R253" s="21">
        <v>6.75</v>
      </c>
      <c r="S253" s="21">
        <v>17.8</v>
      </c>
      <c r="T253" s="21">
        <v>6</v>
      </c>
      <c r="U253" s="21">
        <v>11.95</v>
      </c>
      <c r="V253" s="21">
        <v>7.05</v>
      </c>
      <c r="X253" s="25"/>
      <c r="Y253" s="21">
        <v>10.5</v>
      </c>
      <c r="Z253" s="21">
        <v>4.5</v>
      </c>
      <c r="AA253" s="21">
        <v>8</v>
      </c>
      <c r="AB253" s="25">
        <v>6.5</v>
      </c>
      <c r="AC253" s="25">
        <v>6.5</v>
      </c>
      <c r="AD253" s="25">
        <v>6.5</v>
      </c>
      <c r="AF253" s="21">
        <v>8</v>
      </c>
      <c r="AH253" s="21">
        <v>9.35</v>
      </c>
    </row>
    <row r="254" spans="1:34">
      <c r="A254" s="5" t="s">
        <v>285</v>
      </c>
      <c r="B254" s="25">
        <v>6.5</v>
      </c>
      <c r="C254" s="29">
        <v>7.2</v>
      </c>
      <c r="D254" s="25">
        <v>5.25</v>
      </c>
      <c r="E254" s="25">
        <v>12</v>
      </c>
      <c r="F254" s="20">
        <v>18</v>
      </c>
      <c r="G254" s="25">
        <v>5.25</v>
      </c>
      <c r="H254" s="25">
        <v>13.75</v>
      </c>
      <c r="I254" s="25">
        <v>5.25</v>
      </c>
      <c r="J254" s="25">
        <v>7.25</v>
      </c>
      <c r="K254" s="25">
        <v>9.1999999999999993</v>
      </c>
      <c r="L254" s="26"/>
      <c r="M254" s="25">
        <v>6.5</v>
      </c>
      <c r="N254" s="25"/>
      <c r="O254" s="25">
        <v>4.5999999999999996</v>
      </c>
      <c r="P254" s="25">
        <v>6.5</v>
      </c>
      <c r="Q254" s="25">
        <v>5</v>
      </c>
      <c r="R254" s="25">
        <v>6.75</v>
      </c>
      <c r="S254" s="25">
        <v>17.8</v>
      </c>
      <c r="T254" s="25">
        <v>6</v>
      </c>
      <c r="U254" s="25">
        <v>11.95</v>
      </c>
      <c r="V254" s="25">
        <v>7.0419999999999998</v>
      </c>
      <c r="W254" s="26"/>
      <c r="X254" s="25"/>
      <c r="Y254" s="21">
        <v>10.5</v>
      </c>
      <c r="Z254" s="21">
        <v>4.5</v>
      </c>
      <c r="AA254" s="21">
        <v>8</v>
      </c>
      <c r="AB254" s="25">
        <v>6.5</v>
      </c>
      <c r="AC254" s="25">
        <v>6.5</v>
      </c>
      <c r="AD254" s="25">
        <v>6.5</v>
      </c>
      <c r="AF254" s="21">
        <v>8</v>
      </c>
      <c r="AH254" s="21">
        <v>9.33</v>
      </c>
    </row>
    <row r="255" spans="1:34">
      <c r="A255" s="23" t="s">
        <v>286</v>
      </c>
      <c r="B255" s="12">
        <v>6.5</v>
      </c>
      <c r="C255" s="12">
        <v>8</v>
      </c>
      <c r="D255" s="12">
        <v>5.25</v>
      </c>
      <c r="E255" s="12">
        <v>12</v>
      </c>
      <c r="F255" s="19">
        <v>18</v>
      </c>
      <c r="G255" s="12">
        <v>5.25</v>
      </c>
      <c r="H255" s="12">
        <v>13.25</v>
      </c>
      <c r="I255" s="12">
        <v>5.25</v>
      </c>
      <c r="J255" s="12">
        <v>7.5</v>
      </c>
      <c r="K255" s="12">
        <v>8.9700000000000006</v>
      </c>
      <c r="L255" s="13"/>
      <c r="M255" s="12">
        <v>6.5</v>
      </c>
      <c r="N255" s="12"/>
      <c r="O255" s="12">
        <v>4.92</v>
      </c>
      <c r="P255" s="12">
        <v>6.5</v>
      </c>
      <c r="Q255" s="12">
        <v>5</v>
      </c>
      <c r="R255" s="12">
        <v>6.75</v>
      </c>
      <c r="S255" s="12">
        <v>16.7</v>
      </c>
      <c r="T255" s="12">
        <v>6</v>
      </c>
      <c r="U255" s="12">
        <v>11.65</v>
      </c>
      <c r="V255" s="12">
        <v>7.0350000000000001</v>
      </c>
      <c r="W255" s="13"/>
      <c r="X255" s="12"/>
      <c r="Y255" s="12">
        <v>10.5</v>
      </c>
      <c r="Z255" s="12">
        <v>4.5</v>
      </c>
      <c r="AA255" s="12">
        <v>8</v>
      </c>
      <c r="AB255" s="12">
        <v>6.5</v>
      </c>
      <c r="AC255" s="12">
        <v>6.5</v>
      </c>
      <c r="AD255" s="12">
        <v>6.5</v>
      </c>
      <c r="AE255" s="13"/>
      <c r="AF255" s="12">
        <v>8</v>
      </c>
      <c r="AG255" s="12"/>
      <c r="AH255" s="12">
        <v>9.2799999999999994</v>
      </c>
    </row>
    <row r="256" spans="1:34">
      <c r="A256" s="5" t="s">
        <v>287</v>
      </c>
      <c r="B256" s="25">
        <v>6.5</v>
      </c>
      <c r="C256" s="21">
        <v>7.9</v>
      </c>
      <c r="D256" s="21">
        <v>5.25</v>
      </c>
      <c r="E256" s="21">
        <v>12</v>
      </c>
      <c r="F256" s="18">
        <v>18</v>
      </c>
      <c r="G256" s="21">
        <v>5.25</v>
      </c>
      <c r="H256" s="21">
        <v>13</v>
      </c>
      <c r="I256" s="21">
        <v>5</v>
      </c>
      <c r="J256" s="21">
        <v>7.75</v>
      </c>
      <c r="K256" s="21">
        <v>8.9700000000000006</v>
      </c>
      <c r="M256" s="25">
        <v>6.5</v>
      </c>
      <c r="N256" s="25"/>
      <c r="O256" s="25">
        <v>4.4800000000000004</v>
      </c>
      <c r="P256" s="25">
        <v>6.5</v>
      </c>
      <c r="Q256" s="21">
        <v>5</v>
      </c>
      <c r="R256" s="21">
        <v>6.75</v>
      </c>
      <c r="S256" s="21">
        <v>16.7</v>
      </c>
      <c r="T256" s="21">
        <v>6</v>
      </c>
      <c r="U256" s="21">
        <v>11.65</v>
      </c>
      <c r="V256" s="21">
        <v>7.04</v>
      </c>
      <c r="W256" s="22">
        <v>9.5009999999999994</v>
      </c>
      <c r="X256" s="25"/>
      <c r="Y256" s="21">
        <v>10.908899999999999</v>
      </c>
      <c r="Z256" s="21">
        <v>4.5</v>
      </c>
      <c r="AA256" s="21">
        <v>8</v>
      </c>
      <c r="AB256" s="25">
        <v>6.5</v>
      </c>
      <c r="AC256" s="25">
        <v>6.5</v>
      </c>
      <c r="AD256" s="25">
        <v>6.5</v>
      </c>
      <c r="AF256" s="21">
        <v>8</v>
      </c>
      <c r="AH256" s="21">
        <v>9.1300000000000008</v>
      </c>
    </row>
    <row r="257" spans="1:34">
      <c r="A257" s="5" t="s">
        <v>288</v>
      </c>
      <c r="B257" s="25">
        <v>6.5</v>
      </c>
      <c r="C257" s="21">
        <v>7.89</v>
      </c>
      <c r="D257" s="21">
        <v>5.25</v>
      </c>
      <c r="E257" s="21">
        <v>12</v>
      </c>
      <c r="F257" s="18">
        <v>18</v>
      </c>
      <c r="G257" s="21">
        <v>5.25</v>
      </c>
      <c r="H257" s="21">
        <v>13</v>
      </c>
      <c r="I257" s="21">
        <v>5</v>
      </c>
      <c r="J257" s="21">
        <v>8</v>
      </c>
      <c r="K257" s="21">
        <v>5.98</v>
      </c>
      <c r="M257" s="25">
        <v>6.5</v>
      </c>
      <c r="N257" s="25"/>
      <c r="O257" s="25">
        <v>4.32</v>
      </c>
      <c r="P257" s="25">
        <v>6.5</v>
      </c>
      <c r="Q257" s="21">
        <v>5</v>
      </c>
      <c r="R257" s="21">
        <v>6.5</v>
      </c>
      <c r="S257" s="21">
        <v>16.7</v>
      </c>
      <c r="T257" s="21">
        <v>6</v>
      </c>
      <c r="U257" s="21">
        <v>11.65</v>
      </c>
      <c r="V257" s="21">
        <v>7.04</v>
      </c>
      <c r="W257" s="22">
        <v>9.9252418133823301</v>
      </c>
      <c r="X257" s="25"/>
      <c r="Y257" s="21">
        <v>11.0176</v>
      </c>
      <c r="Z257" s="21">
        <v>4.5</v>
      </c>
      <c r="AA257" s="21">
        <v>8</v>
      </c>
      <c r="AB257" s="25">
        <v>6.5</v>
      </c>
      <c r="AC257" s="25">
        <v>6.5</v>
      </c>
      <c r="AD257" s="25">
        <v>6.5</v>
      </c>
      <c r="AF257" s="21">
        <v>8</v>
      </c>
      <c r="AH257" s="21">
        <v>9.2899999999999991</v>
      </c>
    </row>
    <row r="258" spans="1:34">
      <c r="A258" s="5" t="s">
        <v>289</v>
      </c>
      <c r="B258" s="25">
        <v>6.5</v>
      </c>
      <c r="C258" s="21">
        <v>7.92</v>
      </c>
      <c r="D258" s="21">
        <v>5.25</v>
      </c>
      <c r="E258" s="21">
        <v>12</v>
      </c>
      <c r="F258" s="18">
        <v>18</v>
      </c>
      <c r="G258" s="21">
        <v>5.25</v>
      </c>
      <c r="H258" s="21">
        <v>12.75</v>
      </c>
      <c r="I258" s="21">
        <v>5</v>
      </c>
      <c r="J258" s="21">
        <v>8.25</v>
      </c>
      <c r="K258" s="21">
        <v>5.98</v>
      </c>
      <c r="M258" s="25">
        <v>6.5</v>
      </c>
      <c r="N258" s="25"/>
      <c r="O258" s="25">
        <v>4.37</v>
      </c>
      <c r="P258" s="25">
        <v>6.5</v>
      </c>
      <c r="Q258" s="21">
        <v>5</v>
      </c>
      <c r="R258" s="21">
        <v>6.5</v>
      </c>
      <c r="S258" s="21">
        <v>15.366666666666667</v>
      </c>
      <c r="T258" s="21">
        <v>6</v>
      </c>
      <c r="U258" s="21">
        <v>11.65</v>
      </c>
      <c r="V258" s="21">
        <v>7.04</v>
      </c>
      <c r="W258" s="22">
        <v>9.4990000000000006</v>
      </c>
      <c r="X258" s="25"/>
      <c r="Y258" s="21">
        <v>8.0329999999999995</v>
      </c>
      <c r="Z258" s="21">
        <v>4.5</v>
      </c>
      <c r="AA258" s="21">
        <v>8</v>
      </c>
      <c r="AB258" s="25">
        <v>6.5</v>
      </c>
      <c r="AC258" s="25">
        <v>6.5</v>
      </c>
      <c r="AD258" s="25">
        <v>6.5</v>
      </c>
      <c r="AF258" s="21">
        <v>8</v>
      </c>
      <c r="AH258" s="21">
        <v>9.1300000000000008</v>
      </c>
    </row>
    <row r="259" spans="1:34">
      <c r="A259" s="5" t="s">
        <v>290</v>
      </c>
      <c r="B259" s="25">
        <v>6.5</v>
      </c>
      <c r="C259" s="21">
        <v>7.86</v>
      </c>
      <c r="D259" s="21">
        <v>5.25</v>
      </c>
      <c r="E259" s="21">
        <v>12</v>
      </c>
      <c r="F259" s="18">
        <v>18</v>
      </c>
      <c r="G259" s="21">
        <v>5.25</v>
      </c>
      <c r="H259" s="21">
        <v>12.5</v>
      </c>
      <c r="I259" s="21">
        <v>5</v>
      </c>
      <c r="J259" s="21">
        <v>8.25</v>
      </c>
      <c r="K259" s="21">
        <v>5.98</v>
      </c>
      <c r="M259" s="25">
        <v>6.5</v>
      </c>
      <c r="N259" s="25"/>
      <c r="O259" s="25">
        <v>4.59</v>
      </c>
      <c r="P259" s="25">
        <v>6.5</v>
      </c>
      <c r="Q259" s="21">
        <v>5.25</v>
      </c>
      <c r="R259" s="21">
        <v>6.5</v>
      </c>
      <c r="S259" s="21">
        <v>14.5</v>
      </c>
      <c r="T259" s="21">
        <v>6</v>
      </c>
      <c r="U259" s="21">
        <v>11.65</v>
      </c>
      <c r="V259" s="21">
        <v>7.01</v>
      </c>
      <c r="W259" s="22">
        <v>9.5009999999999994</v>
      </c>
      <c r="X259" s="25"/>
      <c r="Y259" s="21">
        <v>4.1067999999999998</v>
      </c>
      <c r="Z259" s="21">
        <v>4.5</v>
      </c>
      <c r="AA259" s="21">
        <v>7</v>
      </c>
      <c r="AB259" s="25">
        <v>6.5</v>
      </c>
      <c r="AC259" s="25">
        <v>6.5</v>
      </c>
      <c r="AD259" s="25">
        <v>6.5</v>
      </c>
      <c r="AF259" s="21">
        <v>8</v>
      </c>
      <c r="AH259" s="21">
        <v>9.5</v>
      </c>
    </row>
    <row r="260" spans="1:34">
      <c r="A260" s="5" t="s">
        <v>291</v>
      </c>
      <c r="B260" s="25">
        <v>6.5</v>
      </c>
      <c r="C260" s="21">
        <v>7.9</v>
      </c>
      <c r="D260" s="21">
        <v>5.25</v>
      </c>
      <c r="E260" s="21">
        <v>12</v>
      </c>
      <c r="F260" s="18">
        <v>18</v>
      </c>
      <c r="G260" s="21">
        <v>6</v>
      </c>
      <c r="H260" s="21">
        <v>12.5</v>
      </c>
      <c r="I260" s="21">
        <v>5</v>
      </c>
      <c r="J260" s="21">
        <v>8.75</v>
      </c>
      <c r="K260" s="21">
        <v>5.98</v>
      </c>
      <c r="M260" s="25">
        <v>6.5</v>
      </c>
      <c r="N260" s="25"/>
      <c r="O260" s="25">
        <v>4.57</v>
      </c>
      <c r="P260" s="25">
        <v>6.5</v>
      </c>
      <c r="Q260" s="21">
        <v>5.5</v>
      </c>
      <c r="R260" s="21">
        <v>6.5</v>
      </c>
      <c r="S260" s="21">
        <v>14.5</v>
      </c>
      <c r="T260" s="21">
        <v>6</v>
      </c>
      <c r="U260" s="21">
        <v>11.65</v>
      </c>
      <c r="V260" s="21">
        <v>7.24</v>
      </c>
      <c r="W260" s="22">
        <v>9.61437047152174</v>
      </c>
      <c r="X260" s="25"/>
      <c r="Y260" s="21">
        <v>4.1067999999999998</v>
      </c>
      <c r="Z260" s="21">
        <v>4.5</v>
      </c>
      <c r="AA260" s="21">
        <v>7</v>
      </c>
      <c r="AB260" s="25">
        <v>6.5</v>
      </c>
      <c r="AC260" s="25">
        <v>6.5</v>
      </c>
      <c r="AD260" s="25">
        <v>6.5</v>
      </c>
      <c r="AF260" s="21">
        <v>8</v>
      </c>
      <c r="AH260" s="21">
        <v>9.4700000000000006</v>
      </c>
    </row>
    <row r="261" spans="1:34">
      <c r="A261" s="5" t="s">
        <v>292</v>
      </c>
      <c r="B261" s="25">
        <v>6.5</v>
      </c>
      <c r="C261" s="21">
        <v>7.82</v>
      </c>
      <c r="D261" s="21">
        <v>5.25</v>
      </c>
      <c r="E261" s="21">
        <v>12</v>
      </c>
      <c r="F261" s="18">
        <v>18</v>
      </c>
      <c r="G261" s="21">
        <v>6</v>
      </c>
      <c r="H261" s="21">
        <v>12</v>
      </c>
      <c r="I261" s="21">
        <v>5</v>
      </c>
      <c r="J261" s="21">
        <v>9</v>
      </c>
      <c r="K261" s="21">
        <v>5.98</v>
      </c>
      <c r="M261" s="25">
        <v>6.5</v>
      </c>
      <c r="N261" s="25"/>
      <c r="O261" s="25">
        <v>4.33</v>
      </c>
      <c r="P261" s="25">
        <v>6.5</v>
      </c>
      <c r="Q261" s="21">
        <v>5.5</v>
      </c>
      <c r="R261" s="21">
        <v>6.5</v>
      </c>
      <c r="S261" s="21">
        <v>13.75</v>
      </c>
      <c r="T261" s="21">
        <v>6</v>
      </c>
      <c r="U261" s="21">
        <v>11.65</v>
      </c>
      <c r="V261" s="21">
        <v>7.2</v>
      </c>
      <c r="W261" s="22">
        <v>9.1267417017418602</v>
      </c>
      <c r="X261" s="25"/>
      <c r="Y261" s="21">
        <v>4.1341999999999999</v>
      </c>
      <c r="Z261" s="21">
        <v>4.5</v>
      </c>
      <c r="AA261" s="21">
        <v>7</v>
      </c>
      <c r="AB261" s="25">
        <v>6.5</v>
      </c>
      <c r="AC261" s="25">
        <v>6.5</v>
      </c>
      <c r="AD261" s="25">
        <v>6.5</v>
      </c>
      <c r="AF261" s="21">
        <v>8</v>
      </c>
      <c r="AH261" s="21">
        <v>9.56</v>
      </c>
    </row>
    <row r="262" spans="1:34">
      <c r="A262" s="5" t="s">
        <v>293</v>
      </c>
      <c r="B262" s="25">
        <v>6.5</v>
      </c>
      <c r="C262" s="21">
        <v>7.93</v>
      </c>
      <c r="D262" s="21">
        <v>5.25</v>
      </c>
      <c r="E262" s="21">
        <v>12</v>
      </c>
      <c r="F262" s="18">
        <v>18</v>
      </c>
      <c r="G262" s="21">
        <v>6.5</v>
      </c>
      <c r="H262" s="21">
        <v>12</v>
      </c>
      <c r="I262" s="21">
        <v>5.25</v>
      </c>
      <c r="J262" s="21">
        <v>9.25</v>
      </c>
      <c r="K262" s="21">
        <v>5.98</v>
      </c>
      <c r="M262" s="25">
        <v>6.5</v>
      </c>
      <c r="N262" s="25"/>
      <c r="O262" s="25">
        <v>4.21</v>
      </c>
      <c r="P262" s="25">
        <v>6.5</v>
      </c>
      <c r="Q262" s="21">
        <v>5.5</v>
      </c>
      <c r="R262" s="21">
        <v>6.5</v>
      </c>
      <c r="S262" s="21">
        <v>11.525</v>
      </c>
      <c r="T262" s="21">
        <v>6</v>
      </c>
      <c r="U262" s="21">
        <v>11.65</v>
      </c>
      <c r="V262" s="21">
        <v>7.19</v>
      </c>
      <c r="W262" s="22">
        <v>8.9407132101053506</v>
      </c>
      <c r="X262" s="25"/>
      <c r="Y262" s="21">
        <v>4.7455999999999996</v>
      </c>
      <c r="Z262" s="21">
        <v>4.75</v>
      </c>
      <c r="AA262" s="21">
        <v>7</v>
      </c>
      <c r="AB262" s="25">
        <v>6.5</v>
      </c>
      <c r="AC262" s="25">
        <v>6.5</v>
      </c>
      <c r="AD262" s="25">
        <v>6.5</v>
      </c>
      <c r="AF262" s="21">
        <v>8</v>
      </c>
      <c r="AH262" s="21">
        <v>10.02</v>
      </c>
    </row>
    <row r="263" spans="1:34">
      <c r="A263" s="5" t="s">
        <v>294</v>
      </c>
      <c r="B263" s="25">
        <v>6.5</v>
      </c>
      <c r="C263" s="21">
        <v>10.55</v>
      </c>
      <c r="D263" s="21">
        <v>5.25</v>
      </c>
      <c r="E263" s="21">
        <v>12</v>
      </c>
      <c r="F263" s="18">
        <v>18</v>
      </c>
      <c r="G263" s="21">
        <v>6.5</v>
      </c>
      <c r="H263" s="21">
        <v>11.5</v>
      </c>
      <c r="I263" s="21">
        <v>5.5</v>
      </c>
      <c r="J263" s="21">
        <v>9.25</v>
      </c>
      <c r="K263" s="21">
        <v>5.52</v>
      </c>
      <c r="M263" s="25">
        <v>6.5</v>
      </c>
      <c r="N263" s="25"/>
      <c r="O263" s="25">
        <v>4.32</v>
      </c>
      <c r="P263" s="25">
        <v>6.5</v>
      </c>
      <c r="Q263" s="21">
        <v>5.5</v>
      </c>
      <c r="R263" s="21">
        <v>6.5</v>
      </c>
      <c r="S263" s="21">
        <v>9.32</v>
      </c>
      <c r="T263" s="21">
        <v>6</v>
      </c>
      <c r="U263" s="21">
        <v>11.65</v>
      </c>
      <c r="V263" s="21">
        <v>7.2</v>
      </c>
      <c r="W263" s="22">
        <v>8.7714136445804591</v>
      </c>
      <c r="X263" s="25"/>
      <c r="Y263" s="21">
        <v>4.9329000000000001</v>
      </c>
      <c r="Z263" s="21">
        <v>4.75</v>
      </c>
      <c r="AA263" s="21">
        <v>7</v>
      </c>
      <c r="AB263" s="25">
        <v>6.5</v>
      </c>
      <c r="AC263" s="25">
        <v>6.5</v>
      </c>
      <c r="AD263" s="25">
        <v>6.5</v>
      </c>
      <c r="AF263" s="21">
        <v>8</v>
      </c>
      <c r="AH263" s="21">
        <v>10.17</v>
      </c>
    </row>
    <row r="264" spans="1:34">
      <c r="A264" s="5" t="s">
        <v>295</v>
      </c>
      <c r="B264" s="25">
        <v>6.5</v>
      </c>
      <c r="C264" s="25">
        <v>10.66</v>
      </c>
      <c r="D264" s="25">
        <v>5.25</v>
      </c>
      <c r="E264" s="25">
        <v>12</v>
      </c>
      <c r="F264" s="20">
        <v>18</v>
      </c>
      <c r="G264" s="25">
        <v>6.5</v>
      </c>
      <c r="H264" s="25">
        <v>11.25</v>
      </c>
      <c r="I264" s="25">
        <v>5.75</v>
      </c>
      <c r="J264" s="25">
        <v>9.25</v>
      </c>
      <c r="K264" s="25">
        <v>5.52</v>
      </c>
      <c r="L264" s="26"/>
      <c r="M264" s="25">
        <v>6.5</v>
      </c>
      <c r="N264" s="25"/>
      <c r="O264" s="25">
        <v>5.01</v>
      </c>
      <c r="P264" s="25">
        <v>6.5</v>
      </c>
      <c r="Q264" s="25">
        <v>5.5</v>
      </c>
      <c r="R264" s="25">
        <v>6.5</v>
      </c>
      <c r="S264" s="25">
        <v>8.85</v>
      </c>
      <c r="T264" s="25">
        <v>6.25</v>
      </c>
      <c r="U264" s="21">
        <v>11.65</v>
      </c>
      <c r="V264" s="21">
        <v>7.21</v>
      </c>
      <c r="X264" s="25"/>
      <c r="Y264" s="21">
        <v>4.6460999999999997</v>
      </c>
      <c r="Z264" s="21">
        <v>5</v>
      </c>
      <c r="AA264" s="21">
        <v>7</v>
      </c>
      <c r="AB264" s="25">
        <v>6.5</v>
      </c>
      <c r="AC264" s="25">
        <v>6.5</v>
      </c>
      <c r="AD264" s="25">
        <v>6.5</v>
      </c>
      <c r="AF264" s="21">
        <v>8</v>
      </c>
      <c r="AG264" s="21" t="s">
        <v>296</v>
      </c>
      <c r="AH264" s="21">
        <v>10.34</v>
      </c>
    </row>
    <row r="265" spans="1:34">
      <c r="A265" s="5" t="s">
        <v>297</v>
      </c>
      <c r="B265" s="25">
        <v>6.5</v>
      </c>
      <c r="C265" s="25">
        <v>10.7</v>
      </c>
      <c r="D265" s="25">
        <v>5.25</v>
      </c>
      <c r="E265" s="25">
        <v>12</v>
      </c>
      <c r="F265" s="20">
        <v>18</v>
      </c>
      <c r="G265" s="25">
        <v>6.5</v>
      </c>
      <c r="H265" s="25">
        <v>11.25</v>
      </c>
      <c r="I265" s="25">
        <v>5.75</v>
      </c>
      <c r="J265" s="25">
        <v>9.25</v>
      </c>
      <c r="K265" s="25">
        <v>5.52</v>
      </c>
      <c r="L265" s="26"/>
      <c r="M265" s="25">
        <v>6.5</v>
      </c>
      <c r="N265" s="25"/>
      <c r="O265" s="25">
        <v>5.0999999999999996</v>
      </c>
      <c r="P265" s="25">
        <v>6.5</v>
      </c>
      <c r="Q265" s="25">
        <v>5.75</v>
      </c>
      <c r="R265" s="25">
        <v>6.5</v>
      </c>
      <c r="S265" s="25">
        <v>8.0599999999999987</v>
      </c>
      <c r="T265" s="25">
        <v>6.75</v>
      </c>
      <c r="U265" s="21">
        <v>11.65</v>
      </c>
      <c r="V265" s="21">
        <v>7.2</v>
      </c>
      <c r="W265" s="22">
        <v>6.3271477428053204</v>
      </c>
      <c r="X265" s="25"/>
      <c r="Y265" s="21">
        <v>5.0612000000000004</v>
      </c>
      <c r="Z265" s="21">
        <v>5</v>
      </c>
      <c r="AA265" s="21">
        <v>7</v>
      </c>
      <c r="AB265" s="25">
        <v>6.5</v>
      </c>
      <c r="AC265" s="25">
        <v>6.5</v>
      </c>
      <c r="AD265" s="25">
        <v>6.5</v>
      </c>
      <c r="AF265" s="21">
        <v>8</v>
      </c>
      <c r="AG265" s="21" t="s">
        <v>298</v>
      </c>
      <c r="AH265" s="21">
        <v>9.99</v>
      </c>
    </row>
    <row r="266" spans="1:34">
      <c r="A266" s="5" t="s">
        <v>299</v>
      </c>
      <c r="B266" s="25">
        <v>6.5</v>
      </c>
      <c r="C266" s="25">
        <v>10.76</v>
      </c>
      <c r="D266" s="25">
        <v>5.25</v>
      </c>
      <c r="E266" s="25">
        <v>12</v>
      </c>
      <c r="F266" s="20">
        <v>18</v>
      </c>
      <c r="G266" s="25">
        <v>6.5</v>
      </c>
      <c r="H266" s="25">
        <v>11.25</v>
      </c>
      <c r="I266" s="25">
        <v>5.75</v>
      </c>
      <c r="J266" s="25">
        <v>9.5</v>
      </c>
      <c r="K266" s="25">
        <v>5.52</v>
      </c>
      <c r="L266" s="26"/>
      <c r="M266" s="25">
        <v>6.5</v>
      </c>
      <c r="N266" s="25"/>
      <c r="O266" s="25">
        <v>4.71</v>
      </c>
      <c r="P266" s="25">
        <v>6.5</v>
      </c>
      <c r="Q266" s="25">
        <v>6</v>
      </c>
      <c r="R266" s="25">
        <v>6.5</v>
      </c>
      <c r="S266" s="25">
        <v>5.8250000000000002</v>
      </c>
      <c r="T266" s="25">
        <v>7</v>
      </c>
      <c r="U266" s="21">
        <v>11.65</v>
      </c>
      <c r="V266" s="21">
        <v>7.44</v>
      </c>
      <c r="W266" s="22">
        <v>4.95791664576178</v>
      </c>
      <c r="X266" s="25"/>
      <c r="Y266" s="21">
        <v>4.9858000000000002</v>
      </c>
      <c r="Z266" s="21">
        <v>5</v>
      </c>
      <c r="AA266" s="21">
        <v>7</v>
      </c>
      <c r="AB266" s="25">
        <v>6.5</v>
      </c>
      <c r="AC266" s="25">
        <v>6.5</v>
      </c>
      <c r="AD266" s="25">
        <v>6.5</v>
      </c>
      <c r="AF266" s="21">
        <v>8</v>
      </c>
      <c r="AG266" s="21" t="s">
        <v>300</v>
      </c>
      <c r="AH266" s="21">
        <v>10.039999999999999</v>
      </c>
    </row>
    <row r="267" spans="1:34">
      <c r="A267" s="17" t="s">
        <v>301</v>
      </c>
      <c r="B267" s="12">
        <v>6.5</v>
      </c>
      <c r="C267" s="30">
        <v>10.75</v>
      </c>
      <c r="D267" s="12">
        <v>5.25</v>
      </c>
      <c r="E267" s="12">
        <v>12</v>
      </c>
      <c r="F267" s="19">
        <v>18</v>
      </c>
      <c r="G267" s="12">
        <v>6.5</v>
      </c>
      <c r="H267" s="12">
        <v>11.25</v>
      </c>
      <c r="I267" s="12">
        <v>6</v>
      </c>
      <c r="J267" s="12">
        <v>9.5</v>
      </c>
      <c r="K267" s="12">
        <v>5.52</v>
      </c>
      <c r="L267" s="13"/>
      <c r="M267" s="12">
        <v>6.5</v>
      </c>
      <c r="N267" s="12"/>
      <c r="O267" s="12">
        <v>5.0199999999999996</v>
      </c>
      <c r="P267" s="12">
        <v>6.5</v>
      </c>
      <c r="Q267" s="12">
        <v>6.25</v>
      </c>
      <c r="R267" s="12">
        <v>6.5</v>
      </c>
      <c r="S267" s="12">
        <v>4</v>
      </c>
      <c r="T267" s="12">
        <v>7.5</v>
      </c>
      <c r="U267" s="12">
        <v>11.65</v>
      </c>
      <c r="V267" s="12">
        <v>7.44</v>
      </c>
      <c r="W267" s="13">
        <v>4.6314908461350299</v>
      </c>
      <c r="X267" s="12"/>
      <c r="Y267" s="12">
        <v>5.5892999999999997</v>
      </c>
      <c r="Z267" s="12">
        <v>5</v>
      </c>
      <c r="AA267" s="12">
        <v>7</v>
      </c>
      <c r="AB267" s="12">
        <v>6.5</v>
      </c>
      <c r="AC267" s="12">
        <v>6.5</v>
      </c>
      <c r="AD267" s="12">
        <v>6.5</v>
      </c>
      <c r="AE267" s="13"/>
      <c r="AF267" s="12">
        <v>8</v>
      </c>
      <c r="AG267" s="12" t="s">
        <v>300</v>
      </c>
      <c r="AH267" s="12">
        <v>10.85</v>
      </c>
    </row>
    <row r="268" spans="1:34">
      <c r="A268" s="31" t="s">
        <v>302</v>
      </c>
      <c r="B268" s="32">
        <v>6.5</v>
      </c>
      <c r="C268" s="32">
        <v>10.806000000000001</v>
      </c>
      <c r="D268" s="33">
        <v>5.25</v>
      </c>
      <c r="E268" s="33">
        <v>12</v>
      </c>
      <c r="F268" s="34">
        <v>18</v>
      </c>
      <c r="G268" s="33">
        <v>7</v>
      </c>
      <c r="H268" s="33">
        <v>11.25</v>
      </c>
      <c r="I268" s="33">
        <v>6.25</v>
      </c>
      <c r="J268" s="33">
        <v>9.5</v>
      </c>
      <c r="K268" s="33">
        <v>5.52</v>
      </c>
      <c r="L268" s="35" t="s">
        <v>303</v>
      </c>
      <c r="M268" s="32">
        <v>6.5</v>
      </c>
      <c r="N268" s="32" t="s">
        <v>303</v>
      </c>
      <c r="O268" s="32">
        <v>4.26</v>
      </c>
      <c r="P268" s="32">
        <v>6.5</v>
      </c>
      <c r="Q268" s="33">
        <v>6.5</v>
      </c>
      <c r="R268" s="33">
        <v>6.5</v>
      </c>
      <c r="S268" s="33">
        <v>4</v>
      </c>
      <c r="T268" s="33">
        <v>7.5</v>
      </c>
      <c r="U268" s="33">
        <v>12.65</v>
      </c>
      <c r="V268" s="33">
        <v>7.5</v>
      </c>
      <c r="W268" s="32" t="s">
        <v>303</v>
      </c>
      <c r="X268" s="32" t="s">
        <v>303</v>
      </c>
      <c r="Y268" s="33">
        <v>5.6281999999999996</v>
      </c>
      <c r="Z268" s="33">
        <v>5.25</v>
      </c>
      <c r="AA268" s="33">
        <v>7</v>
      </c>
      <c r="AB268" s="32">
        <v>6.5</v>
      </c>
      <c r="AC268" s="32">
        <v>6.5</v>
      </c>
      <c r="AD268" s="32">
        <v>6.5</v>
      </c>
      <c r="AE268" s="35" t="s">
        <v>303</v>
      </c>
      <c r="AF268" s="33">
        <v>8</v>
      </c>
      <c r="AG268" s="33" t="s">
        <v>304</v>
      </c>
      <c r="AH268" s="33">
        <v>10.97</v>
      </c>
    </row>
    <row r="269" spans="1:34">
      <c r="A269" s="31" t="s">
        <v>305</v>
      </c>
      <c r="B269" s="32">
        <v>6.5</v>
      </c>
      <c r="C269" s="32">
        <v>10.84</v>
      </c>
      <c r="D269" s="33">
        <v>5.25</v>
      </c>
      <c r="E269" s="33">
        <v>12</v>
      </c>
      <c r="F269" s="34">
        <v>18</v>
      </c>
      <c r="G269" s="33">
        <v>7</v>
      </c>
      <c r="H269" s="33">
        <v>11.25</v>
      </c>
      <c r="I269" s="33">
        <v>6.25</v>
      </c>
      <c r="J269" s="33">
        <v>9.75</v>
      </c>
      <c r="K269" s="33">
        <v>5.99</v>
      </c>
      <c r="L269" s="35" t="s">
        <v>303</v>
      </c>
      <c r="M269" s="32">
        <v>6.5</v>
      </c>
      <c r="N269" s="32" t="s">
        <v>303</v>
      </c>
      <c r="O269" s="32">
        <v>3.04</v>
      </c>
      <c r="P269" s="32">
        <v>6.5</v>
      </c>
      <c r="Q269" s="33">
        <v>6.5</v>
      </c>
      <c r="R269" s="33">
        <v>6.5</v>
      </c>
      <c r="S269" s="33">
        <v>4</v>
      </c>
      <c r="T269" s="33">
        <v>7.75</v>
      </c>
      <c r="U269" s="33">
        <v>13.5</v>
      </c>
      <c r="V269" s="33">
        <v>7.5</v>
      </c>
      <c r="W269" s="33">
        <v>8.0823030574456407</v>
      </c>
      <c r="X269" s="32" t="s">
        <v>303</v>
      </c>
      <c r="Y269" s="33">
        <v>5.3605</v>
      </c>
      <c r="Z269" s="33">
        <v>5.25</v>
      </c>
      <c r="AA269" s="33">
        <v>8</v>
      </c>
      <c r="AB269" s="32">
        <v>6.5</v>
      </c>
      <c r="AC269" s="32">
        <v>6.5</v>
      </c>
      <c r="AD269" s="32">
        <v>6.5</v>
      </c>
      <c r="AE269" s="35" t="s">
        <v>303</v>
      </c>
      <c r="AF269" s="33">
        <v>8</v>
      </c>
      <c r="AG269" s="33">
        <v>7.25</v>
      </c>
      <c r="AH269" s="33">
        <v>11.22</v>
      </c>
    </row>
    <row r="270" spans="1:34">
      <c r="A270" s="31" t="s">
        <v>306</v>
      </c>
      <c r="B270" s="32">
        <v>6.5</v>
      </c>
      <c r="C270" s="36">
        <v>10.84</v>
      </c>
      <c r="D270" s="33">
        <v>5.25</v>
      </c>
      <c r="E270" s="33">
        <v>12</v>
      </c>
      <c r="F270" s="34">
        <v>18</v>
      </c>
      <c r="G270" s="33">
        <v>7</v>
      </c>
      <c r="H270" s="33">
        <v>11.25</v>
      </c>
      <c r="I270" s="33">
        <v>6.25</v>
      </c>
      <c r="J270" s="33">
        <v>9.75</v>
      </c>
      <c r="K270" s="33">
        <v>5.99</v>
      </c>
      <c r="L270" s="35" t="s">
        <v>303</v>
      </c>
      <c r="M270" s="32">
        <v>6.5</v>
      </c>
      <c r="N270" s="32" t="s">
        <v>303</v>
      </c>
      <c r="O270" s="32">
        <v>2.98</v>
      </c>
      <c r="P270" s="32">
        <v>6.5</v>
      </c>
      <c r="Q270" s="33">
        <v>6.5</v>
      </c>
      <c r="R270" s="33">
        <v>6.5</v>
      </c>
      <c r="S270" s="33">
        <v>4</v>
      </c>
      <c r="T270" s="33">
        <v>7.75</v>
      </c>
      <c r="U270" s="33">
        <v>13.5</v>
      </c>
      <c r="V270" s="33">
        <v>7.5</v>
      </c>
      <c r="W270" s="33">
        <v>8.1020185231203499</v>
      </c>
      <c r="X270" s="32" t="s">
        <v>303</v>
      </c>
      <c r="Y270" s="33">
        <v>5.7624000000000004</v>
      </c>
      <c r="Z270" s="33">
        <v>5.25</v>
      </c>
      <c r="AA270" s="33">
        <v>9</v>
      </c>
      <c r="AB270" s="32">
        <v>6.5</v>
      </c>
      <c r="AC270" s="32">
        <v>6.5</v>
      </c>
      <c r="AD270" s="32">
        <v>6.5</v>
      </c>
      <c r="AE270" s="35" t="s">
        <v>303</v>
      </c>
      <c r="AF270" s="33">
        <v>8.25</v>
      </c>
      <c r="AG270" s="33">
        <v>7.25</v>
      </c>
      <c r="AH270" s="33">
        <v>11.78</v>
      </c>
    </row>
    <row r="271" spans="1:34">
      <c r="A271" s="31" t="s">
        <v>307</v>
      </c>
      <c r="B271" s="32">
        <v>6.5</v>
      </c>
      <c r="C271" s="36">
        <v>10.84</v>
      </c>
      <c r="D271" s="33">
        <v>5.25</v>
      </c>
      <c r="E271" s="33">
        <v>12</v>
      </c>
      <c r="F271" s="34">
        <v>18</v>
      </c>
      <c r="G271" s="33">
        <v>7.5</v>
      </c>
      <c r="H271" s="33">
        <v>11.25</v>
      </c>
      <c r="I271" s="33">
        <v>6.25</v>
      </c>
      <c r="J271" s="33">
        <v>9.75</v>
      </c>
      <c r="K271" s="33">
        <v>5.99</v>
      </c>
      <c r="L271" s="35" t="s">
        <v>303</v>
      </c>
      <c r="M271" s="32">
        <v>6.5</v>
      </c>
      <c r="N271" s="32" t="s">
        <v>303</v>
      </c>
      <c r="O271" s="32">
        <v>2.98</v>
      </c>
      <c r="P271" s="32">
        <v>6.5</v>
      </c>
      <c r="Q271" s="33">
        <v>6.75</v>
      </c>
      <c r="R271" s="33">
        <v>6.5</v>
      </c>
      <c r="S271" s="33">
        <v>7</v>
      </c>
      <c r="T271" s="33">
        <v>7.75</v>
      </c>
      <c r="U271" s="33">
        <v>13.5</v>
      </c>
      <c r="V271" s="33">
        <v>7.5</v>
      </c>
      <c r="W271" s="33">
        <v>8.3729514208927096</v>
      </c>
      <c r="X271" s="32" t="s">
        <v>303</v>
      </c>
      <c r="Y271" s="33">
        <v>6.8037000000000001</v>
      </c>
      <c r="Z271" s="33">
        <v>5.5</v>
      </c>
      <c r="AA271" s="33">
        <v>9</v>
      </c>
      <c r="AB271" s="32">
        <v>6.5</v>
      </c>
      <c r="AC271" s="32">
        <v>6.5</v>
      </c>
      <c r="AD271" s="32">
        <v>6.5</v>
      </c>
      <c r="AE271" s="35" t="s">
        <v>303</v>
      </c>
      <c r="AF271" s="33">
        <v>8.25</v>
      </c>
      <c r="AG271" s="33">
        <v>7.25</v>
      </c>
      <c r="AH271" s="33">
        <v>12.3</v>
      </c>
    </row>
    <row r="272" spans="1:34">
      <c r="A272" s="31" t="s">
        <v>308</v>
      </c>
      <c r="B272" s="32">
        <v>6.5</v>
      </c>
      <c r="C272" s="36">
        <v>10.84</v>
      </c>
      <c r="D272" s="33">
        <v>5.25</v>
      </c>
      <c r="E272" s="33">
        <v>12</v>
      </c>
      <c r="F272" s="34">
        <v>18</v>
      </c>
      <c r="G272" s="33">
        <v>7.5</v>
      </c>
      <c r="H272" s="33">
        <v>11.75</v>
      </c>
      <c r="I272" s="33">
        <v>6.25</v>
      </c>
      <c r="J272" s="33">
        <v>9.75</v>
      </c>
      <c r="K272" s="33">
        <v>5.99</v>
      </c>
      <c r="L272" s="35" t="s">
        <v>303</v>
      </c>
      <c r="M272" s="32">
        <v>6.5</v>
      </c>
      <c r="N272" s="32" t="s">
        <v>303</v>
      </c>
      <c r="O272" s="32">
        <v>2.92</v>
      </c>
      <c r="P272" s="32">
        <v>6.5</v>
      </c>
      <c r="Q272" s="33">
        <v>6.75</v>
      </c>
      <c r="R272" s="33">
        <v>6.5</v>
      </c>
      <c r="S272" s="33">
        <v>8</v>
      </c>
      <c r="T272" s="33">
        <v>8</v>
      </c>
      <c r="U272" s="33">
        <v>13.5</v>
      </c>
      <c r="V272" s="33">
        <v>7.5</v>
      </c>
      <c r="W272" s="33">
        <v>9.1031310004524393</v>
      </c>
      <c r="X272" s="32" t="s">
        <v>303</v>
      </c>
      <c r="Y272" s="33">
        <v>6.9009</v>
      </c>
      <c r="Z272" s="33">
        <v>5.5</v>
      </c>
      <c r="AA272" s="33">
        <v>9</v>
      </c>
      <c r="AB272" s="32">
        <v>6.5</v>
      </c>
      <c r="AC272" s="32">
        <v>6.5</v>
      </c>
      <c r="AD272" s="32">
        <v>6.5</v>
      </c>
      <c r="AE272" s="35" t="s">
        <v>303</v>
      </c>
      <c r="AF272" s="33">
        <v>8.25</v>
      </c>
      <c r="AG272" s="33">
        <v>7.25</v>
      </c>
      <c r="AH272" s="33">
        <v>12.3</v>
      </c>
    </row>
    <row r="273" spans="1:34">
      <c r="A273" s="31" t="s">
        <v>309</v>
      </c>
      <c r="B273" s="32">
        <v>6.5</v>
      </c>
      <c r="C273" s="36">
        <v>10.84</v>
      </c>
      <c r="D273" s="33">
        <v>5.25</v>
      </c>
      <c r="E273" s="33">
        <v>12</v>
      </c>
      <c r="F273" s="34">
        <v>18</v>
      </c>
      <c r="G273" s="33">
        <v>8</v>
      </c>
      <c r="H273" s="33">
        <v>12.25</v>
      </c>
      <c r="I273" s="33">
        <v>6.75</v>
      </c>
      <c r="J273" s="33">
        <v>9.75</v>
      </c>
      <c r="K273" s="33">
        <v>7.5</v>
      </c>
      <c r="L273" s="35" t="s">
        <v>303</v>
      </c>
      <c r="M273" s="32">
        <v>6.5</v>
      </c>
      <c r="N273" s="32" t="s">
        <v>303</v>
      </c>
      <c r="O273" s="32">
        <v>2.94</v>
      </c>
      <c r="P273" s="32">
        <v>6.5</v>
      </c>
      <c r="Q273" s="33">
        <v>6.75</v>
      </c>
      <c r="R273" s="33">
        <v>6.5</v>
      </c>
      <c r="S273" s="33">
        <v>8</v>
      </c>
      <c r="T273" s="33">
        <v>8.5</v>
      </c>
      <c r="U273" s="33">
        <v>14</v>
      </c>
      <c r="V273" s="33">
        <v>7.75</v>
      </c>
      <c r="W273" s="33">
        <v>8.5373873891735599</v>
      </c>
      <c r="X273" s="32" t="s">
        <v>303</v>
      </c>
      <c r="Y273" s="33">
        <v>6.5941999999999998</v>
      </c>
      <c r="Z273" s="33">
        <v>5.75</v>
      </c>
      <c r="AA273" s="33">
        <v>9</v>
      </c>
      <c r="AB273" s="32">
        <v>6.5</v>
      </c>
      <c r="AC273" s="32">
        <v>6.5</v>
      </c>
      <c r="AD273" s="32">
        <v>6.5</v>
      </c>
      <c r="AE273" s="35" t="s">
        <v>303</v>
      </c>
      <c r="AF273" s="33">
        <v>8.25</v>
      </c>
      <c r="AG273" s="33">
        <v>7.25</v>
      </c>
      <c r="AH273" s="33">
        <v>12.8</v>
      </c>
    </row>
    <row r="274" spans="1:34">
      <c r="A274" s="31" t="s">
        <v>310</v>
      </c>
      <c r="B274" s="32">
        <v>6.5</v>
      </c>
      <c r="C274" s="37">
        <v>11.049999999999999</v>
      </c>
      <c r="D274" s="33">
        <v>5.25</v>
      </c>
      <c r="E274" s="33">
        <v>12</v>
      </c>
      <c r="F274" s="34">
        <v>18</v>
      </c>
      <c r="G274" s="33">
        <v>9</v>
      </c>
      <c r="H274" s="33">
        <v>12.25</v>
      </c>
      <c r="I274" s="33">
        <v>7.25</v>
      </c>
      <c r="J274" s="33">
        <v>10</v>
      </c>
      <c r="K274" s="33">
        <v>8.5</v>
      </c>
      <c r="L274" s="35" t="s">
        <v>303</v>
      </c>
      <c r="M274" s="32">
        <v>6.5</v>
      </c>
      <c r="N274" s="32" t="s">
        <v>303</v>
      </c>
      <c r="O274" s="32">
        <v>2.84</v>
      </c>
      <c r="P274" s="32">
        <v>6.5</v>
      </c>
      <c r="Q274" s="33">
        <v>6.75</v>
      </c>
      <c r="R274" s="33">
        <v>6.5</v>
      </c>
      <c r="S274" s="33">
        <v>8</v>
      </c>
      <c r="T274" s="33">
        <v>9</v>
      </c>
      <c r="U274" s="33">
        <v>14</v>
      </c>
      <c r="V274" s="33">
        <v>8</v>
      </c>
      <c r="W274" s="33">
        <v>9.4602862908325296</v>
      </c>
      <c r="X274" s="32" t="s">
        <v>303</v>
      </c>
      <c r="Y274" s="33">
        <v>5.9555999999999996</v>
      </c>
      <c r="Z274" s="33">
        <v>6</v>
      </c>
      <c r="AA274" s="33">
        <v>9</v>
      </c>
      <c r="AB274" s="32">
        <v>6.5</v>
      </c>
      <c r="AC274" s="32">
        <v>6.5</v>
      </c>
      <c r="AD274" s="32">
        <v>6.5</v>
      </c>
      <c r="AE274" s="35" t="s">
        <v>303</v>
      </c>
      <c r="AF274" s="33">
        <v>8.25</v>
      </c>
      <c r="AG274" s="33">
        <v>7.25</v>
      </c>
      <c r="AH274" s="33">
        <v>12.55</v>
      </c>
    </row>
    <row r="275" spans="1:34">
      <c r="A275" s="31" t="s">
        <v>311</v>
      </c>
      <c r="B275" s="32">
        <v>6.5</v>
      </c>
      <c r="C275" s="37">
        <v>11.15</v>
      </c>
      <c r="D275" s="33">
        <v>5.25</v>
      </c>
      <c r="E275" s="33">
        <v>12</v>
      </c>
      <c r="F275" s="34">
        <v>18</v>
      </c>
      <c r="G275" s="33">
        <v>10</v>
      </c>
      <c r="H275" s="33">
        <v>13</v>
      </c>
      <c r="I275" s="33">
        <v>7.75</v>
      </c>
      <c r="J275" s="33">
        <v>10</v>
      </c>
      <c r="K275" s="33">
        <v>10</v>
      </c>
      <c r="L275" s="35" t="s">
        <v>303</v>
      </c>
      <c r="M275" s="32">
        <v>6.5</v>
      </c>
      <c r="N275" s="32" t="s">
        <v>303</v>
      </c>
      <c r="O275" s="32">
        <v>2.95</v>
      </c>
      <c r="P275" s="32">
        <v>6.5</v>
      </c>
      <c r="Q275" s="33">
        <v>7.25</v>
      </c>
      <c r="R275" s="33">
        <v>6.5</v>
      </c>
      <c r="S275" s="33">
        <v>8</v>
      </c>
      <c r="T275" s="33">
        <v>9</v>
      </c>
      <c r="U275" s="33">
        <v>14</v>
      </c>
      <c r="V275" s="33">
        <v>8.25</v>
      </c>
      <c r="W275" s="33">
        <v>9.5015806344881906</v>
      </c>
      <c r="X275" s="32" t="s">
        <v>303</v>
      </c>
      <c r="Y275" s="33">
        <v>5.9429999999999996</v>
      </c>
      <c r="Z275" s="33">
        <v>6.25</v>
      </c>
      <c r="AA275" s="33">
        <v>9.5</v>
      </c>
      <c r="AB275" s="32">
        <v>6.5</v>
      </c>
      <c r="AC275" s="32">
        <v>6.5</v>
      </c>
      <c r="AD275" s="32">
        <v>6.5</v>
      </c>
      <c r="AE275" s="35" t="s">
        <v>303</v>
      </c>
      <c r="AF275" s="33">
        <v>8.5</v>
      </c>
      <c r="AG275" s="33">
        <v>7.25</v>
      </c>
      <c r="AH275" s="33">
        <v>12.71</v>
      </c>
    </row>
    <row r="276" spans="1:34">
      <c r="A276" s="31" t="s">
        <v>312</v>
      </c>
      <c r="B276" s="32">
        <v>6.5</v>
      </c>
      <c r="C276" s="37">
        <v>11.35</v>
      </c>
      <c r="D276" s="33">
        <v>5.25</v>
      </c>
      <c r="E276" s="33">
        <v>12</v>
      </c>
      <c r="F276" s="34">
        <v>18</v>
      </c>
      <c r="G276" s="33">
        <v>10</v>
      </c>
      <c r="H276" s="33">
        <v>13.75</v>
      </c>
      <c r="I276" s="33">
        <v>8.25</v>
      </c>
      <c r="J276" s="33">
        <v>10</v>
      </c>
      <c r="K276" s="33">
        <v>10</v>
      </c>
      <c r="L276" s="35" t="s">
        <v>303</v>
      </c>
      <c r="M276" s="32">
        <v>6.5</v>
      </c>
      <c r="N276" s="32" t="s">
        <v>303</v>
      </c>
      <c r="O276" s="32">
        <v>4.16</v>
      </c>
      <c r="P276" s="32">
        <v>6.5</v>
      </c>
      <c r="Q276" s="33">
        <v>7.25</v>
      </c>
      <c r="R276" s="33">
        <v>6.5</v>
      </c>
      <c r="S276" s="33">
        <v>8</v>
      </c>
      <c r="T276" s="33">
        <v>9</v>
      </c>
      <c r="U276" s="33">
        <v>14</v>
      </c>
      <c r="V276" s="33">
        <v>8.25</v>
      </c>
      <c r="W276" s="33">
        <v>9.3402468095051798</v>
      </c>
      <c r="X276" s="32" t="s">
        <v>303</v>
      </c>
      <c r="Y276" s="33">
        <v>6.2</v>
      </c>
      <c r="Z276" s="33">
        <v>6.5</v>
      </c>
      <c r="AA276" s="33">
        <v>9.5</v>
      </c>
      <c r="AB276" s="32">
        <v>6.5</v>
      </c>
      <c r="AC276" s="32">
        <v>6.5</v>
      </c>
      <c r="AD276" s="32">
        <v>6.5</v>
      </c>
      <c r="AE276" s="35" t="s">
        <v>303</v>
      </c>
      <c r="AF276" s="33">
        <v>8.5</v>
      </c>
      <c r="AG276" s="33">
        <v>7.25</v>
      </c>
      <c r="AH276" s="33">
        <v>12.93</v>
      </c>
    </row>
    <row r="277" spans="1:34">
      <c r="A277" s="31" t="s">
        <v>313</v>
      </c>
      <c r="B277" s="32">
        <v>6.5</v>
      </c>
      <c r="C277" s="37">
        <v>12.55</v>
      </c>
      <c r="D277" s="33">
        <v>5.25</v>
      </c>
      <c r="E277" s="33">
        <v>12</v>
      </c>
      <c r="F277" s="34">
        <v>18</v>
      </c>
      <c r="G277" s="33">
        <v>10</v>
      </c>
      <c r="H277" s="33">
        <v>13.75</v>
      </c>
      <c r="I277" s="33">
        <v>8.25</v>
      </c>
      <c r="J277" s="33">
        <v>10</v>
      </c>
      <c r="K277" s="33">
        <v>10</v>
      </c>
      <c r="L277" s="35" t="s">
        <v>303</v>
      </c>
      <c r="M277" s="32">
        <v>6.5</v>
      </c>
      <c r="N277" s="32" t="s">
        <v>303</v>
      </c>
      <c r="O277" s="32">
        <v>7.04</v>
      </c>
      <c r="P277" s="32">
        <v>6.5</v>
      </c>
      <c r="Q277" s="33">
        <v>7.25</v>
      </c>
      <c r="R277" s="33">
        <v>6.75</v>
      </c>
      <c r="S277" s="33">
        <v>8</v>
      </c>
      <c r="T277" s="33">
        <v>9</v>
      </c>
      <c r="U277" s="33">
        <v>14.65</v>
      </c>
      <c r="V277" s="33">
        <v>8.25</v>
      </c>
      <c r="W277" s="33">
        <v>8.9750639856674201</v>
      </c>
      <c r="X277" s="32" t="s">
        <v>303</v>
      </c>
      <c r="Y277" s="33">
        <v>5.7468000000000004</v>
      </c>
      <c r="Z277" s="33">
        <v>6.5</v>
      </c>
      <c r="AA277" s="33">
        <v>9.5</v>
      </c>
      <c r="AB277" s="32">
        <v>6.5</v>
      </c>
      <c r="AC277" s="32">
        <v>6.5</v>
      </c>
      <c r="AD277" s="32">
        <v>6.5</v>
      </c>
      <c r="AE277" s="35" t="s">
        <v>303</v>
      </c>
      <c r="AF277" s="33">
        <v>8.75</v>
      </c>
      <c r="AG277" s="33">
        <v>7.75</v>
      </c>
      <c r="AH277" s="33">
        <v>12.7</v>
      </c>
    </row>
    <row r="278" spans="1:34">
      <c r="A278" s="31" t="s">
        <v>314</v>
      </c>
      <c r="B278" s="32">
        <v>6.5</v>
      </c>
      <c r="C278" s="36">
        <v>12.55</v>
      </c>
      <c r="D278" s="33">
        <v>5.25</v>
      </c>
      <c r="E278" s="33">
        <v>12</v>
      </c>
      <c r="F278" s="34">
        <v>18</v>
      </c>
      <c r="G278" s="33">
        <v>12.5</v>
      </c>
      <c r="H278" s="33">
        <v>13.75</v>
      </c>
      <c r="I278" s="32">
        <v>8.25</v>
      </c>
      <c r="J278" s="32">
        <v>10</v>
      </c>
      <c r="K278" s="32">
        <v>10</v>
      </c>
      <c r="L278" s="38" t="s">
        <v>303</v>
      </c>
      <c r="M278" s="32">
        <v>6.5</v>
      </c>
      <c r="N278" s="32" t="s">
        <v>303</v>
      </c>
      <c r="O278" s="32">
        <v>5.78</v>
      </c>
      <c r="P278" s="32">
        <v>6.5</v>
      </c>
      <c r="Q278" s="32">
        <v>7.25</v>
      </c>
      <c r="R278" s="33">
        <v>6.75</v>
      </c>
      <c r="S278" s="33">
        <v>8</v>
      </c>
      <c r="T278" s="33">
        <v>9</v>
      </c>
      <c r="U278" s="33">
        <v>14.65</v>
      </c>
      <c r="V278" s="33">
        <v>8.25</v>
      </c>
      <c r="W278" s="33">
        <v>8.7790697682222891</v>
      </c>
      <c r="X278" s="32" t="s">
        <v>303</v>
      </c>
      <c r="Y278" s="33">
        <v>4.7958999999999996</v>
      </c>
      <c r="Z278" s="33">
        <v>6.5</v>
      </c>
      <c r="AA278" s="33">
        <v>9.5</v>
      </c>
      <c r="AB278" s="32">
        <v>6.5</v>
      </c>
      <c r="AC278" s="32">
        <v>6.5</v>
      </c>
      <c r="AD278" s="32">
        <v>6.5</v>
      </c>
      <c r="AE278" s="35" t="s">
        <v>303</v>
      </c>
      <c r="AF278" s="33">
        <v>8.75</v>
      </c>
      <c r="AG278" s="33">
        <v>7.75</v>
      </c>
      <c r="AH278" s="33">
        <v>12.69</v>
      </c>
    </row>
    <row r="279" spans="1:34">
      <c r="A279" s="39" t="s">
        <v>315</v>
      </c>
      <c r="B279" s="40">
        <v>6.5</v>
      </c>
      <c r="C279" s="30">
        <v>12.5</v>
      </c>
      <c r="D279" s="40">
        <v>5.25</v>
      </c>
      <c r="E279" s="40">
        <v>10</v>
      </c>
      <c r="F279" s="41">
        <v>18</v>
      </c>
      <c r="G279" s="40">
        <v>13</v>
      </c>
      <c r="H279" s="40">
        <v>13.75</v>
      </c>
      <c r="I279" s="40">
        <v>8.25</v>
      </c>
      <c r="J279" s="40">
        <v>9.5</v>
      </c>
      <c r="K279" s="40">
        <v>10</v>
      </c>
      <c r="L279" s="42" t="s">
        <v>303</v>
      </c>
      <c r="M279" s="40">
        <v>6.5</v>
      </c>
      <c r="N279" s="40" t="s">
        <v>303</v>
      </c>
      <c r="O279" s="40">
        <v>5.13</v>
      </c>
      <c r="P279" s="40">
        <v>6.5</v>
      </c>
      <c r="Q279" s="40">
        <v>7.25</v>
      </c>
      <c r="R279" s="40">
        <v>6.75</v>
      </c>
      <c r="S279" s="40">
        <v>8</v>
      </c>
      <c r="T279" s="40">
        <v>8.25</v>
      </c>
      <c r="U279" s="40">
        <v>17</v>
      </c>
      <c r="V279" s="40">
        <v>8.25</v>
      </c>
      <c r="W279" s="40">
        <v>10.0114778052247</v>
      </c>
      <c r="X279" s="40" t="s">
        <v>303</v>
      </c>
      <c r="Y279" s="40">
        <v>4.5984999999999996</v>
      </c>
      <c r="Z279" s="40">
        <v>6.5</v>
      </c>
      <c r="AA279" s="40">
        <v>9.5</v>
      </c>
      <c r="AB279" s="40">
        <v>6.5</v>
      </c>
      <c r="AC279" s="40">
        <v>6.5</v>
      </c>
      <c r="AD279" s="40">
        <v>6.5</v>
      </c>
      <c r="AE279" s="42" t="s">
        <v>303</v>
      </c>
      <c r="AF279" s="40">
        <v>8.75</v>
      </c>
      <c r="AG279" s="40">
        <v>7.75</v>
      </c>
      <c r="AH279" s="40">
        <v>12.6</v>
      </c>
    </row>
    <row r="280" spans="1:34">
      <c r="A280" s="31" t="s">
        <v>316</v>
      </c>
      <c r="B280" s="32">
        <v>6.5</v>
      </c>
      <c r="C280" s="37">
        <v>12.266666666666666</v>
      </c>
      <c r="D280" s="33">
        <v>5.25</v>
      </c>
      <c r="E280" s="33">
        <v>10</v>
      </c>
      <c r="F280" s="34">
        <v>18</v>
      </c>
      <c r="G280" s="33">
        <v>12</v>
      </c>
      <c r="H280" s="33">
        <v>13.75</v>
      </c>
      <c r="I280" s="33">
        <v>7.25</v>
      </c>
      <c r="J280" s="33">
        <v>9.5</v>
      </c>
      <c r="K280" s="33">
        <v>10</v>
      </c>
      <c r="L280" s="35" t="s">
        <v>303</v>
      </c>
      <c r="M280" s="32">
        <v>6.5</v>
      </c>
      <c r="N280" s="32" t="s">
        <v>303</v>
      </c>
      <c r="O280" s="32">
        <v>3.36</v>
      </c>
      <c r="P280" s="32">
        <v>6.5</v>
      </c>
      <c r="Q280" s="33">
        <v>7.25</v>
      </c>
      <c r="R280" s="33">
        <v>7.5</v>
      </c>
      <c r="S280" s="33">
        <v>8</v>
      </c>
      <c r="T280" s="33">
        <v>6.75</v>
      </c>
      <c r="U280" s="33">
        <v>17</v>
      </c>
      <c r="V280" s="33">
        <v>7.75</v>
      </c>
      <c r="W280" s="33">
        <v>9.9743194202934191</v>
      </c>
      <c r="X280" s="32" t="s">
        <v>303</v>
      </c>
      <c r="Y280" s="33">
        <v>4.4170999999999996</v>
      </c>
      <c r="Z280" s="33">
        <v>6.5</v>
      </c>
      <c r="AA280" s="33">
        <v>8.5</v>
      </c>
      <c r="AB280" s="32">
        <v>6.5</v>
      </c>
      <c r="AC280" s="32">
        <v>6.5</v>
      </c>
      <c r="AD280" s="32">
        <v>6.5</v>
      </c>
      <c r="AE280" s="35" t="s">
        <v>303</v>
      </c>
      <c r="AF280" s="33">
        <v>8.75</v>
      </c>
      <c r="AG280" s="33">
        <v>10</v>
      </c>
      <c r="AH280" s="33">
        <v>12.98</v>
      </c>
    </row>
    <row r="281" spans="1:34">
      <c r="A281" s="31" t="s">
        <v>317</v>
      </c>
      <c r="B281" s="32">
        <v>6.5</v>
      </c>
      <c r="C281" s="37">
        <v>12.89</v>
      </c>
      <c r="D281" s="33">
        <v>5.25</v>
      </c>
      <c r="E281" s="33">
        <v>10</v>
      </c>
      <c r="F281" s="34">
        <v>18</v>
      </c>
      <c r="G281" s="33">
        <v>12</v>
      </c>
      <c r="H281" s="33">
        <v>12.75</v>
      </c>
      <c r="I281" s="33">
        <v>4.75</v>
      </c>
      <c r="J281" s="33">
        <v>9</v>
      </c>
      <c r="K281" s="33">
        <v>10</v>
      </c>
      <c r="L281" s="35" t="s">
        <v>303</v>
      </c>
      <c r="M281" s="32">
        <v>6.5</v>
      </c>
      <c r="N281" s="32" t="s">
        <v>303</v>
      </c>
      <c r="O281" s="32">
        <v>1.67</v>
      </c>
      <c r="P281" s="32">
        <v>6.5</v>
      </c>
      <c r="Q281" s="33">
        <v>7</v>
      </c>
      <c r="R281" s="33">
        <v>7.5</v>
      </c>
      <c r="S281" s="33">
        <v>8</v>
      </c>
      <c r="T281" s="33">
        <v>6.75</v>
      </c>
      <c r="U281" s="33">
        <v>17</v>
      </c>
      <c r="V281" s="33">
        <v>7.5</v>
      </c>
      <c r="W281" s="33">
        <v>10.3033741293708</v>
      </c>
      <c r="X281" s="32" t="s">
        <v>303</v>
      </c>
      <c r="Y281" s="33">
        <v>2.4140000000000001</v>
      </c>
      <c r="Z281" s="33">
        <v>6.25</v>
      </c>
      <c r="AA281" s="33">
        <v>6.5</v>
      </c>
      <c r="AB281" s="32">
        <v>6.5</v>
      </c>
      <c r="AC281" s="32">
        <v>6.5</v>
      </c>
      <c r="AD281" s="32">
        <v>6.5</v>
      </c>
      <c r="AE281" s="35" t="s">
        <v>303</v>
      </c>
      <c r="AF281" s="33">
        <v>8.75</v>
      </c>
      <c r="AG281" s="33">
        <v>10</v>
      </c>
      <c r="AH281" s="33">
        <v>13.51</v>
      </c>
    </row>
    <row r="282" spans="1:34">
      <c r="A282" s="31" t="s">
        <v>318</v>
      </c>
      <c r="B282" s="32">
        <v>6.5</v>
      </c>
      <c r="C282" s="37">
        <v>13.91</v>
      </c>
      <c r="D282" s="33">
        <v>5.25</v>
      </c>
      <c r="E282" s="33">
        <v>10</v>
      </c>
      <c r="F282" s="34">
        <v>18</v>
      </c>
      <c r="G282" s="33">
        <v>12</v>
      </c>
      <c r="H282" s="33">
        <v>11.25</v>
      </c>
      <c r="I282" s="33">
        <v>2.25</v>
      </c>
      <c r="J282" s="33">
        <v>8</v>
      </c>
      <c r="K282" s="33">
        <v>10</v>
      </c>
      <c r="L282" s="35" t="s">
        <v>303</v>
      </c>
      <c r="M282" s="32">
        <v>6.5</v>
      </c>
      <c r="N282" s="32" t="s">
        <v>303</v>
      </c>
      <c r="O282" s="32">
        <v>2.44</v>
      </c>
      <c r="P282" s="32">
        <v>6.5</v>
      </c>
      <c r="Q282" s="33">
        <v>6.5</v>
      </c>
      <c r="R282" s="33">
        <v>6.75</v>
      </c>
      <c r="S282" s="33">
        <v>8</v>
      </c>
      <c r="T282" s="33">
        <v>5.75</v>
      </c>
      <c r="U282" s="33">
        <v>17</v>
      </c>
      <c r="V282" s="33">
        <v>6.75</v>
      </c>
      <c r="W282" s="33">
        <v>10.317135554496501</v>
      </c>
      <c r="X282" s="32" t="s">
        <v>303</v>
      </c>
      <c r="Y282" s="33">
        <v>1.2762</v>
      </c>
      <c r="Z282" s="33">
        <v>6</v>
      </c>
      <c r="AA282" s="33">
        <v>5</v>
      </c>
      <c r="AB282" s="32">
        <v>6.5</v>
      </c>
      <c r="AC282" s="32">
        <v>6.5</v>
      </c>
      <c r="AD282" s="32">
        <v>6.5</v>
      </c>
      <c r="AE282" s="35" t="s">
        <v>303</v>
      </c>
      <c r="AF282" s="33">
        <v>8.75</v>
      </c>
      <c r="AG282" s="33">
        <v>10</v>
      </c>
      <c r="AH282" s="33">
        <v>12.12</v>
      </c>
    </row>
    <row r="283" spans="1:34">
      <c r="A283" s="31" t="s">
        <v>319</v>
      </c>
      <c r="B283" s="32">
        <v>6.5</v>
      </c>
      <c r="C283" s="37">
        <v>14.13</v>
      </c>
      <c r="D283" s="33">
        <v>5.25</v>
      </c>
      <c r="E283" s="33">
        <v>8</v>
      </c>
      <c r="F283" s="34">
        <v>18</v>
      </c>
      <c r="G283" s="33">
        <v>12</v>
      </c>
      <c r="H283" s="33">
        <v>11.25</v>
      </c>
      <c r="I283" s="33">
        <v>1.75</v>
      </c>
      <c r="J283" s="33">
        <v>7</v>
      </c>
      <c r="K283" s="33">
        <v>10</v>
      </c>
      <c r="L283" s="35" t="s">
        <v>303</v>
      </c>
      <c r="M283" s="32">
        <v>6.5</v>
      </c>
      <c r="N283" s="32" t="s">
        <v>303</v>
      </c>
      <c r="O283" s="32">
        <v>1.41</v>
      </c>
      <c r="P283" s="33">
        <v>6.5</v>
      </c>
      <c r="Q283" s="33">
        <v>6.25</v>
      </c>
      <c r="R283" s="33">
        <v>6.75</v>
      </c>
      <c r="S283" s="33">
        <v>8</v>
      </c>
      <c r="T283" s="33">
        <v>4.5</v>
      </c>
      <c r="U283" s="33">
        <v>17</v>
      </c>
      <c r="V283" s="33">
        <v>6</v>
      </c>
      <c r="W283" s="33">
        <v>9.8468161963137693</v>
      </c>
      <c r="X283" s="32" t="s">
        <v>303</v>
      </c>
      <c r="Y283" s="33">
        <v>0.60919999999999996</v>
      </c>
      <c r="Z283" s="33">
        <v>5</v>
      </c>
      <c r="AA283" s="33">
        <v>5</v>
      </c>
      <c r="AB283" s="33">
        <v>6.5</v>
      </c>
      <c r="AC283" s="33">
        <v>6.5</v>
      </c>
      <c r="AD283" s="33">
        <v>6.5</v>
      </c>
      <c r="AE283" s="35" t="s">
        <v>303</v>
      </c>
      <c r="AF283" s="33">
        <v>8.5</v>
      </c>
      <c r="AG283" s="33">
        <v>9</v>
      </c>
      <c r="AH283" s="33">
        <v>7.01</v>
      </c>
    </row>
    <row r="284" spans="1:34">
      <c r="A284" s="31" t="s">
        <v>320</v>
      </c>
      <c r="B284" s="32">
        <v>6.5</v>
      </c>
      <c r="C284" s="37">
        <v>14.4975</v>
      </c>
      <c r="D284" s="33">
        <v>5.25</v>
      </c>
      <c r="E284" s="33">
        <v>8</v>
      </c>
      <c r="F284" s="34">
        <v>18</v>
      </c>
      <c r="G284" s="33">
        <v>10</v>
      </c>
      <c r="H284" s="33">
        <v>10.25</v>
      </c>
      <c r="I284" s="33">
        <v>1.25</v>
      </c>
      <c r="J284" s="33">
        <v>6</v>
      </c>
      <c r="K284" s="33">
        <v>10</v>
      </c>
      <c r="L284" s="35" t="s">
        <v>303</v>
      </c>
      <c r="M284" s="32">
        <v>6.5</v>
      </c>
      <c r="N284" s="32" t="s">
        <v>303</v>
      </c>
      <c r="O284" s="32">
        <v>1.22</v>
      </c>
      <c r="P284" s="33">
        <v>6.5</v>
      </c>
      <c r="Q284" s="33">
        <v>5.75</v>
      </c>
      <c r="R284" s="33">
        <v>6.75</v>
      </c>
      <c r="S284" s="33">
        <v>7</v>
      </c>
      <c r="T284" s="33">
        <v>4.5</v>
      </c>
      <c r="U284" s="33">
        <v>17</v>
      </c>
      <c r="V284" s="33">
        <v>5.25</v>
      </c>
      <c r="W284" s="33">
        <v>9.3325296018718902</v>
      </c>
      <c r="X284" s="32" t="s">
        <v>303</v>
      </c>
      <c r="Y284" s="33">
        <v>0.64180000000000004</v>
      </c>
      <c r="Z284" s="33">
        <v>4</v>
      </c>
      <c r="AA284" s="33">
        <v>5</v>
      </c>
      <c r="AB284" s="33">
        <v>6.5</v>
      </c>
      <c r="AC284" s="33">
        <v>6.5</v>
      </c>
      <c r="AD284" s="33">
        <v>6.5</v>
      </c>
      <c r="AE284" s="35" t="s">
        <v>303</v>
      </c>
      <c r="AF284" s="33">
        <v>8</v>
      </c>
      <c r="AG284" s="33">
        <v>9</v>
      </c>
      <c r="AH284" s="33">
        <v>6.47</v>
      </c>
    </row>
    <row r="285" spans="1:34">
      <c r="A285" s="31" t="s">
        <v>321</v>
      </c>
      <c r="B285" s="32">
        <v>6.5</v>
      </c>
      <c r="C285" s="37">
        <v>14.49</v>
      </c>
      <c r="D285" s="33">
        <v>5.25</v>
      </c>
      <c r="E285" s="33">
        <v>7</v>
      </c>
      <c r="F285" s="34">
        <v>18</v>
      </c>
      <c r="G285" s="33">
        <v>8</v>
      </c>
      <c r="H285" s="33">
        <v>9.25</v>
      </c>
      <c r="I285" s="33">
        <v>0.75</v>
      </c>
      <c r="J285" s="33">
        <v>5</v>
      </c>
      <c r="K285" s="33">
        <v>10</v>
      </c>
      <c r="L285" s="35" t="s">
        <v>303</v>
      </c>
      <c r="M285" s="32">
        <v>6.5</v>
      </c>
      <c r="N285" s="32" t="s">
        <v>303</v>
      </c>
      <c r="O285" s="32">
        <v>1.32</v>
      </c>
      <c r="P285" s="33">
        <v>6.5</v>
      </c>
      <c r="Q285" s="33">
        <v>5.25</v>
      </c>
      <c r="R285" s="33">
        <v>6.75</v>
      </c>
      <c r="S285" s="33">
        <v>5</v>
      </c>
      <c r="T285" s="33">
        <v>4.5</v>
      </c>
      <c r="U285" s="33">
        <v>17</v>
      </c>
      <c r="V285" s="33">
        <v>4.75</v>
      </c>
      <c r="W285" s="33">
        <v>8.4464589874363405</v>
      </c>
      <c r="X285" s="32" t="s">
        <v>303</v>
      </c>
      <c r="Y285" s="33">
        <v>1.6435999999999999</v>
      </c>
      <c r="Z285" s="33">
        <v>3</v>
      </c>
      <c r="AA285" s="33">
        <v>5</v>
      </c>
      <c r="AB285" s="33">
        <v>6.5</v>
      </c>
      <c r="AC285" s="33">
        <v>6.5</v>
      </c>
      <c r="AD285" s="33">
        <v>6.5</v>
      </c>
      <c r="AE285" s="35" t="s">
        <v>303</v>
      </c>
      <c r="AF285" s="33">
        <v>8</v>
      </c>
      <c r="AG285" s="33">
        <v>9</v>
      </c>
      <c r="AH285" s="33">
        <v>6.5</v>
      </c>
    </row>
    <row r="286" spans="1:34">
      <c r="A286" s="31" t="s">
        <v>322</v>
      </c>
      <c r="B286" s="32">
        <v>6.5</v>
      </c>
      <c r="C286" s="37">
        <v>14.5</v>
      </c>
      <c r="D286" s="33">
        <v>5.25</v>
      </c>
      <c r="E286" s="33">
        <v>7</v>
      </c>
      <c r="F286" s="34">
        <v>18</v>
      </c>
      <c r="G286" s="33">
        <v>3</v>
      </c>
      <c r="H286" s="33">
        <v>9.25</v>
      </c>
      <c r="I286" s="33">
        <v>0.5</v>
      </c>
      <c r="J286" s="33">
        <v>4.5</v>
      </c>
      <c r="K286" s="33">
        <v>10</v>
      </c>
      <c r="L286" s="35" t="s">
        <v>303</v>
      </c>
      <c r="M286" s="32">
        <v>6.5</v>
      </c>
      <c r="N286" s="32" t="s">
        <v>303</v>
      </c>
      <c r="O286" s="32">
        <v>1.58</v>
      </c>
      <c r="P286" s="33">
        <v>6.5</v>
      </c>
      <c r="Q286" s="33">
        <v>5.25</v>
      </c>
      <c r="R286" s="33">
        <v>6.75</v>
      </c>
      <c r="S286" s="33">
        <v>5</v>
      </c>
      <c r="T286" s="33">
        <v>3.5</v>
      </c>
      <c r="U286" s="33">
        <v>14.5</v>
      </c>
      <c r="V286" s="33">
        <v>4.5</v>
      </c>
      <c r="W286" s="33">
        <v>8.2066328206836108</v>
      </c>
      <c r="X286" s="32" t="s">
        <v>303</v>
      </c>
      <c r="Y286" s="33">
        <v>2.4581</v>
      </c>
      <c r="Z286" s="33">
        <v>2</v>
      </c>
      <c r="AA286" s="33">
        <v>5</v>
      </c>
      <c r="AB286" s="33">
        <v>6.5</v>
      </c>
      <c r="AC286" s="33">
        <v>6.5</v>
      </c>
      <c r="AD286" s="33">
        <v>6.5</v>
      </c>
      <c r="AE286" s="35" t="s">
        <v>303</v>
      </c>
      <c r="AF286" s="33">
        <v>7.5</v>
      </c>
      <c r="AG286" s="33">
        <v>8</v>
      </c>
      <c r="AH286" s="33">
        <v>6.51</v>
      </c>
    </row>
    <row r="287" spans="1:34">
      <c r="A287" s="31" t="s">
        <v>323</v>
      </c>
      <c r="B287" s="32">
        <v>6.5</v>
      </c>
      <c r="C287" s="37">
        <v>14.282500000000001</v>
      </c>
      <c r="D287" s="33">
        <v>5.25</v>
      </c>
      <c r="E287" s="33">
        <v>7</v>
      </c>
      <c r="F287" s="34">
        <v>18</v>
      </c>
      <c r="G287" s="33">
        <v>3</v>
      </c>
      <c r="H287" s="33">
        <v>8.75</v>
      </c>
      <c r="I287" s="33">
        <v>0.5</v>
      </c>
      <c r="J287" s="33">
        <v>4.5</v>
      </c>
      <c r="K287" s="33">
        <v>9</v>
      </c>
      <c r="L287" s="35" t="s">
        <v>303</v>
      </c>
      <c r="M287" s="32">
        <v>6.5</v>
      </c>
      <c r="N287" s="32" t="s">
        <v>303</v>
      </c>
      <c r="O287" s="32">
        <v>1.61</v>
      </c>
      <c r="P287" s="33">
        <v>6.5</v>
      </c>
      <c r="Q287" s="33">
        <v>4.75</v>
      </c>
      <c r="R287" s="33">
        <v>6.75</v>
      </c>
      <c r="S287" s="33">
        <v>5</v>
      </c>
      <c r="T287" s="33">
        <v>4</v>
      </c>
      <c r="U287" s="33">
        <v>13.5</v>
      </c>
      <c r="V287" s="33">
        <v>4.5</v>
      </c>
      <c r="W287" s="33">
        <v>6.4700538204926197</v>
      </c>
      <c r="X287" s="32" t="s">
        <v>303</v>
      </c>
      <c r="Y287" s="33">
        <v>2.9704999999999999</v>
      </c>
      <c r="Z287" s="33">
        <v>1.25</v>
      </c>
      <c r="AA287" s="33">
        <v>5</v>
      </c>
      <c r="AB287" s="33">
        <v>6.5</v>
      </c>
      <c r="AC287" s="33">
        <v>6.5</v>
      </c>
      <c r="AD287" s="33">
        <v>6.5</v>
      </c>
      <c r="AE287" s="35" t="s">
        <v>303</v>
      </c>
      <c r="AF287" s="33">
        <v>7.25</v>
      </c>
      <c r="AG287" s="33">
        <v>8</v>
      </c>
      <c r="AH287" s="33">
        <v>6.6</v>
      </c>
    </row>
    <row r="288" spans="1:34">
      <c r="A288" s="31" t="s">
        <v>324</v>
      </c>
      <c r="B288" s="32">
        <v>6.5</v>
      </c>
      <c r="C288" s="36">
        <v>14.282500000000001</v>
      </c>
      <c r="D288" s="33">
        <v>5.25</v>
      </c>
      <c r="E288" s="33">
        <v>7</v>
      </c>
      <c r="F288" s="34">
        <v>18</v>
      </c>
      <c r="G288" s="33">
        <v>3</v>
      </c>
      <c r="H288" s="33">
        <v>8.75</v>
      </c>
      <c r="I288" s="33">
        <v>0.5</v>
      </c>
      <c r="J288" s="33">
        <v>4.5</v>
      </c>
      <c r="K288" s="33">
        <v>9</v>
      </c>
      <c r="L288" s="35" t="s">
        <v>303</v>
      </c>
      <c r="M288" s="32">
        <v>6.5</v>
      </c>
      <c r="N288" s="32" t="s">
        <v>303</v>
      </c>
      <c r="O288" s="32">
        <v>1.74</v>
      </c>
      <c r="P288" s="33">
        <v>6.5</v>
      </c>
      <c r="Q288" s="33">
        <v>4.5</v>
      </c>
      <c r="R288" s="33">
        <v>6.75</v>
      </c>
      <c r="S288" s="33">
        <v>5</v>
      </c>
      <c r="T288" s="33">
        <v>4.5</v>
      </c>
      <c r="U288" s="33">
        <v>12.5</v>
      </c>
      <c r="V288" s="33">
        <v>4.5</v>
      </c>
      <c r="W288" s="33">
        <v>5.2759999999999998</v>
      </c>
      <c r="X288" s="32" t="s">
        <v>303</v>
      </c>
      <c r="Y288" s="33">
        <v>1.7518</v>
      </c>
      <c r="Z288" s="33">
        <v>1.25</v>
      </c>
      <c r="AA288" s="33">
        <v>4</v>
      </c>
      <c r="AB288" s="33">
        <v>6.5</v>
      </c>
      <c r="AC288" s="33">
        <v>6.5</v>
      </c>
      <c r="AD288" s="33">
        <v>6.5</v>
      </c>
      <c r="AE288" s="35" t="s">
        <v>303</v>
      </c>
      <c r="AF288" s="33">
        <v>6.75</v>
      </c>
      <c r="AG288" s="33">
        <v>8</v>
      </c>
      <c r="AH288" s="33">
        <v>6.58</v>
      </c>
    </row>
    <row r="289" spans="1:34">
      <c r="A289" s="31" t="s">
        <v>325</v>
      </c>
      <c r="B289" s="43">
        <v>6.5</v>
      </c>
      <c r="C289" s="37">
        <v>14.39</v>
      </c>
      <c r="D289" s="33">
        <v>5.25</v>
      </c>
      <c r="E289" s="33">
        <v>7</v>
      </c>
      <c r="F289" s="34">
        <v>18</v>
      </c>
      <c r="G289" s="33">
        <v>3</v>
      </c>
      <c r="H289" s="33">
        <v>8.75</v>
      </c>
      <c r="I289" s="33">
        <v>0.5</v>
      </c>
      <c r="J289" s="33">
        <v>4</v>
      </c>
      <c r="K289" s="33">
        <v>9</v>
      </c>
      <c r="L289" s="35" t="s">
        <v>303</v>
      </c>
      <c r="M289" s="32">
        <v>6.5</v>
      </c>
      <c r="N289" s="32" t="s">
        <v>303</v>
      </c>
      <c r="O289" s="32">
        <v>1.55</v>
      </c>
      <c r="P289" s="33">
        <v>6.5</v>
      </c>
      <c r="Q289" s="33">
        <v>4.5</v>
      </c>
      <c r="R289" s="44">
        <v>6.75</v>
      </c>
      <c r="S289" s="33">
        <v>5</v>
      </c>
      <c r="T289" s="33">
        <v>4.5</v>
      </c>
      <c r="U289" s="33">
        <v>12.5</v>
      </c>
      <c r="V289" s="33">
        <v>4.5</v>
      </c>
      <c r="W289" s="33">
        <v>2.9999803809461101</v>
      </c>
      <c r="X289" s="32" t="s">
        <v>303</v>
      </c>
      <c r="Y289" s="33">
        <v>2.3540999999999999</v>
      </c>
      <c r="Z289" s="33">
        <v>1.25</v>
      </c>
      <c r="AA289" s="33">
        <v>4</v>
      </c>
      <c r="AB289" s="33">
        <v>6.5</v>
      </c>
      <c r="AC289" s="33">
        <v>6.5</v>
      </c>
      <c r="AD289" s="33">
        <v>6.5</v>
      </c>
      <c r="AE289" s="35" t="s">
        <v>303</v>
      </c>
      <c r="AF289" s="33">
        <v>6.25</v>
      </c>
      <c r="AG289" s="33">
        <v>8</v>
      </c>
      <c r="AH289" s="33">
        <v>6.71</v>
      </c>
    </row>
    <row r="290" spans="1:34">
      <c r="A290" s="31" t="s">
        <v>326</v>
      </c>
      <c r="B290" s="32">
        <v>6.5</v>
      </c>
      <c r="C290" s="36">
        <v>14.39</v>
      </c>
      <c r="D290" s="33">
        <v>5.25</v>
      </c>
      <c r="E290" s="33">
        <v>7</v>
      </c>
      <c r="F290" s="34">
        <v>18</v>
      </c>
      <c r="G290" s="33">
        <v>3</v>
      </c>
      <c r="H290" s="33">
        <v>8.75</v>
      </c>
      <c r="I290" s="33">
        <v>0.5</v>
      </c>
      <c r="J290" s="33">
        <v>4</v>
      </c>
      <c r="K290" s="33">
        <v>9</v>
      </c>
      <c r="L290" s="35" t="s">
        <v>303</v>
      </c>
      <c r="M290" s="32">
        <v>6.5</v>
      </c>
      <c r="N290" s="32" t="s">
        <v>303</v>
      </c>
      <c r="O290" s="32">
        <v>1.55</v>
      </c>
      <c r="P290" s="33">
        <v>6.5</v>
      </c>
      <c r="Q290" s="32">
        <v>4.5</v>
      </c>
      <c r="R290" s="32">
        <v>6.75</v>
      </c>
      <c r="S290" s="32">
        <v>5</v>
      </c>
      <c r="T290" s="32">
        <v>4.5</v>
      </c>
      <c r="U290" s="32">
        <v>12.5</v>
      </c>
      <c r="V290" s="32">
        <v>4.5</v>
      </c>
      <c r="W290" s="32">
        <v>3.2032615442486598</v>
      </c>
      <c r="X290" s="32" t="s">
        <v>303</v>
      </c>
      <c r="Y290" s="32">
        <v>1.9003000000000001</v>
      </c>
      <c r="Z290" s="32">
        <v>1.25</v>
      </c>
      <c r="AA290" s="32">
        <v>4</v>
      </c>
      <c r="AB290" s="32">
        <v>6.5</v>
      </c>
      <c r="AC290" s="32">
        <v>6.5</v>
      </c>
      <c r="AD290" s="32">
        <v>6.5</v>
      </c>
      <c r="AE290" s="38" t="s">
        <v>303</v>
      </c>
      <c r="AF290" s="32">
        <v>6.25</v>
      </c>
      <c r="AG290" s="32">
        <v>6.25</v>
      </c>
      <c r="AH290" s="32">
        <v>6.32</v>
      </c>
    </row>
    <row r="291" spans="1:34">
      <c r="A291" s="39" t="s">
        <v>327</v>
      </c>
      <c r="B291" s="40">
        <v>6.5</v>
      </c>
      <c r="C291" s="30">
        <v>13.75</v>
      </c>
      <c r="D291" s="40">
        <v>5.25</v>
      </c>
      <c r="E291" s="40">
        <v>7</v>
      </c>
      <c r="F291" s="41">
        <v>18</v>
      </c>
      <c r="G291" s="40">
        <v>3</v>
      </c>
      <c r="H291" s="40">
        <v>8.75</v>
      </c>
      <c r="I291" s="40">
        <v>0.5</v>
      </c>
      <c r="J291" s="40">
        <v>3.5</v>
      </c>
      <c r="K291" s="40">
        <v>9</v>
      </c>
      <c r="L291" s="42" t="s">
        <v>303</v>
      </c>
      <c r="M291" s="40">
        <v>6.5</v>
      </c>
      <c r="N291" s="40" t="s">
        <v>303</v>
      </c>
      <c r="O291" s="40">
        <v>1.65</v>
      </c>
      <c r="P291" s="40">
        <v>6.5</v>
      </c>
      <c r="Q291" s="40">
        <v>4.5</v>
      </c>
      <c r="R291" s="40">
        <v>6.75</v>
      </c>
      <c r="S291" s="40">
        <v>5</v>
      </c>
      <c r="T291" s="40">
        <v>4.5</v>
      </c>
      <c r="U291" s="40">
        <v>10.5</v>
      </c>
      <c r="V291" s="40">
        <v>4.5</v>
      </c>
      <c r="W291" s="40">
        <v>4.1216781982906898</v>
      </c>
      <c r="X291" s="40" t="s">
        <v>303</v>
      </c>
      <c r="Y291" s="40">
        <v>2.9104000000000001</v>
      </c>
      <c r="Z291" s="40">
        <v>1.25</v>
      </c>
      <c r="AA291" s="40">
        <v>4</v>
      </c>
      <c r="AB291" s="40">
        <v>6.5</v>
      </c>
      <c r="AC291" s="40">
        <v>6.5</v>
      </c>
      <c r="AD291" s="40">
        <v>6.5</v>
      </c>
      <c r="AE291" s="42" t="s">
        <v>303</v>
      </c>
      <c r="AF291" s="40">
        <v>5.75</v>
      </c>
      <c r="AG291" s="40">
        <v>6.25</v>
      </c>
      <c r="AH291" s="40">
        <v>6.31</v>
      </c>
    </row>
    <row r="292" spans="1:34">
      <c r="A292" s="31" t="s">
        <v>328</v>
      </c>
      <c r="B292" s="32">
        <v>6.5</v>
      </c>
      <c r="C292" s="36">
        <v>13.75</v>
      </c>
      <c r="D292" s="33">
        <v>5.25</v>
      </c>
      <c r="E292" s="33">
        <v>7</v>
      </c>
      <c r="F292" s="34">
        <v>18</v>
      </c>
      <c r="G292" s="33">
        <v>3</v>
      </c>
      <c r="H292" s="32">
        <v>8.75</v>
      </c>
      <c r="I292" s="33">
        <v>0.5</v>
      </c>
      <c r="J292" s="33">
        <v>3.5</v>
      </c>
      <c r="K292" s="33">
        <v>9</v>
      </c>
      <c r="L292" s="35" t="s">
        <v>303</v>
      </c>
      <c r="M292" s="32">
        <v>6.5</v>
      </c>
      <c r="N292" s="32" t="s">
        <v>303</v>
      </c>
      <c r="O292" s="32">
        <v>1.84</v>
      </c>
      <c r="P292" s="33">
        <v>6.5</v>
      </c>
      <c r="Q292" s="33">
        <v>4.5</v>
      </c>
      <c r="R292" s="33">
        <v>6.75</v>
      </c>
      <c r="S292" s="33">
        <v>5</v>
      </c>
      <c r="T292" s="33">
        <v>4.5</v>
      </c>
      <c r="U292" s="33">
        <v>10.5</v>
      </c>
      <c r="V292" s="33">
        <v>4.5</v>
      </c>
      <c r="W292" s="33">
        <v>3.0164308995015099</v>
      </c>
      <c r="X292" s="32" t="s">
        <v>303</v>
      </c>
      <c r="Y292" s="33">
        <v>2.5647000000000002</v>
      </c>
      <c r="Z292" s="33">
        <v>1.25</v>
      </c>
      <c r="AA292" s="33">
        <v>4</v>
      </c>
      <c r="AB292" s="33">
        <v>6.5</v>
      </c>
      <c r="AC292" s="33">
        <v>6.5</v>
      </c>
      <c r="AD292" s="33">
        <v>6.5</v>
      </c>
      <c r="AE292" s="35" t="s">
        <v>303</v>
      </c>
      <c r="AF292" s="33">
        <v>5.25</v>
      </c>
      <c r="AG292" s="33">
        <v>6.25</v>
      </c>
      <c r="AH292" s="33">
        <v>6.29</v>
      </c>
    </row>
    <row r="293" spans="1:34">
      <c r="A293" s="31" t="s">
        <v>329</v>
      </c>
      <c r="B293" s="32">
        <v>6.5</v>
      </c>
      <c r="C293" s="36">
        <v>13.75</v>
      </c>
      <c r="D293" s="33">
        <v>5.25</v>
      </c>
      <c r="E293" s="33">
        <v>7</v>
      </c>
      <c r="F293" s="34">
        <v>18</v>
      </c>
      <c r="G293" s="33">
        <v>3</v>
      </c>
      <c r="H293" s="32">
        <v>8.75</v>
      </c>
      <c r="I293" s="33">
        <v>0.5</v>
      </c>
      <c r="J293" s="33">
        <v>3.5</v>
      </c>
      <c r="K293" s="33">
        <v>9</v>
      </c>
      <c r="L293" s="35" t="s">
        <v>303</v>
      </c>
      <c r="M293" s="32">
        <v>6.5</v>
      </c>
      <c r="N293" s="32" t="s">
        <v>303</v>
      </c>
      <c r="O293" s="32">
        <v>1.42</v>
      </c>
      <c r="P293" s="33">
        <v>6.5</v>
      </c>
      <c r="Q293" s="33">
        <v>4.5</v>
      </c>
      <c r="R293" s="33">
        <v>6.5</v>
      </c>
      <c r="S293" s="33">
        <v>5</v>
      </c>
      <c r="T293" s="33">
        <v>4.5</v>
      </c>
      <c r="U293" s="33">
        <v>10</v>
      </c>
      <c r="V293" s="33">
        <v>4.5</v>
      </c>
      <c r="W293" s="33">
        <v>2.9181075759936701</v>
      </c>
      <c r="X293" s="32" t="s">
        <v>303</v>
      </c>
      <c r="Y293" s="33">
        <v>2.6190000000000002</v>
      </c>
      <c r="Z293" s="33">
        <v>1.25</v>
      </c>
      <c r="AA293" s="33">
        <v>4</v>
      </c>
      <c r="AB293" s="33">
        <v>6.5</v>
      </c>
      <c r="AC293" s="33">
        <v>6.5</v>
      </c>
      <c r="AD293" s="33">
        <v>6.5</v>
      </c>
      <c r="AE293" s="35" t="s">
        <v>303</v>
      </c>
      <c r="AF293" s="33">
        <v>5</v>
      </c>
      <c r="AG293" s="33">
        <v>6.25</v>
      </c>
      <c r="AH293" s="33">
        <v>6.32</v>
      </c>
    </row>
    <row r="294" spans="1:34">
      <c r="A294" s="31" t="s">
        <v>330</v>
      </c>
      <c r="B294" s="32">
        <v>6.5</v>
      </c>
      <c r="C294" s="37">
        <v>13.2</v>
      </c>
      <c r="D294" s="33">
        <v>5.25</v>
      </c>
      <c r="E294" s="33">
        <v>7</v>
      </c>
      <c r="F294" s="34">
        <v>18</v>
      </c>
      <c r="G294" s="33">
        <v>3</v>
      </c>
      <c r="H294" s="33">
        <v>8.75</v>
      </c>
      <c r="I294" s="33">
        <v>0.5</v>
      </c>
      <c r="J294" s="33">
        <v>3.5</v>
      </c>
      <c r="K294" s="33">
        <v>9</v>
      </c>
      <c r="L294" s="35" t="s">
        <v>303</v>
      </c>
      <c r="M294" s="32">
        <v>6.5</v>
      </c>
      <c r="N294" s="32" t="s">
        <v>303</v>
      </c>
      <c r="O294" s="32">
        <v>1.26</v>
      </c>
      <c r="P294" s="33">
        <v>6.5</v>
      </c>
      <c r="Q294" s="33">
        <v>4.5</v>
      </c>
      <c r="R294" s="33">
        <v>6.5</v>
      </c>
      <c r="S294" s="33">
        <v>5</v>
      </c>
      <c r="T294" s="33">
        <v>4.5</v>
      </c>
      <c r="U294" s="33">
        <v>10</v>
      </c>
      <c r="V294" s="33">
        <v>4.5</v>
      </c>
      <c r="W294" s="33">
        <v>0</v>
      </c>
      <c r="X294" s="32" t="s">
        <v>303</v>
      </c>
      <c r="Y294" s="33">
        <v>2.0171999999999999</v>
      </c>
      <c r="Z294" s="33">
        <v>1.25</v>
      </c>
      <c r="AA294" s="33">
        <v>4</v>
      </c>
      <c r="AB294" s="33">
        <v>6.5</v>
      </c>
      <c r="AC294" s="33">
        <v>6.5</v>
      </c>
      <c r="AD294" s="33">
        <v>6.5</v>
      </c>
      <c r="AE294" s="35" t="s">
        <v>303</v>
      </c>
      <c r="AF294" s="33">
        <v>5</v>
      </c>
      <c r="AG294" s="33">
        <v>6.25</v>
      </c>
      <c r="AH294" s="33">
        <v>6.29</v>
      </c>
    </row>
    <row r="295" spans="1:34">
      <c r="A295" s="31" t="s">
        <v>331</v>
      </c>
      <c r="B295" s="32">
        <v>6.5</v>
      </c>
      <c r="C295" s="36">
        <v>13.2</v>
      </c>
      <c r="D295" s="33">
        <v>5.25</v>
      </c>
      <c r="E295" s="33">
        <v>7</v>
      </c>
      <c r="F295" s="34">
        <v>18</v>
      </c>
      <c r="G295" s="33">
        <v>3</v>
      </c>
      <c r="H295" s="33">
        <v>8.75</v>
      </c>
      <c r="I295" s="33">
        <v>0.5</v>
      </c>
      <c r="J295" s="33">
        <v>3.5</v>
      </c>
      <c r="K295" s="33">
        <v>9</v>
      </c>
      <c r="L295" s="35" t="s">
        <v>303</v>
      </c>
      <c r="M295" s="32">
        <v>6.5</v>
      </c>
      <c r="N295" s="32" t="s">
        <v>303</v>
      </c>
      <c r="O295" s="32">
        <v>1.3</v>
      </c>
      <c r="P295" s="32">
        <v>6.5</v>
      </c>
      <c r="Q295" s="33">
        <v>4.5</v>
      </c>
      <c r="R295" s="33">
        <v>6.5</v>
      </c>
      <c r="S295" s="33">
        <v>5</v>
      </c>
      <c r="T295" s="33">
        <v>4.5</v>
      </c>
      <c r="U295" s="33">
        <v>10</v>
      </c>
      <c r="V295" s="33">
        <v>4.5</v>
      </c>
      <c r="W295" s="33">
        <v>0</v>
      </c>
      <c r="X295" s="32" t="s">
        <v>303</v>
      </c>
      <c r="Y295" s="33">
        <v>1.8648</v>
      </c>
      <c r="Z295" s="33">
        <v>1.25</v>
      </c>
      <c r="AA295" s="33">
        <v>4</v>
      </c>
      <c r="AB295" s="32">
        <v>6.5</v>
      </c>
      <c r="AC295" s="32">
        <v>6.5</v>
      </c>
      <c r="AD295" s="32">
        <v>6.5</v>
      </c>
      <c r="AE295" s="35" t="s">
        <v>303</v>
      </c>
      <c r="AF295" s="33">
        <v>5</v>
      </c>
      <c r="AG295" s="33">
        <v>6.25</v>
      </c>
      <c r="AH295" s="33">
        <v>6.42</v>
      </c>
    </row>
    <row r="296" spans="1:34">
      <c r="A296" s="31" t="s">
        <v>332</v>
      </c>
      <c r="B296" s="32">
        <v>6.5</v>
      </c>
      <c r="C296" s="37">
        <v>11.15</v>
      </c>
      <c r="D296" s="33">
        <v>5.25</v>
      </c>
      <c r="E296" s="33">
        <v>7</v>
      </c>
      <c r="F296" s="34">
        <v>18</v>
      </c>
      <c r="G296" s="33">
        <v>3</v>
      </c>
      <c r="H296" s="33">
        <v>9.5</v>
      </c>
      <c r="I296" s="33">
        <v>0.5</v>
      </c>
      <c r="J296" s="33">
        <v>3</v>
      </c>
      <c r="K296" s="33">
        <v>9</v>
      </c>
      <c r="L296" s="35" t="s">
        <v>303</v>
      </c>
      <c r="M296" s="32">
        <v>6.5</v>
      </c>
      <c r="N296" s="32" t="s">
        <v>303</v>
      </c>
      <c r="O296" s="32">
        <v>1.27</v>
      </c>
      <c r="P296" s="32">
        <v>6.5</v>
      </c>
      <c r="Q296" s="33">
        <v>4.5</v>
      </c>
      <c r="R296" s="33">
        <v>6.5</v>
      </c>
      <c r="S296" s="33">
        <v>5</v>
      </c>
      <c r="T296" s="33">
        <v>4.5</v>
      </c>
      <c r="U296" s="33">
        <v>10</v>
      </c>
      <c r="V296" s="33">
        <v>4.5</v>
      </c>
      <c r="W296" s="33">
        <v>1.91533416465722</v>
      </c>
      <c r="X296" s="32" t="s">
        <v>303</v>
      </c>
      <c r="Y296" s="33">
        <v>0.28449999999999998</v>
      </c>
      <c r="Z296" s="33">
        <v>1.5</v>
      </c>
      <c r="AA296" s="33">
        <v>4</v>
      </c>
      <c r="AB296" s="32">
        <v>6.5</v>
      </c>
      <c r="AC296" s="32">
        <v>6.5</v>
      </c>
      <c r="AD296" s="32">
        <v>6.5</v>
      </c>
      <c r="AE296" s="35" t="s">
        <v>303</v>
      </c>
      <c r="AF296" s="33">
        <v>5</v>
      </c>
      <c r="AG296" s="33">
        <v>6.25</v>
      </c>
      <c r="AH296" s="33">
        <v>6.37</v>
      </c>
    </row>
    <row r="297" spans="1:34">
      <c r="A297" s="31" t="s">
        <v>333</v>
      </c>
      <c r="B297" s="32">
        <v>6.5</v>
      </c>
      <c r="C297" s="37">
        <v>11.11</v>
      </c>
      <c r="D297" s="33">
        <v>5.25</v>
      </c>
      <c r="E297" s="33">
        <v>7</v>
      </c>
      <c r="F297" s="34">
        <v>18</v>
      </c>
      <c r="G297" s="33">
        <v>3</v>
      </c>
      <c r="H297" s="33">
        <v>10.25</v>
      </c>
      <c r="I297" s="33">
        <v>1</v>
      </c>
      <c r="J297" s="33">
        <v>3</v>
      </c>
      <c r="K297" s="33">
        <v>9</v>
      </c>
      <c r="L297" s="35" t="s">
        <v>303</v>
      </c>
      <c r="M297" s="32">
        <v>6.5</v>
      </c>
      <c r="N297" s="32" t="s">
        <v>303</v>
      </c>
      <c r="O297" s="32">
        <v>1.29</v>
      </c>
      <c r="P297" s="32">
        <v>6.5</v>
      </c>
      <c r="Q297" s="33">
        <v>4.5</v>
      </c>
      <c r="R297" s="33">
        <v>6.5</v>
      </c>
      <c r="S297" s="33">
        <v>5</v>
      </c>
      <c r="T297" s="33">
        <v>4.5</v>
      </c>
      <c r="U297" s="33">
        <v>9.5</v>
      </c>
      <c r="V297" s="33">
        <v>4.5</v>
      </c>
      <c r="W297" s="33">
        <v>1.74811365240567</v>
      </c>
      <c r="X297" s="32" t="s">
        <v>303</v>
      </c>
      <c r="Y297" s="33">
        <v>0.48130000000000001</v>
      </c>
      <c r="Z297" s="33">
        <v>1.75</v>
      </c>
      <c r="AA297" s="33">
        <v>4</v>
      </c>
      <c r="AB297" s="32">
        <v>6.5</v>
      </c>
      <c r="AC297" s="32">
        <v>6.5</v>
      </c>
      <c r="AD297" s="32">
        <v>6.5</v>
      </c>
      <c r="AE297" s="35" t="s">
        <v>303</v>
      </c>
      <c r="AF297" s="33">
        <v>5</v>
      </c>
      <c r="AG297" s="33">
        <v>6.25</v>
      </c>
      <c r="AH297" s="33">
        <v>6.42</v>
      </c>
    </row>
    <row r="298" spans="1:34">
      <c r="A298" s="31" t="s">
        <v>334</v>
      </c>
      <c r="B298" s="33">
        <v>6.5</v>
      </c>
      <c r="C298" s="37">
        <v>12.25</v>
      </c>
      <c r="D298" s="33">
        <v>5.25</v>
      </c>
      <c r="E298" s="33">
        <v>7</v>
      </c>
      <c r="F298" s="34">
        <v>18</v>
      </c>
      <c r="G298" s="33">
        <v>3</v>
      </c>
      <c r="H298" s="33">
        <v>10.25</v>
      </c>
      <c r="I298" s="33">
        <v>1.5</v>
      </c>
      <c r="J298" s="33">
        <v>3</v>
      </c>
      <c r="K298" s="33">
        <v>9</v>
      </c>
      <c r="L298" s="35" t="s">
        <v>303</v>
      </c>
      <c r="M298" s="33">
        <v>6.5</v>
      </c>
      <c r="N298" s="33" t="s">
        <v>303</v>
      </c>
      <c r="O298" s="33">
        <v>1.29</v>
      </c>
      <c r="P298" s="33">
        <v>6.5</v>
      </c>
      <c r="Q298" s="33">
        <v>4.5</v>
      </c>
      <c r="R298" s="33">
        <v>6.5</v>
      </c>
      <c r="S298" s="33">
        <v>5</v>
      </c>
      <c r="T298" s="33">
        <v>4</v>
      </c>
      <c r="U298" s="33">
        <v>9</v>
      </c>
      <c r="V298" s="33">
        <v>4.5</v>
      </c>
      <c r="W298" s="33" t="s">
        <v>303</v>
      </c>
      <c r="X298" s="33" t="s">
        <v>303</v>
      </c>
      <c r="Y298" s="33">
        <v>0.94640000000000002</v>
      </c>
      <c r="Z298" s="33">
        <v>2</v>
      </c>
      <c r="AA298" s="33">
        <v>4</v>
      </c>
      <c r="AB298" s="33">
        <v>6.5</v>
      </c>
      <c r="AC298" s="33">
        <v>6.5</v>
      </c>
      <c r="AD298" s="33">
        <v>6.5</v>
      </c>
      <c r="AE298" s="35" t="s">
        <v>303</v>
      </c>
      <c r="AF298" s="33">
        <v>5</v>
      </c>
      <c r="AG298" s="33">
        <v>6.25</v>
      </c>
      <c r="AH298" s="33">
        <v>6.35</v>
      </c>
    </row>
    <row r="299" spans="1:34">
      <c r="A299" s="31" t="s">
        <v>335</v>
      </c>
      <c r="B299" s="33">
        <v>6.5</v>
      </c>
      <c r="C299" s="37">
        <v>12.22</v>
      </c>
      <c r="D299" s="33">
        <v>5.25</v>
      </c>
      <c r="E299" s="33">
        <v>7</v>
      </c>
      <c r="F299" s="34">
        <v>18</v>
      </c>
      <c r="G299" s="33">
        <v>3</v>
      </c>
      <c r="H299" s="33">
        <v>10.75</v>
      </c>
      <c r="I299" s="33">
        <v>2</v>
      </c>
      <c r="J299" s="33">
        <v>3</v>
      </c>
      <c r="K299" s="33">
        <v>7.5</v>
      </c>
      <c r="L299" s="35" t="s">
        <v>303</v>
      </c>
      <c r="M299" s="33">
        <v>6.5</v>
      </c>
      <c r="N299" s="33" t="s">
        <v>303</v>
      </c>
      <c r="O299" s="33">
        <v>1.26</v>
      </c>
      <c r="P299" s="33">
        <v>6.5</v>
      </c>
      <c r="Q299" s="33">
        <v>4.5</v>
      </c>
      <c r="R299" s="33">
        <v>6.25</v>
      </c>
      <c r="S299" s="33">
        <v>5</v>
      </c>
      <c r="T299" s="33">
        <v>4.5</v>
      </c>
      <c r="U299" s="33">
        <v>8</v>
      </c>
      <c r="V299" s="33">
        <v>4.5</v>
      </c>
      <c r="W299" s="33" t="s">
        <v>303</v>
      </c>
      <c r="X299" s="33" t="s">
        <v>303</v>
      </c>
      <c r="Y299" s="33">
        <v>1.3435999999999999</v>
      </c>
      <c r="Z299" s="33">
        <v>2.5</v>
      </c>
      <c r="AA299" s="33">
        <v>4</v>
      </c>
      <c r="AB299" s="33">
        <v>6.5</v>
      </c>
      <c r="AC299" s="33">
        <v>6.5</v>
      </c>
      <c r="AD299" s="33">
        <v>6.5</v>
      </c>
      <c r="AE299" s="35" t="s">
        <v>303</v>
      </c>
      <c r="AF299" s="33">
        <v>4.5</v>
      </c>
      <c r="AG299" s="33">
        <v>6.25</v>
      </c>
      <c r="AH299" s="33">
        <v>6.38</v>
      </c>
    </row>
    <row r="300" spans="1:34">
      <c r="A300" s="31" t="s">
        <v>336</v>
      </c>
      <c r="B300" s="33">
        <v>6.5</v>
      </c>
      <c r="C300" s="37">
        <v>12.12</v>
      </c>
      <c r="D300" s="33">
        <v>5.25</v>
      </c>
      <c r="E300" s="33">
        <v>7</v>
      </c>
      <c r="F300" s="34">
        <v>18</v>
      </c>
      <c r="G300" s="33">
        <v>3</v>
      </c>
      <c r="H300" s="33">
        <v>10.75</v>
      </c>
      <c r="I300" s="33">
        <v>2.5</v>
      </c>
      <c r="J300" s="33">
        <v>3</v>
      </c>
      <c r="K300" s="33">
        <v>7.5</v>
      </c>
      <c r="L300" s="35" t="s">
        <v>303</v>
      </c>
      <c r="M300" s="33">
        <v>6.5</v>
      </c>
      <c r="N300" s="33" t="s">
        <v>303</v>
      </c>
      <c r="O300" s="33">
        <v>1.28</v>
      </c>
      <c r="P300" s="33">
        <v>6.5</v>
      </c>
      <c r="Q300" s="33">
        <v>4.5</v>
      </c>
      <c r="R300" s="33">
        <v>6.25</v>
      </c>
      <c r="S300" s="33">
        <v>5</v>
      </c>
      <c r="T300" s="33">
        <v>4.5</v>
      </c>
      <c r="U300" s="33">
        <v>8</v>
      </c>
      <c r="V300" s="33">
        <v>4.5</v>
      </c>
      <c r="W300" s="33" t="s">
        <v>303</v>
      </c>
      <c r="X300" s="33" t="s">
        <v>303</v>
      </c>
      <c r="Y300" s="33">
        <v>2.5253999999999999</v>
      </c>
      <c r="Z300" s="33">
        <v>3</v>
      </c>
      <c r="AA300" s="33">
        <v>4</v>
      </c>
      <c r="AB300" s="33">
        <v>6.5</v>
      </c>
      <c r="AC300" s="33">
        <v>6.5</v>
      </c>
      <c r="AD300" s="33">
        <v>6.5</v>
      </c>
      <c r="AE300" s="35" t="s">
        <v>303</v>
      </c>
      <c r="AF300" s="33">
        <v>4.5</v>
      </c>
      <c r="AG300" s="33">
        <v>6.5</v>
      </c>
      <c r="AH300" s="33">
        <v>6.25</v>
      </c>
    </row>
    <row r="301" spans="1:34">
      <c r="A301" s="31" t="s">
        <v>337</v>
      </c>
      <c r="B301" s="33">
        <v>6.5</v>
      </c>
      <c r="C301" s="36">
        <v>12.12</v>
      </c>
      <c r="D301" s="33">
        <v>5.25</v>
      </c>
      <c r="E301" s="33">
        <v>7</v>
      </c>
      <c r="F301" s="34">
        <v>18</v>
      </c>
      <c r="G301" s="33">
        <v>3</v>
      </c>
      <c r="H301" s="33">
        <v>10.75</v>
      </c>
      <c r="I301" s="33">
        <v>2.75</v>
      </c>
      <c r="J301" s="33">
        <v>3</v>
      </c>
      <c r="K301" s="33">
        <v>6.5</v>
      </c>
      <c r="L301" s="35" t="s">
        <v>303</v>
      </c>
      <c r="M301" s="33">
        <v>6.5</v>
      </c>
      <c r="N301" s="33" t="s">
        <v>303</v>
      </c>
      <c r="O301" s="33">
        <v>1.25</v>
      </c>
      <c r="P301" s="33">
        <v>6.5</v>
      </c>
      <c r="Q301" s="33">
        <v>4.5</v>
      </c>
      <c r="R301" s="33">
        <v>6.25</v>
      </c>
      <c r="S301" s="33">
        <v>5</v>
      </c>
      <c r="T301" s="33">
        <v>4.5</v>
      </c>
      <c r="U301" s="33">
        <v>8</v>
      </c>
      <c r="V301" s="33">
        <v>4.5</v>
      </c>
      <c r="W301" s="33" t="s">
        <v>303</v>
      </c>
      <c r="X301" s="33" t="s">
        <v>303</v>
      </c>
      <c r="Y301" s="33">
        <v>2.5390000000000001</v>
      </c>
      <c r="Z301" s="33">
        <v>3</v>
      </c>
      <c r="AA301" s="33">
        <v>4.75</v>
      </c>
      <c r="AB301" s="33">
        <v>6.5</v>
      </c>
      <c r="AC301" s="33">
        <v>6.5</v>
      </c>
      <c r="AD301" s="33">
        <v>6.5</v>
      </c>
      <c r="AE301" s="35" t="s">
        <v>303</v>
      </c>
      <c r="AF301" s="33">
        <v>4</v>
      </c>
      <c r="AG301" s="33">
        <v>6.5</v>
      </c>
      <c r="AH301" s="33">
        <v>6.36</v>
      </c>
    </row>
    <row r="302" spans="1:34">
      <c r="A302" s="31" t="s">
        <v>338</v>
      </c>
      <c r="B302" s="32">
        <v>6.5</v>
      </c>
      <c r="C302" s="45">
        <v>11.05</v>
      </c>
      <c r="D302" s="32">
        <v>5.25</v>
      </c>
      <c r="E302" s="32">
        <v>7</v>
      </c>
      <c r="F302" s="46">
        <v>18</v>
      </c>
      <c r="G302" s="32">
        <v>3</v>
      </c>
      <c r="H302" s="32">
        <v>10.75</v>
      </c>
      <c r="I302" s="32">
        <v>3</v>
      </c>
      <c r="J302" s="32">
        <v>3</v>
      </c>
      <c r="K302" s="32">
        <v>6.5</v>
      </c>
      <c r="L302" s="38" t="s">
        <v>303</v>
      </c>
      <c r="M302" s="32">
        <v>6.5</v>
      </c>
      <c r="N302" s="32" t="s">
        <v>303</v>
      </c>
      <c r="O302" s="32">
        <v>1.21</v>
      </c>
      <c r="P302" s="32">
        <v>6.5</v>
      </c>
      <c r="Q302" s="32">
        <v>4.5</v>
      </c>
      <c r="R302" s="32">
        <v>6.25</v>
      </c>
      <c r="S302" s="32">
        <v>5</v>
      </c>
      <c r="T302" s="32">
        <v>4.5</v>
      </c>
      <c r="U302" s="32">
        <v>7.5</v>
      </c>
      <c r="V302" s="33">
        <v>4.5</v>
      </c>
      <c r="W302" s="33">
        <v>1.5</v>
      </c>
      <c r="X302" s="33" t="s">
        <v>303</v>
      </c>
      <c r="Y302" s="33">
        <v>3.8656000000000001</v>
      </c>
      <c r="Z302" s="33">
        <v>3</v>
      </c>
      <c r="AA302" s="33">
        <v>5</v>
      </c>
      <c r="AB302" s="33">
        <v>6.5</v>
      </c>
      <c r="AC302" s="33">
        <v>6.5</v>
      </c>
      <c r="AD302" s="33">
        <v>6.5</v>
      </c>
      <c r="AE302" s="35" t="s">
        <v>303</v>
      </c>
      <c r="AF302" s="33">
        <v>4</v>
      </c>
      <c r="AG302" s="33">
        <v>6.5</v>
      </c>
      <c r="AH302" s="33">
        <v>6.16</v>
      </c>
    </row>
    <row r="303" spans="1:34">
      <c r="A303" s="39" t="s">
        <v>339</v>
      </c>
      <c r="B303" s="40">
        <v>6.5</v>
      </c>
      <c r="C303" s="30">
        <v>11.1</v>
      </c>
      <c r="D303" s="40">
        <v>5.25</v>
      </c>
      <c r="E303" s="40">
        <v>7</v>
      </c>
      <c r="F303" s="41">
        <v>18</v>
      </c>
      <c r="G303" s="40">
        <v>3</v>
      </c>
      <c r="H303" s="40">
        <v>10.75</v>
      </c>
      <c r="I303" s="40">
        <v>3.25</v>
      </c>
      <c r="J303" s="40">
        <v>3</v>
      </c>
      <c r="K303" s="40">
        <v>6.5</v>
      </c>
      <c r="L303" s="42" t="s">
        <v>303</v>
      </c>
      <c r="M303" s="40">
        <v>6.5</v>
      </c>
      <c r="N303" s="40" t="s">
        <v>303</v>
      </c>
      <c r="O303" s="40">
        <v>1.26</v>
      </c>
      <c r="P303" s="40">
        <v>6.5</v>
      </c>
      <c r="Q303" s="40">
        <v>4.5</v>
      </c>
      <c r="R303" s="40">
        <v>6.25</v>
      </c>
      <c r="S303" s="40">
        <v>5</v>
      </c>
      <c r="T303" s="40">
        <v>4.5</v>
      </c>
      <c r="U303" s="40">
        <v>7.5</v>
      </c>
      <c r="V303" s="40">
        <v>4.5</v>
      </c>
      <c r="W303" s="40">
        <v>1.39699897905298</v>
      </c>
      <c r="X303" s="40" t="s">
        <v>303</v>
      </c>
      <c r="Y303" s="40">
        <v>5.5096999999999996</v>
      </c>
      <c r="Z303" s="40">
        <v>3</v>
      </c>
      <c r="AA303" s="40">
        <v>5</v>
      </c>
      <c r="AB303" s="40">
        <v>6.5</v>
      </c>
      <c r="AC303" s="40">
        <v>6.5</v>
      </c>
      <c r="AD303" s="40">
        <v>6.5</v>
      </c>
      <c r="AE303" s="42" t="s">
        <v>303</v>
      </c>
      <c r="AF303" s="40">
        <v>3.75</v>
      </c>
      <c r="AG303" s="40">
        <v>6.5</v>
      </c>
      <c r="AH303" s="40">
        <v>6.42</v>
      </c>
    </row>
    <row r="304" spans="1:34">
      <c r="A304" s="31" t="s">
        <v>340</v>
      </c>
      <c r="B304" s="33">
        <v>6.5</v>
      </c>
      <c r="C304" s="37">
        <v>11.07</v>
      </c>
      <c r="D304" s="33">
        <v>5.25</v>
      </c>
      <c r="E304" s="33">
        <v>7</v>
      </c>
      <c r="F304" s="34">
        <v>11</v>
      </c>
      <c r="G304" s="33">
        <v>3</v>
      </c>
      <c r="H304" s="33">
        <v>10.75</v>
      </c>
      <c r="I304" s="33">
        <v>3.25</v>
      </c>
      <c r="J304" s="33">
        <v>3</v>
      </c>
      <c r="K304" s="33">
        <v>6.5</v>
      </c>
      <c r="L304" s="35" t="s">
        <v>303</v>
      </c>
      <c r="M304" s="33">
        <v>6.5</v>
      </c>
      <c r="N304" s="33" t="s">
        <v>303</v>
      </c>
      <c r="O304" s="33">
        <v>1.26</v>
      </c>
      <c r="P304" s="33">
        <v>6.5</v>
      </c>
      <c r="Q304" s="33">
        <v>4.5</v>
      </c>
      <c r="R304" s="33">
        <v>6.25</v>
      </c>
      <c r="S304" s="33">
        <v>5</v>
      </c>
      <c r="T304" s="33">
        <v>4.5</v>
      </c>
      <c r="U304" s="33">
        <v>7.5</v>
      </c>
      <c r="V304" s="33">
        <v>4.5</v>
      </c>
      <c r="W304" s="33">
        <v>1.1600909102660399</v>
      </c>
      <c r="X304" s="33" t="s">
        <v>303</v>
      </c>
      <c r="Y304" s="33">
        <v>5.7766000000000002</v>
      </c>
      <c r="Z304" s="33">
        <v>3.25</v>
      </c>
      <c r="AA304" s="33">
        <v>5</v>
      </c>
      <c r="AB304" s="33">
        <v>6.5</v>
      </c>
      <c r="AC304" s="33">
        <v>6.5</v>
      </c>
      <c r="AD304" s="33">
        <v>6.5</v>
      </c>
      <c r="AE304" s="35" t="s">
        <v>303</v>
      </c>
      <c r="AF304" s="33">
        <v>3.75</v>
      </c>
      <c r="AG304" s="33">
        <v>6.5</v>
      </c>
      <c r="AH304" s="33">
        <v>6.37</v>
      </c>
    </row>
    <row r="305" spans="1:34">
      <c r="A305" s="31" t="s">
        <v>341</v>
      </c>
      <c r="B305" s="33">
        <v>6.5</v>
      </c>
      <c r="C305" s="37">
        <v>11.15</v>
      </c>
      <c r="D305" s="33">
        <v>5.25</v>
      </c>
      <c r="E305" s="33">
        <v>7</v>
      </c>
      <c r="F305" s="34">
        <v>11</v>
      </c>
      <c r="G305" s="33">
        <v>3</v>
      </c>
      <c r="H305" s="33">
        <v>11.25</v>
      </c>
      <c r="I305" s="33">
        <v>3.5</v>
      </c>
      <c r="J305" s="33">
        <v>3</v>
      </c>
      <c r="K305" s="33">
        <v>6.5</v>
      </c>
      <c r="L305" s="35" t="s">
        <v>303</v>
      </c>
      <c r="M305" s="33">
        <v>6.5</v>
      </c>
      <c r="N305" s="33" t="s">
        <v>303</v>
      </c>
      <c r="O305" s="33">
        <v>1.52</v>
      </c>
      <c r="P305" s="33">
        <v>6.5</v>
      </c>
      <c r="Q305" s="33">
        <v>4.5</v>
      </c>
      <c r="R305" s="33">
        <v>5.25</v>
      </c>
      <c r="S305" s="33">
        <v>3</v>
      </c>
      <c r="T305" s="33">
        <v>4.5</v>
      </c>
      <c r="U305" s="33">
        <v>6.75</v>
      </c>
      <c r="V305" s="33">
        <v>4.5</v>
      </c>
      <c r="W305" s="33">
        <v>0.62145998026903504</v>
      </c>
      <c r="X305" s="33" t="s">
        <v>303</v>
      </c>
      <c r="Y305" s="33">
        <v>5.9771999999999998</v>
      </c>
      <c r="Z305" s="33">
        <v>3.5</v>
      </c>
      <c r="AA305" s="33">
        <v>5</v>
      </c>
      <c r="AB305" s="33">
        <v>6.5</v>
      </c>
      <c r="AC305" s="33">
        <v>6.5</v>
      </c>
      <c r="AD305" s="33">
        <v>6.5</v>
      </c>
      <c r="AE305" s="35" t="s">
        <v>303</v>
      </c>
      <c r="AF305" s="33">
        <v>3.5</v>
      </c>
      <c r="AG305" s="33">
        <v>6.5</v>
      </c>
      <c r="AH305" s="33">
        <v>6.4</v>
      </c>
    </row>
    <row r="306" spans="1:34">
      <c r="A306" s="31" t="s">
        <v>342</v>
      </c>
      <c r="B306" s="33">
        <v>6.5</v>
      </c>
      <c r="C306" s="37">
        <v>11.07</v>
      </c>
      <c r="D306" s="33">
        <v>5.25</v>
      </c>
      <c r="E306" s="33">
        <v>7</v>
      </c>
      <c r="F306" s="34">
        <v>11</v>
      </c>
      <c r="G306" s="33">
        <v>3</v>
      </c>
      <c r="H306" s="33">
        <v>11.75</v>
      </c>
      <c r="I306" s="33">
        <v>4</v>
      </c>
      <c r="J306" s="33">
        <v>3.25</v>
      </c>
      <c r="K306" s="33">
        <v>6.5</v>
      </c>
      <c r="L306" s="35" t="s">
        <v>303</v>
      </c>
      <c r="M306" s="33">
        <v>6.5</v>
      </c>
      <c r="N306" s="33" t="s">
        <v>303</v>
      </c>
      <c r="O306" s="33">
        <v>1.25</v>
      </c>
      <c r="P306" s="33">
        <v>6.5</v>
      </c>
      <c r="Q306" s="33">
        <v>4.5</v>
      </c>
      <c r="R306" s="33">
        <v>5.25</v>
      </c>
      <c r="S306" s="33">
        <v>3</v>
      </c>
      <c r="T306" s="33">
        <v>4.5</v>
      </c>
      <c r="U306" s="33">
        <v>6.75</v>
      </c>
      <c r="V306" s="33">
        <v>4.5</v>
      </c>
      <c r="W306" s="33">
        <v>0.451612279701606</v>
      </c>
      <c r="X306" s="33" t="s">
        <v>303</v>
      </c>
      <c r="Y306" s="33">
        <v>7.2801</v>
      </c>
      <c r="Z306" s="33">
        <v>3.75</v>
      </c>
      <c r="AA306" s="33">
        <v>6</v>
      </c>
      <c r="AB306" s="33">
        <v>6.5</v>
      </c>
      <c r="AC306" s="33">
        <v>6.5</v>
      </c>
      <c r="AD306" s="33">
        <v>6.5</v>
      </c>
      <c r="AE306" s="35" t="s">
        <v>303</v>
      </c>
      <c r="AF306" s="33">
        <v>3.25</v>
      </c>
      <c r="AG306" s="33">
        <v>6.5</v>
      </c>
      <c r="AH306" s="33">
        <v>6.46</v>
      </c>
    </row>
    <row r="307" spans="1:34">
      <c r="A307" s="31" t="s">
        <v>343</v>
      </c>
      <c r="B307" s="33">
        <v>6.5</v>
      </c>
      <c r="C307" s="37">
        <v>10.98</v>
      </c>
      <c r="D307" s="33">
        <v>5.25</v>
      </c>
      <c r="E307" s="33">
        <v>7</v>
      </c>
      <c r="F307" s="34">
        <v>11</v>
      </c>
      <c r="G307" s="33">
        <v>3</v>
      </c>
      <c r="H307" s="33">
        <v>11.75</v>
      </c>
      <c r="I307" s="33">
        <v>4.5</v>
      </c>
      <c r="J307" s="33">
        <v>3.5</v>
      </c>
      <c r="K307" s="33">
        <v>6.5</v>
      </c>
      <c r="L307" s="35" t="s">
        <v>303</v>
      </c>
      <c r="M307" s="33">
        <v>6.5</v>
      </c>
      <c r="N307" s="33" t="s">
        <v>303</v>
      </c>
      <c r="O307" s="33">
        <v>1.24</v>
      </c>
      <c r="P307" s="33">
        <v>6.5</v>
      </c>
      <c r="Q307" s="33">
        <v>4.75</v>
      </c>
      <c r="R307" s="33">
        <v>5.25</v>
      </c>
      <c r="S307" s="33">
        <v>3</v>
      </c>
      <c r="T307" s="33">
        <v>4.5</v>
      </c>
      <c r="U307" s="33">
        <v>6.75</v>
      </c>
      <c r="V307" s="33">
        <v>4.5</v>
      </c>
      <c r="W307" s="33">
        <v>0.45900000000000002</v>
      </c>
      <c r="X307" s="33" t="s">
        <v>303</v>
      </c>
      <c r="Y307" s="33">
        <v>8.1149000000000004</v>
      </c>
      <c r="Z307" s="33">
        <v>4</v>
      </c>
      <c r="AA307" s="33">
        <v>6.25</v>
      </c>
      <c r="AB307" s="33">
        <v>6.5</v>
      </c>
      <c r="AC307" s="33">
        <v>6.5</v>
      </c>
      <c r="AD307" s="33">
        <v>6.5</v>
      </c>
      <c r="AE307" s="35" t="s">
        <v>303</v>
      </c>
      <c r="AF307" s="33">
        <v>3.25</v>
      </c>
      <c r="AG307" s="33">
        <v>7.5</v>
      </c>
      <c r="AH307" s="33">
        <v>6.26</v>
      </c>
    </row>
    <row r="308" spans="1:34">
      <c r="A308" s="31" t="s">
        <v>344</v>
      </c>
      <c r="B308" s="33">
        <v>6.5</v>
      </c>
      <c r="C308" s="37">
        <v>11.03</v>
      </c>
      <c r="D308" s="33">
        <v>5.25</v>
      </c>
      <c r="E308" s="33">
        <v>7</v>
      </c>
      <c r="F308" s="34">
        <v>11</v>
      </c>
      <c r="G308" s="33">
        <v>4.5</v>
      </c>
      <c r="H308" s="33">
        <v>12</v>
      </c>
      <c r="I308" s="33">
        <v>5</v>
      </c>
      <c r="J308" s="33">
        <v>3.75</v>
      </c>
      <c r="K308" s="33">
        <v>6.5</v>
      </c>
      <c r="L308" s="35" t="s">
        <v>303</v>
      </c>
      <c r="M308" s="33">
        <v>6.5</v>
      </c>
      <c r="N308" s="33" t="s">
        <v>303</v>
      </c>
      <c r="O308" s="33">
        <v>1.27</v>
      </c>
      <c r="P308" s="33">
        <v>6.5</v>
      </c>
      <c r="Q308" s="33">
        <v>4.75</v>
      </c>
      <c r="R308" s="33">
        <v>5.25</v>
      </c>
      <c r="S308" s="33">
        <v>3</v>
      </c>
      <c r="T308" s="33">
        <v>4.5</v>
      </c>
      <c r="U308" s="33">
        <v>6.75</v>
      </c>
      <c r="V308" s="33">
        <v>4.5</v>
      </c>
      <c r="W308" s="33">
        <v>1.25</v>
      </c>
      <c r="X308" s="33" t="s">
        <v>303</v>
      </c>
      <c r="Y308" s="33">
        <v>9.1546000000000003</v>
      </c>
      <c r="Z308" s="33">
        <v>4.25</v>
      </c>
      <c r="AA308" s="33">
        <v>6.75</v>
      </c>
      <c r="AB308" s="33">
        <v>6.5</v>
      </c>
      <c r="AC308" s="33">
        <v>6.5</v>
      </c>
      <c r="AD308" s="33">
        <v>6.5</v>
      </c>
      <c r="AE308" s="35" t="s">
        <v>303</v>
      </c>
      <c r="AF308" s="33">
        <v>3.25</v>
      </c>
      <c r="AG308" s="33">
        <v>7.5</v>
      </c>
      <c r="AH308" s="33">
        <v>6.4</v>
      </c>
    </row>
    <row r="309" spans="1:34">
      <c r="A309" s="31" t="s">
        <v>345</v>
      </c>
      <c r="B309" s="33">
        <v>6.5</v>
      </c>
      <c r="C309" s="37">
        <v>11.071999999999999</v>
      </c>
      <c r="D309" s="33">
        <v>4.5</v>
      </c>
      <c r="E309" s="33">
        <v>7</v>
      </c>
      <c r="F309" s="34">
        <v>11</v>
      </c>
      <c r="G309" s="33">
        <v>4.5</v>
      </c>
      <c r="H309" s="33">
        <v>12.25</v>
      </c>
      <c r="I309" s="33">
        <v>5.25</v>
      </c>
      <c r="J309" s="33">
        <v>4</v>
      </c>
      <c r="K309" s="33">
        <v>5</v>
      </c>
      <c r="L309" s="35" t="s">
        <v>303</v>
      </c>
      <c r="M309" s="33">
        <v>6.5</v>
      </c>
      <c r="N309" s="33" t="s">
        <v>303</v>
      </c>
      <c r="O309" s="33">
        <v>1.42</v>
      </c>
      <c r="P309" s="33">
        <v>6.5</v>
      </c>
      <c r="Q309" s="33">
        <v>4.75</v>
      </c>
      <c r="R309" s="33">
        <v>5.25</v>
      </c>
      <c r="S309" s="33">
        <v>3</v>
      </c>
      <c r="T309" s="33">
        <v>4.5</v>
      </c>
      <c r="U309" s="33">
        <v>6.75</v>
      </c>
      <c r="V309" s="33">
        <v>4.5</v>
      </c>
      <c r="W309" s="33">
        <v>1.02748763183215</v>
      </c>
      <c r="X309" s="33" t="s">
        <v>303</v>
      </c>
      <c r="Y309" s="33">
        <v>9.3171999999999997</v>
      </c>
      <c r="Z309" s="33">
        <v>4.25</v>
      </c>
      <c r="AA309" s="33">
        <v>6.75</v>
      </c>
      <c r="AB309" s="33">
        <v>6.5</v>
      </c>
      <c r="AC309" s="33">
        <v>6.5</v>
      </c>
      <c r="AD309" s="33">
        <v>6.5</v>
      </c>
      <c r="AE309" s="35" t="s">
        <v>303</v>
      </c>
      <c r="AF309" s="33">
        <v>3.25</v>
      </c>
      <c r="AG309" s="33">
        <v>7.5</v>
      </c>
      <c r="AH309" s="33">
        <v>6.27</v>
      </c>
    </row>
    <row r="310" spans="1:34">
      <c r="A310" s="31" t="s">
        <v>346</v>
      </c>
      <c r="B310" s="33">
        <v>6.5</v>
      </c>
      <c r="C310" s="36">
        <v>11.071999999999999</v>
      </c>
      <c r="D310" s="33">
        <v>4.5</v>
      </c>
      <c r="E310" s="33">
        <v>7</v>
      </c>
      <c r="F310" s="34">
        <v>11</v>
      </c>
      <c r="G310" s="33">
        <v>4.5</v>
      </c>
      <c r="H310" s="33">
        <v>12.25</v>
      </c>
      <c r="I310" s="33">
        <v>5.25</v>
      </c>
      <c r="J310" s="33">
        <v>4.25</v>
      </c>
      <c r="K310" s="33">
        <v>5</v>
      </c>
      <c r="L310" s="35" t="s">
        <v>303</v>
      </c>
      <c r="M310" s="33">
        <v>6.5</v>
      </c>
      <c r="N310" s="33" t="s">
        <v>303</v>
      </c>
      <c r="O310" s="33">
        <v>2.44</v>
      </c>
      <c r="P310" s="33">
        <v>6.5</v>
      </c>
      <c r="Q310" s="33">
        <v>4.75</v>
      </c>
      <c r="R310" s="33">
        <v>5.25</v>
      </c>
      <c r="S310" s="33">
        <v>3</v>
      </c>
      <c r="T310" s="33">
        <v>4.5</v>
      </c>
      <c r="U310" s="33">
        <v>6.5</v>
      </c>
      <c r="V310" s="33">
        <v>4.5</v>
      </c>
      <c r="W310" s="33" t="s">
        <v>303</v>
      </c>
      <c r="X310" s="33" t="s">
        <v>303</v>
      </c>
      <c r="Y310" s="33">
        <v>8.8074013439769097</v>
      </c>
      <c r="Z310" s="33">
        <v>4.25</v>
      </c>
      <c r="AA310" s="33">
        <v>6.75</v>
      </c>
      <c r="AB310" s="33">
        <v>6.5</v>
      </c>
      <c r="AC310" s="33">
        <v>6.5</v>
      </c>
      <c r="AD310" s="33">
        <v>6.5</v>
      </c>
      <c r="AE310" s="33" t="s">
        <v>303</v>
      </c>
      <c r="AF310" s="33">
        <v>3</v>
      </c>
      <c r="AG310" s="33">
        <v>8</v>
      </c>
      <c r="AH310" s="33">
        <v>6.36</v>
      </c>
    </row>
    <row r="311" spans="1:34">
      <c r="A311" s="31" t="s">
        <v>347</v>
      </c>
      <c r="B311" s="33">
        <v>6.5</v>
      </c>
      <c r="C311" s="36">
        <v>11.071999999999999</v>
      </c>
      <c r="D311" s="33">
        <v>4.5</v>
      </c>
      <c r="E311" s="33">
        <v>7</v>
      </c>
      <c r="F311" s="34">
        <v>11</v>
      </c>
      <c r="G311" s="33">
        <v>5</v>
      </c>
      <c r="H311" s="33">
        <v>12.5</v>
      </c>
      <c r="I311" s="33">
        <v>5.25</v>
      </c>
      <c r="J311" s="33">
        <v>4.5</v>
      </c>
      <c r="K311" s="33">
        <v>5</v>
      </c>
      <c r="L311" s="35" t="s">
        <v>303</v>
      </c>
      <c r="M311" s="33">
        <v>6.5</v>
      </c>
      <c r="N311" s="33" t="s">
        <v>303</v>
      </c>
      <c r="O311" s="33">
        <v>1.23</v>
      </c>
      <c r="P311" s="33">
        <v>6.5</v>
      </c>
      <c r="Q311" s="33">
        <v>5</v>
      </c>
      <c r="R311" s="33">
        <v>5.25</v>
      </c>
      <c r="S311" s="33">
        <v>3</v>
      </c>
      <c r="T311" s="33">
        <v>4.5</v>
      </c>
      <c r="U311" s="33">
        <v>6.5</v>
      </c>
      <c r="V311" s="33">
        <v>4.5</v>
      </c>
      <c r="W311" s="33">
        <v>0.94025440848808695</v>
      </c>
      <c r="X311" s="33" t="s">
        <v>303</v>
      </c>
      <c r="Y311" s="33">
        <v>8.5478000000000005</v>
      </c>
      <c r="Z311" s="33">
        <v>4.25</v>
      </c>
      <c r="AA311" s="33">
        <v>6.75</v>
      </c>
      <c r="AB311" s="33">
        <v>6.5</v>
      </c>
      <c r="AC311" s="33">
        <v>6.5</v>
      </c>
      <c r="AD311" s="33">
        <v>6.5</v>
      </c>
      <c r="AE311" s="33" t="s">
        <v>303</v>
      </c>
      <c r="AF311" s="33">
        <v>3</v>
      </c>
      <c r="AG311" s="33">
        <v>8</v>
      </c>
      <c r="AH311" s="33">
        <v>6.24</v>
      </c>
    </row>
    <row r="312" spans="1:34">
      <c r="A312" s="31" t="s">
        <v>348</v>
      </c>
      <c r="B312" s="33">
        <v>6.5</v>
      </c>
      <c r="C312" s="36">
        <v>11.071999999999999</v>
      </c>
      <c r="D312" s="33">
        <v>4.5</v>
      </c>
      <c r="E312" s="33">
        <v>7</v>
      </c>
      <c r="F312" s="34">
        <v>11</v>
      </c>
      <c r="G312" s="33">
        <v>5</v>
      </c>
      <c r="H312" s="33">
        <v>12</v>
      </c>
      <c r="I312" s="33">
        <v>5.25</v>
      </c>
      <c r="J312" s="33">
        <v>4.5</v>
      </c>
      <c r="K312" s="33">
        <v>5</v>
      </c>
      <c r="L312" s="35" t="s">
        <v>303</v>
      </c>
      <c r="M312" s="33">
        <v>6.5</v>
      </c>
      <c r="N312" s="33" t="s">
        <v>303</v>
      </c>
      <c r="O312" s="33">
        <v>1.62</v>
      </c>
      <c r="P312" s="33">
        <v>6.5</v>
      </c>
      <c r="Q312" s="33">
        <v>5</v>
      </c>
      <c r="R312" s="33">
        <v>5.25</v>
      </c>
      <c r="S312" s="33">
        <v>3</v>
      </c>
      <c r="T312" s="33">
        <v>5</v>
      </c>
      <c r="U312" s="33">
        <v>6.25</v>
      </c>
      <c r="V312" s="33">
        <v>4.5</v>
      </c>
      <c r="W312" s="33">
        <v>0.89724954444829297</v>
      </c>
      <c r="X312" s="33" t="s">
        <v>303</v>
      </c>
      <c r="Y312" s="33">
        <v>8.5075000000000003</v>
      </c>
      <c r="Z312" s="33">
        <v>4.25</v>
      </c>
      <c r="AA312" s="33">
        <v>6.75</v>
      </c>
      <c r="AB312" s="33">
        <v>6.5</v>
      </c>
      <c r="AC312" s="33">
        <v>6.5</v>
      </c>
      <c r="AD312" s="33">
        <v>6.5</v>
      </c>
      <c r="AE312" s="33" t="s">
        <v>303</v>
      </c>
      <c r="AF312" s="33">
        <v>3</v>
      </c>
      <c r="AG312" s="33">
        <v>8</v>
      </c>
      <c r="AH312" s="33">
        <v>6.4</v>
      </c>
    </row>
    <row r="313" spans="1:34">
      <c r="A313" s="31" t="s">
        <v>349</v>
      </c>
      <c r="B313" s="33">
        <v>6.5</v>
      </c>
      <c r="C313" s="37">
        <v>13.97</v>
      </c>
      <c r="D313" s="33">
        <v>4.5</v>
      </c>
      <c r="E313" s="33">
        <v>7</v>
      </c>
      <c r="F313" s="34">
        <v>11</v>
      </c>
      <c r="G313" s="33">
        <v>5</v>
      </c>
      <c r="H313" s="33">
        <v>12</v>
      </c>
      <c r="I313" s="33">
        <v>5.25</v>
      </c>
      <c r="J313" s="33">
        <v>4.5</v>
      </c>
      <c r="K313" s="33">
        <v>5</v>
      </c>
      <c r="L313" s="35" t="s">
        <v>303</v>
      </c>
      <c r="M313" s="33">
        <v>6.5</v>
      </c>
      <c r="N313" s="33" t="s">
        <v>303</v>
      </c>
      <c r="O313" s="33">
        <v>2.14</v>
      </c>
      <c r="P313" s="33">
        <v>6.5</v>
      </c>
      <c r="Q313" s="33">
        <v>5.5</v>
      </c>
      <c r="R313" s="33">
        <v>5.25</v>
      </c>
      <c r="S313" s="33">
        <v>3</v>
      </c>
      <c r="T313" s="33">
        <v>5</v>
      </c>
      <c r="U313" s="33">
        <v>6.25</v>
      </c>
      <c r="V313" s="33">
        <v>4.5</v>
      </c>
      <c r="W313" s="33">
        <v>1.0149999999999999</v>
      </c>
      <c r="X313" s="33" t="s">
        <v>303</v>
      </c>
      <c r="Y313" s="33">
        <v>8.5015055753336597</v>
      </c>
      <c r="Z313" s="33">
        <v>4.25</v>
      </c>
      <c r="AA313" s="33">
        <v>6.75</v>
      </c>
      <c r="AB313" s="33">
        <v>6.5</v>
      </c>
      <c r="AC313" s="33">
        <v>6.5</v>
      </c>
      <c r="AD313" s="33">
        <v>6.5</v>
      </c>
      <c r="AE313" s="33" t="s">
        <v>303</v>
      </c>
      <c r="AF313" s="33">
        <v>3</v>
      </c>
      <c r="AG313" s="33">
        <v>8</v>
      </c>
      <c r="AH313" s="33">
        <v>6.29</v>
      </c>
    </row>
    <row r="314" spans="1:34">
      <c r="A314" s="31" t="s">
        <v>350</v>
      </c>
      <c r="B314" s="33">
        <v>6.5</v>
      </c>
      <c r="C314" s="36">
        <v>13.97</v>
      </c>
      <c r="D314" s="33">
        <v>4.5</v>
      </c>
      <c r="E314" s="33">
        <v>7</v>
      </c>
      <c r="F314" s="34">
        <v>11</v>
      </c>
      <c r="G314" s="33">
        <v>4</v>
      </c>
      <c r="H314" s="33">
        <v>11.5</v>
      </c>
      <c r="I314" s="33">
        <v>5.25</v>
      </c>
      <c r="J314" s="33">
        <v>4.5</v>
      </c>
      <c r="K314" s="33">
        <v>5</v>
      </c>
      <c r="L314" s="35" t="s">
        <v>303</v>
      </c>
      <c r="M314" s="33">
        <v>6.5</v>
      </c>
      <c r="N314" s="33" t="s">
        <v>303</v>
      </c>
      <c r="O314" s="33">
        <v>1.91</v>
      </c>
      <c r="P314" s="33">
        <v>6.5</v>
      </c>
      <c r="Q314" s="33">
        <v>5.5</v>
      </c>
      <c r="R314" s="33">
        <v>5.5</v>
      </c>
      <c r="S314" s="33">
        <v>3</v>
      </c>
      <c r="T314" s="33">
        <v>5.5</v>
      </c>
      <c r="U314" s="33">
        <v>6.25</v>
      </c>
      <c r="V314" s="33">
        <v>4.5</v>
      </c>
      <c r="W314" s="33">
        <v>1.9850000000000001</v>
      </c>
      <c r="X314" s="33" t="s">
        <v>303</v>
      </c>
      <c r="Y314" s="33">
        <v>8</v>
      </c>
      <c r="Z314" s="33">
        <v>4.25</v>
      </c>
      <c r="AA314" s="33">
        <v>6.75</v>
      </c>
      <c r="AB314" s="33">
        <v>6.5</v>
      </c>
      <c r="AC314" s="33">
        <v>6.5</v>
      </c>
      <c r="AD314" s="33">
        <v>6.5</v>
      </c>
      <c r="AE314" s="33" t="s">
        <v>303</v>
      </c>
      <c r="AF314" s="33">
        <v>3</v>
      </c>
      <c r="AG314" s="33">
        <v>8</v>
      </c>
      <c r="AH314" s="33">
        <v>6.45</v>
      </c>
    </row>
    <row r="315" spans="1:34">
      <c r="A315" s="39" t="s">
        <v>351</v>
      </c>
      <c r="B315" s="40">
        <v>6.5</v>
      </c>
      <c r="C315" s="47">
        <v>13.97</v>
      </c>
      <c r="D315" s="40">
        <v>4.5</v>
      </c>
      <c r="E315" s="40">
        <v>7</v>
      </c>
      <c r="F315" s="41">
        <v>11</v>
      </c>
      <c r="G315" s="40">
        <v>4</v>
      </c>
      <c r="H315" s="40">
        <v>11</v>
      </c>
      <c r="I315" s="40">
        <v>5.25</v>
      </c>
      <c r="J315" s="40">
        <v>4.75</v>
      </c>
      <c r="K315" s="40">
        <v>5</v>
      </c>
      <c r="L315" s="42" t="s">
        <v>303</v>
      </c>
      <c r="M315" s="40">
        <v>6.5</v>
      </c>
      <c r="N315" s="40" t="s">
        <v>303</v>
      </c>
      <c r="O315" s="40">
        <v>4.12</v>
      </c>
      <c r="P315" s="40">
        <v>6.5</v>
      </c>
      <c r="Q315" s="40">
        <v>5.5</v>
      </c>
      <c r="R315" s="40">
        <v>5.5</v>
      </c>
      <c r="S315" s="40">
        <v>3</v>
      </c>
      <c r="T315" s="40">
        <v>5.5</v>
      </c>
      <c r="U315" s="40">
        <v>6.25</v>
      </c>
      <c r="V315" s="40">
        <v>4.5</v>
      </c>
      <c r="W315" s="40" t="s">
        <v>303</v>
      </c>
      <c r="X315" s="40" t="s">
        <v>303</v>
      </c>
      <c r="Y315" s="40">
        <v>7.25</v>
      </c>
      <c r="Z315" s="40">
        <v>4.25</v>
      </c>
      <c r="AA315" s="40">
        <v>6.75</v>
      </c>
      <c r="AB315" s="40">
        <v>6.5</v>
      </c>
      <c r="AC315" s="40">
        <v>6.5</v>
      </c>
      <c r="AD315" s="40">
        <v>6.5</v>
      </c>
      <c r="AE315" s="42" t="s">
        <v>303</v>
      </c>
      <c r="AF315" s="40">
        <v>3</v>
      </c>
      <c r="AG315" s="40">
        <v>8</v>
      </c>
      <c r="AH315" s="40">
        <v>6.33</v>
      </c>
    </row>
    <row r="316" spans="1:34">
      <c r="A316" s="31" t="s">
        <v>352</v>
      </c>
      <c r="B316" s="33">
        <v>6.5</v>
      </c>
      <c r="C316" s="36">
        <v>13.97</v>
      </c>
      <c r="D316" s="33">
        <v>4.5</v>
      </c>
      <c r="E316" s="33">
        <v>7</v>
      </c>
      <c r="F316" s="34">
        <v>11</v>
      </c>
      <c r="G316" s="33">
        <v>4</v>
      </c>
      <c r="H316" s="33">
        <v>10.5</v>
      </c>
      <c r="I316" s="33">
        <v>5</v>
      </c>
      <c r="J316" s="33">
        <v>5</v>
      </c>
      <c r="K316" s="33">
        <v>5</v>
      </c>
      <c r="L316" s="35" t="s">
        <v>303</v>
      </c>
      <c r="M316" s="33">
        <v>6.5</v>
      </c>
      <c r="N316" s="33" t="s">
        <v>303</v>
      </c>
      <c r="O316" s="33">
        <v>2.23</v>
      </c>
      <c r="P316" s="33">
        <v>6.5</v>
      </c>
      <c r="Q316" s="33">
        <v>5.5</v>
      </c>
      <c r="R316" s="33">
        <v>5.5</v>
      </c>
      <c r="S316" s="33">
        <v>3</v>
      </c>
      <c r="T316" s="33">
        <v>5.5</v>
      </c>
      <c r="U316" s="33">
        <v>6.25</v>
      </c>
      <c r="V316" s="33">
        <v>4.5</v>
      </c>
      <c r="W316" s="33">
        <v>1.7660237695368599</v>
      </c>
      <c r="X316" s="33" t="s">
        <v>303</v>
      </c>
      <c r="Y316" s="33">
        <v>6.5</v>
      </c>
      <c r="Z316" s="33">
        <v>4.25</v>
      </c>
      <c r="AA316" s="33">
        <v>6.75</v>
      </c>
      <c r="AB316" s="33">
        <v>6.5</v>
      </c>
      <c r="AC316" s="33">
        <v>6.5</v>
      </c>
      <c r="AD316" s="33">
        <v>6.5</v>
      </c>
      <c r="AE316" s="35" t="s">
        <v>303</v>
      </c>
      <c r="AF316" s="33">
        <v>3</v>
      </c>
      <c r="AG316" s="33">
        <v>8.75</v>
      </c>
      <c r="AH316" s="33">
        <v>6.42</v>
      </c>
    </row>
    <row r="317" spans="1:34">
      <c r="A317" s="31" t="s">
        <v>353</v>
      </c>
      <c r="B317" s="33">
        <v>6.5</v>
      </c>
      <c r="C317" s="36">
        <v>13.97</v>
      </c>
      <c r="D317" s="33">
        <v>4.5</v>
      </c>
      <c r="E317" s="33">
        <v>7</v>
      </c>
      <c r="F317" s="34">
        <v>11</v>
      </c>
      <c r="G317" s="33">
        <v>4</v>
      </c>
      <c r="H317" s="33">
        <v>10.5</v>
      </c>
      <c r="I317" s="33">
        <v>5</v>
      </c>
      <c r="J317" s="33">
        <v>5.25</v>
      </c>
      <c r="K317" s="33">
        <v>5</v>
      </c>
      <c r="L317" s="35" t="s">
        <v>303</v>
      </c>
      <c r="M317" s="33">
        <v>6.5</v>
      </c>
      <c r="N317" s="33" t="s">
        <v>303</v>
      </c>
      <c r="O317" s="33">
        <v>1.85</v>
      </c>
      <c r="P317" s="33">
        <v>6.5</v>
      </c>
      <c r="Q317" s="33">
        <v>5.5</v>
      </c>
      <c r="R317" s="33">
        <v>5.5</v>
      </c>
      <c r="S317" s="33">
        <v>3</v>
      </c>
      <c r="T317" s="33">
        <v>6</v>
      </c>
      <c r="U317" s="33">
        <v>6.25</v>
      </c>
      <c r="V317" s="33">
        <v>4.5</v>
      </c>
      <c r="W317" s="33">
        <v>0.67882433131614694</v>
      </c>
      <c r="X317" s="33" t="s">
        <v>303</v>
      </c>
      <c r="Y317" s="33">
        <v>6.4951999999999996</v>
      </c>
      <c r="Z317" s="33">
        <v>4.25</v>
      </c>
      <c r="AA317" s="33">
        <v>6.75</v>
      </c>
      <c r="AB317" s="33">
        <v>6.5</v>
      </c>
      <c r="AC317" s="33">
        <v>6.5</v>
      </c>
      <c r="AD317" s="33">
        <v>6.5</v>
      </c>
      <c r="AE317" s="33" t="s">
        <v>303</v>
      </c>
      <c r="AF317" s="33">
        <v>3</v>
      </c>
      <c r="AG317" s="33">
        <v>8.75</v>
      </c>
      <c r="AH317" s="33">
        <v>6.44</v>
      </c>
    </row>
    <row r="318" spans="1:34">
      <c r="A318" s="31" t="s">
        <v>354</v>
      </c>
      <c r="B318" s="33">
        <v>6.5</v>
      </c>
      <c r="C318" s="36">
        <v>13.97</v>
      </c>
      <c r="D318" s="33">
        <v>4.5</v>
      </c>
      <c r="E318" s="33">
        <v>7</v>
      </c>
      <c r="F318" s="34">
        <v>11</v>
      </c>
      <c r="G318" s="33">
        <v>4</v>
      </c>
      <c r="H318" s="33">
        <v>9.75</v>
      </c>
      <c r="I318" s="33">
        <v>5</v>
      </c>
      <c r="J318" s="33">
        <v>5.25</v>
      </c>
      <c r="K318" s="33">
        <v>5</v>
      </c>
      <c r="L318" s="35" t="s">
        <v>303</v>
      </c>
      <c r="M318" s="33">
        <v>6.5</v>
      </c>
      <c r="N318" s="33" t="s">
        <v>303</v>
      </c>
      <c r="O318" s="33">
        <v>1.39</v>
      </c>
      <c r="P318" s="33">
        <v>6.5</v>
      </c>
      <c r="Q318" s="33">
        <v>5.5</v>
      </c>
      <c r="R318" s="33">
        <v>5.5</v>
      </c>
      <c r="S318" s="33">
        <v>3</v>
      </c>
      <c r="T318" s="33">
        <v>6</v>
      </c>
      <c r="U318" s="33">
        <v>6.25</v>
      </c>
      <c r="V318" s="33">
        <v>4.5</v>
      </c>
      <c r="W318" s="33">
        <v>0.434</v>
      </c>
      <c r="X318" s="33" t="s">
        <v>303</v>
      </c>
      <c r="Y318" s="33">
        <v>6.4993999999999996</v>
      </c>
      <c r="Z318" s="33">
        <v>4.25</v>
      </c>
      <c r="AA318" s="33">
        <v>6.75</v>
      </c>
      <c r="AB318" s="33">
        <v>6.5</v>
      </c>
      <c r="AC318" s="33">
        <v>6.5</v>
      </c>
      <c r="AD318" s="33">
        <v>6.5</v>
      </c>
      <c r="AE318" s="33" t="s">
        <v>303</v>
      </c>
      <c r="AF318" s="33">
        <v>3</v>
      </c>
      <c r="AG318" s="33">
        <v>8.75</v>
      </c>
      <c r="AH318" s="33">
        <v>6.34</v>
      </c>
    </row>
    <row r="319" spans="1:34">
      <c r="A319" s="31" t="s">
        <v>355</v>
      </c>
      <c r="B319" s="33">
        <v>6.5</v>
      </c>
      <c r="C319" s="36">
        <v>13.97</v>
      </c>
      <c r="D319" s="33">
        <v>4.5</v>
      </c>
      <c r="E319" s="33">
        <v>7</v>
      </c>
      <c r="F319" s="34">
        <v>11</v>
      </c>
      <c r="G319" s="33">
        <v>4</v>
      </c>
      <c r="H319" s="33">
        <v>9</v>
      </c>
      <c r="I319" s="33">
        <v>5</v>
      </c>
      <c r="J319" s="33">
        <v>5.25</v>
      </c>
      <c r="K319" s="33">
        <v>5</v>
      </c>
      <c r="L319" s="35" t="s">
        <v>303</v>
      </c>
      <c r="M319" s="33">
        <v>6.5</v>
      </c>
      <c r="N319" s="33" t="s">
        <v>303</v>
      </c>
      <c r="O319" s="33">
        <v>1.1399999999999999</v>
      </c>
      <c r="P319" s="33">
        <v>6.5</v>
      </c>
      <c r="Q319" s="33">
        <v>5.5</v>
      </c>
      <c r="R319" s="33">
        <v>5.5</v>
      </c>
      <c r="S319" s="33">
        <v>3</v>
      </c>
      <c r="T319" s="33">
        <v>6</v>
      </c>
      <c r="U319" s="33">
        <v>6.25</v>
      </c>
      <c r="V319" s="33">
        <v>4.5</v>
      </c>
      <c r="W319" s="33">
        <v>0.38400000000000001</v>
      </c>
      <c r="X319" s="33" t="s">
        <v>303</v>
      </c>
      <c r="Y319" s="33">
        <v>6.4997315407413767</v>
      </c>
      <c r="Z319" s="33">
        <v>4.25</v>
      </c>
      <c r="AA319" s="33">
        <v>6.75</v>
      </c>
      <c r="AB319" s="33">
        <v>6.5</v>
      </c>
      <c r="AC319" s="33">
        <v>6.5</v>
      </c>
      <c r="AD319" s="33">
        <v>6.5</v>
      </c>
      <c r="AE319" s="33" t="s">
        <v>303</v>
      </c>
      <c r="AF319" s="33">
        <v>3</v>
      </c>
      <c r="AG319" s="33">
        <v>8.75</v>
      </c>
      <c r="AH319" s="33">
        <v>6.45</v>
      </c>
    </row>
    <row r="320" spans="1:34">
      <c r="A320" s="31" t="s">
        <v>356</v>
      </c>
      <c r="B320" s="33">
        <v>6.5</v>
      </c>
      <c r="C320" s="33">
        <v>11.8</v>
      </c>
      <c r="D320" s="33">
        <v>4.5</v>
      </c>
      <c r="E320" s="33">
        <v>7</v>
      </c>
      <c r="F320" s="34">
        <v>11</v>
      </c>
      <c r="G320" s="33">
        <v>4</v>
      </c>
      <c r="H320" s="33">
        <v>8.5</v>
      </c>
      <c r="I320" s="33">
        <v>5</v>
      </c>
      <c r="J320" s="33">
        <v>5.25</v>
      </c>
      <c r="K320" s="33">
        <v>5</v>
      </c>
      <c r="L320" s="35" t="s">
        <v>303</v>
      </c>
      <c r="M320" s="33">
        <v>6.5</v>
      </c>
      <c r="N320" s="33" t="s">
        <v>303</v>
      </c>
      <c r="O320" s="33">
        <v>1.1200000000000001</v>
      </c>
      <c r="P320" s="33">
        <v>6.5</v>
      </c>
      <c r="Q320" s="33">
        <v>5.5</v>
      </c>
      <c r="R320" s="33">
        <v>5.5</v>
      </c>
      <c r="S320" s="33">
        <v>3</v>
      </c>
      <c r="T320" s="33">
        <v>7</v>
      </c>
      <c r="U320" s="33">
        <v>6.25</v>
      </c>
      <c r="V320" s="33">
        <v>4.5</v>
      </c>
      <c r="W320" s="33">
        <v>0.41649311828926699</v>
      </c>
      <c r="X320" s="33" t="s">
        <v>303</v>
      </c>
      <c r="Y320" s="33">
        <v>6.25</v>
      </c>
      <c r="Z320" s="33">
        <v>4.25</v>
      </c>
      <c r="AA320" s="33">
        <v>6</v>
      </c>
      <c r="AB320" s="33">
        <v>6.5</v>
      </c>
      <c r="AC320" s="33">
        <v>6.5</v>
      </c>
      <c r="AD320" s="33">
        <v>6.5</v>
      </c>
      <c r="AE320" s="33" t="s">
        <v>303</v>
      </c>
      <c r="AF320" s="33">
        <v>3</v>
      </c>
      <c r="AG320" s="33">
        <v>8.75</v>
      </c>
      <c r="AH320" s="33">
        <v>6.34</v>
      </c>
    </row>
    <row r="321" spans="1:34">
      <c r="A321" s="31" t="s">
        <v>357</v>
      </c>
      <c r="B321" s="33">
        <v>6.5</v>
      </c>
      <c r="C321" s="33">
        <v>11.32</v>
      </c>
      <c r="D321" s="33">
        <v>4.5</v>
      </c>
      <c r="E321" s="33">
        <v>7</v>
      </c>
      <c r="F321" s="34">
        <v>11</v>
      </c>
      <c r="G321" s="33">
        <v>4</v>
      </c>
      <c r="H321" s="33">
        <v>8.5</v>
      </c>
      <c r="I321" s="33">
        <v>5</v>
      </c>
      <c r="J321" s="33">
        <v>5.25</v>
      </c>
      <c r="K321" s="33">
        <v>5</v>
      </c>
      <c r="L321" s="35" t="s">
        <v>303</v>
      </c>
      <c r="M321" s="33">
        <v>6.5</v>
      </c>
      <c r="N321" s="33" t="s">
        <v>303</v>
      </c>
      <c r="O321" s="33">
        <v>1.06</v>
      </c>
      <c r="P321" s="33">
        <v>6.5</v>
      </c>
      <c r="Q321" s="33">
        <v>5</v>
      </c>
      <c r="R321" s="33">
        <v>5.5</v>
      </c>
      <c r="S321" s="33">
        <v>3</v>
      </c>
      <c r="T321" s="33">
        <v>7</v>
      </c>
      <c r="U321" s="33">
        <v>6.25</v>
      </c>
      <c r="V321" s="33">
        <v>4.5</v>
      </c>
      <c r="W321" s="33">
        <v>0.67449846488807697</v>
      </c>
      <c r="X321" s="33" t="s">
        <v>303</v>
      </c>
      <c r="Y321" s="33">
        <v>6.25</v>
      </c>
      <c r="Z321" s="33">
        <v>4.25</v>
      </c>
      <c r="AA321" s="33">
        <v>6</v>
      </c>
      <c r="AB321" s="33">
        <v>6.5</v>
      </c>
      <c r="AC321" s="33">
        <v>6.5</v>
      </c>
      <c r="AD321" s="33">
        <v>6.5</v>
      </c>
      <c r="AE321" s="33" t="s">
        <v>303</v>
      </c>
      <c r="AF321" s="33">
        <v>3</v>
      </c>
      <c r="AG321" s="33">
        <v>8.75</v>
      </c>
      <c r="AH321" s="33">
        <v>6.61</v>
      </c>
    </row>
    <row r="322" spans="1:34">
      <c r="A322" s="31" t="s">
        <v>358</v>
      </c>
      <c r="B322" s="33">
        <v>6.5</v>
      </c>
      <c r="C322" s="33">
        <v>11.54</v>
      </c>
      <c r="D322" s="33">
        <v>4.5</v>
      </c>
      <c r="E322" s="33">
        <v>7</v>
      </c>
      <c r="F322" s="34">
        <v>11</v>
      </c>
      <c r="G322" s="33">
        <v>4</v>
      </c>
      <c r="H322" s="33">
        <v>8</v>
      </c>
      <c r="I322" s="33">
        <v>5</v>
      </c>
      <c r="J322" s="33">
        <v>5</v>
      </c>
      <c r="K322" s="33">
        <v>5</v>
      </c>
      <c r="L322" s="35" t="s">
        <v>303</v>
      </c>
      <c r="M322" s="33">
        <v>6.5</v>
      </c>
      <c r="N322" s="33" t="s">
        <v>303</v>
      </c>
      <c r="O322" s="33">
        <v>0.96</v>
      </c>
      <c r="P322" s="33">
        <v>6.5</v>
      </c>
      <c r="Q322" s="33">
        <v>5</v>
      </c>
      <c r="R322" s="33">
        <v>5.25</v>
      </c>
      <c r="S322" s="33">
        <v>3</v>
      </c>
      <c r="T322" s="33">
        <v>7</v>
      </c>
      <c r="U322" s="33">
        <v>6.25</v>
      </c>
      <c r="V322" s="33">
        <v>4.5</v>
      </c>
      <c r="W322" s="33">
        <v>0.74839999518672495</v>
      </c>
      <c r="X322" s="33" t="s">
        <v>303</v>
      </c>
      <c r="Y322" s="33">
        <v>6</v>
      </c>
      <c r="Z322" s="33">
        <v>4.25</v>
      </c>
      <c r="AA322" s="33">
        <v>5.5</v>
      </c>
      <c r="AB322" s="33">
        <v>6.5</v>
      </c>
      <c r="AC322" s="33">
        <v>6.5</v>
      </c>
      <c r="AD322" s="33">
        <v>6.5</v>
      </c>
      <c r="AE322" s="33" t="s">
        <v>303</v>
      </c>
      <c r="AF322" s="33">
        <v>3</v>
      </c>
      <c r="AG322" s="33">
        <v>8.75</v>
      </c>
      <c r="AH322" s="33">
        <v>6.35</v>
      </c>
    </row>
    <row r="323" spans="1:34">
      <c r="A323" s="31" t="s">
        <v>359</v>
      </c>
      <c r="B323" s="33">
        <v>6.5</v>
      </c>
      <c r="C323" s="33">
        <v>11.9</v>
      </c>
      <c r="D323" s="33">
        <v>4.5</v>
      </c>
      <c r="E323" s="33">
        <v>7</v>
      </c>
      <c r="F323" s="34">
        <v>11</v>
      </c>
      <c r="G323" s="33">
        <v>4</v>
      </c>
      <c r="H323" s="33">
        <v>7.5</v>
      </c>
      <c r="I323" s="33">
        <v>5</v>
      </c>
      <c r="J323" s="33">
        <v>4.75</v>
      </c>
      <c r="K323" s="33">
        <v>5</v>
      </c>
      <c r="L323" s="35" t="s">
        <v>303</v>
      </c>
      <c r="M323" s="33">
        <v>6.5</v>
      </c>
      <c r="N323" s="33" t="s">
        <v>303</v>
      </c>
      <c r="O323" s="33">
        <v>1.04</v>
      </c>
      <c r="P323" s="33">
        <v>6.5</v>
      </c>
      <c r="Q323" s="33">
        <v>5</v>
      </c>
      <c r="R323" s="33">
        <v>5.25</v>
      </c>
      <c r="S323" s="33">
        <v>3</v>
      </c>
      <c r="T323" s="33">
        <v>7</v>
      </c>
      <c r="U323" s="33">
        <v>6.25</v>
      </c>
      <c r="V323" s="33">
        <v>4.5</v>
      </c>
      <c r="W323" s="33">
        <v>0.746</v>
      </c>
      <c r="X323" s="33" t="s">
        <v>303</v>
      </c>
      <c r="Y323" s="33">
        <v>5.5</v>
      </c>
      <c r="Z323" s="33">
        <v>4.25</v>
      </c>
      <c r="AA323" s="33">
        <v>5</v>
      </c>
      <c r="AB323" s="33">
        <v>6.5</v>
      </c>
      <c r="AC323" s="33">
        <v>6.5</v>
      </c>
      <c r="AD323" s="33">
        <v>6.5</v>
      </c>
      <c r="AE323" s="33" t="s">
        <v>303</v>
      </c>
      <c r="AF323" s="33">
        <v>3</v>
      </c>
      <c r="AG323" s="33">
        <v>8.75</v>
      </c>
      <c r="AH323" s="33">
        <v>6.42</v>
      </c>
    </row>
    <row r="324" spans="1:34">
      <c r="A324" s="31" t="s">
        <v>360</v>
      </c>
      <c r="B324" s="33">
        <v>6.5</v>
      </c>
      <c r="C324" s="33">
        <v>12.33</v>
      </c>
      <c r="D324" s="33">
        <v>4.5</v>
      </c>
      <c r="E324" s="33">
        <v>7</v>
      </c>
      <c r="F324" s="34">
        <v>11</v>
      </c>
      <c r="G324" s="33">
        <v>4</v>
      </c>
      <c r="H324" s="33">
        <v>7.5</v>
      </c>
      <c r="I324" s="33">
        <v>5</v>
      </c>
      <c r="J324" s="33">
        <v>4.75</v>
      </c>
      <c r="K324" s="33">
        <v>5</v>
      </c>
      <c r="L324" s="35" t="s">
        <v>303</v>
      </c>
      <c r="M324" s="33">
        <v>6.5</v>
      </c>
      <c r="N324" s="33" t="s">
        <v>303</v>
      </c>
      <c r="O324" s="33">
        <v>1.1000000000000001</v>
      </c>
      <c r="P324" s="33">
        <v>6.5</v>
      </c>
      <c r="Q324" s="33">
        <v>5</v>
      </c>
      <c r="R324" s="33">
        <v>5.25</v>
      </c>
      <c r="S324" s="33">
        <v>3</v>
      </c>
      <c r="T324" s="33">
        <v>7</v>
      </c>
      <c r="U324" s="33">
        <v>6.25</v>
      </c>
      <c r="V324" s="33">
        <v>4.5</v>
      </c>
      <c r="W324" s="33" t="s">
        <v>303</v>
      </c>
      <c r="X324" s="33" t="s">
        <v>303</v>
      </c>
      <c r="Y324" s="33">
        <v>5.5046999999999997</v>
      </c>
      <c r="Z324" s="33">
        <v>4.25</v>
      </c>
      <c r="AA324" s="33">
        <v>5</v>
      </c>
      <c r="AB324" s="33">
        <v>6.5</v>
      </c>
      <c r="AC324" s="33">
        <v>6.5</v>
      </c>
      <c r="AD324" s="33">
        <v>6.5</v>
      </c>
      <c r="AE324" s="33" t="s">
        <v>303</v>
      </c>
      <c r="AF324" s="33">
        <v>2.75</v>
      </c>
      <c r="AG324" s="33">
        <v>8.75</v>
      </c>
      <c r="AH324" s="33">
        <v>6.1760000000000002</v>
      </c>
    </row>
    <row r="325" spans="1:34">
      <c r="A325" s="31" t="s">
        <v>361</v>
      </c>
      <c r="B325" s="33">
        <v>6.5</v>
      </c>
      <c r="C325" s="33">
        <v>12.44</v>
      </c>
      <c r="D325" s="33">
        <v>4.5</v>
      </c>
      <c r="E325" s="33">
        <v>7</v>
      </c>
      <c r="F325" s="34">
        <v>11</v>
      </c>
      <c r="G325" s="33">
        <v>4</v>
      </c>
      <c r="H325" s="33">
        <v>7.25</v>
      </c>
      <c r="I325" s="33">
        <v>5</v>
      </c>
      <c r="J325" s="33">
        <v>4.75</v>
      </c>
      <c r="K325" s="33">
        <v>5</v>
      </c>
      <c r="L325" s="35" t="s">
        <v>303</v>
      </c>
      <c r="M325" s="33">
        <v>6.5</v>
      </c>
      <c r="N325" s="33" t="s">
        <v>303</v>
      </c>
      <c r="O325" s="33">
        <v>1.27</v>
      </c>
      <c r="P325" s="33">
        <v>6.5</v>
      </c>
      <c r="Q325" s="33">
        <v>5</v>
      </c>
      <c r="R325" s="33">
        <v>5.25</v>
      </c>
      <c r="S325" s="33">
        <v>3</v>
      </c>
      <c r="T325" s="33">
        <v>7</v>
      </c>
      <c r="U325" s="33">
        <v>6.25</v>
      </c>
      <c r="V325" s="33">
        <v>4.5</v>
      </c>
      <c r="W325" s="33">
        <v>1.0149999999999999</v>
      </c>
      <c r="X325" s="33" t="s">
        <v>303</v>
      </c>
      <c r="Y325" s="33">
        <v>5.5</v>
      </c>
      <c r="Z325" s="33">
        <v>4.25</v>
      </c>
      <c r="AA325" s="33">
        <v>5</v>
      </c>
      <c r="AB325" s="33">
        <v>6.5</v>
      </c>
      <c r="AC325" s="33">
        <v>6.5</v>
      </c>
      <c r="AD325" s="33">
        <v>6.5</v>
      </c>
      <c r="AE325" s="33" t="s">
        <v>303</v>
      </c>
      <c r="AF325" s="33">
        <v>2.75</v>
      </c>
      <c r="AG325" s="33">
        <v>9</v>
      </c>
      <c r="AH325" s="33">
        <v>6.37</v>
      </c>
    </row>
    <row r="326" spans="1:34">
      <c r="A326" s="31" t="s">
        <v>362</v>
      </c>
      <c r="B326" s="33">
        <v>6.5</v>
      </c>
      <c r="C326" s="33">
        <v>12.88</v>
      </c>
      <c r="D326" s="33">
        <v>4.5</v>
      </c>
      <c r="E326" s="33">
        <v>7</v>
      </c>
      <c r="F326" s="34">
        <v>11</v>
      </c>
      <c r="G326" s="33">
        <v>4</v>
      </c>
      <c r="H326" s="33">
        <v>7.25</v>
      </c>
      <c r="I326" s="33">
        <v>5</v>
      </c>
      <c r="J326" s="33">
        <v>4.5</v>
      </c>
      <c r="K326" s="33">
        <v>5</v>
      </c>
      <c r="L326" s="35" t="s">
        <v>303</v>
      </c>
      <c r="M326" s="33">
        <v>6.5</v>
      </c>
      <c r="N326" s="33" t="s">
        <v>303</v>
      </c>
      <c r="O326" s="33">
        <v>1.47</v>
      </c>
      <c r="P326" s="33">
        <v>6.5</v>
      </c>
      <c r="Q326" s="33">
        <v>5</v>
      </c>
      <c r="R326" s="33">
        <v>5.25</v>
      </c>
      <c r="S326" s="33">
        <v>3</v>
      </c>
      <c r="T326" s="33">
        <v>7</v>
      </c>
      <c r="U326" s="33">
        <v>6.25</v>
      </c>
      <c r="V326" s="33">
        <v>4.5</v>
      </c>
      <c r="W326" s="33">
        <v>1.3093411841170699</v>
      </c>
      <c r="X326" s="33" t="s">
        <v>303</v>
      </c>
      <c r="Y326" s="33">
        <v>5.5</v>
      </c>
      <c r="Z326" s="33">
        <v>4.25</v>
      </c>
      <c r="AA326" s="33">
        <v>5</v>
      </c>
      <c r="AB326" s="33">
        <v>6.5</v>
      </c>
      <c r="AC326" s="33">
        <v>6.5</v>
      </c>
      <c r="AD326" s="33">
        <v>6.5</v>
      </c>
      <c r="AE326" s="33" t="s">
        <v>303</v>
      </c>
      <c r="AF326" s="33">
        <v>2.75</v>
      </c>
      <c r="AG326" s="33">
        <v>9</v>
      </c>
      <c r="AH326" s="33">
        <v>6.24</v>
      </c>
    </row>
    <row r="327" spans="1:34">
      <c r="A327" s="39" t="s">
        <v>363</v>
      </c>
      <c r="B327" s="40">
        <v>6.5</v>
      </c>
      <c r="C327" s="40">
        <v>12.93</v>
      </c>
      <c r="D327" s="40">
        <v>4.5</v>
      </c>
      <c r="E327" s="40">
        <v>7</v>
      </c>
      <c r="F327" s="41">
        <v>11</v>
      </c>
      <c r="G327" s="40">
        <v>4</v>
      </c>
      <c r="H327" s="40">
        <v>7.25</v>
      </c>
      <c r="I327" s="40">
        <v>5</v>
      </c>
      <c r="J327" s="40">
        <v>4.25</v>
      </c>
      <c r="K327" s="40">
        <v>5</v>
      </c>
      <c r="L327" s="42" t="s">
        <v>303</v>
      </c>
      <c r="M327" s="40">
        <v>6.5</v>
      </c>
      <c r="N327" s="40" t="s">
        <v>303</v>
      </c>
      <c r="O327" s="40">
        <v>4.87</v>
      </c>
      <c r="P327" s="40">
        <v>6.5</v>
      </c>
      <c r="Q327" s="40">
        <v>5</v>
      </c>
      <c r="R327" s="40">
        <v>5.25</v>
      </c>
      <c r="S327" s="40">
        <v>3</v>
      </c>
      <c r="T327" s="40">
        <v>7</v>
      </c>
      <c r="U327" s="40">
        <v>6.25</v>
      </c>
      <c r="V327" s="40">
        <v>4.5</v>
      </c>
      <c r="W327" s="40">
        <v>1.34</v>
      </c>
      <c r="X327" s="40" t="s">
        <v>303</v>
      </c>
      <c r="Y327" s="40">
        <v>5.5</v>
      </c>
      <c r="Z327" s="40">
        <v>4.25</v>
      </c>
      <c r="AA327" s="40">
        <v>5</v>
      </c>
      <c r="AB327" s="40">
        <v>6.5</v>
      </c>
      <c r="AC327" s="40">
        <v>6.5</v>
      </c>
      <c r="AD327" s="40">
        <v>6.5</v>
      </c>
      <c r="AE327" s="40" t="s">
        <v>303</v>
      </c>
      <c r="AF327" s="40">
        <v>2.75</v>
      </c>
      <c r="AG327" s="40">
        <v>9</v>
      </c>
      <c r="AH327" s="40">
        <v>6.28</v>
      </c>
    </row>
    <row r="328" spans="1:34">
      <c r="A328" s="31" t="s">
        <v>364</v>
      </c>
      <c r="B328" s="33">
        <v>6.5</v>
      </c>
      <c r="C328" s="33">
        <v>12.87</v>
      </c>
      <c r="D328" s="33">
        <v>4.5</v>
      </c>
      <c r="E328" s="33">
        <v>7</v>
      </c>
      <c r="F328" s="33">
        <v>11</v>
      </c>
      <c r="G328" s="33">
        <v>4</v>
      </c>
      <c r="H328" s="33">
        <v>7.25</v>
      </c>
      <c r="I328" s="33">
        <v>5</v>
      </c>
      <c r="J328" s="33">
        <v>4</v>
      </c>
      <c r="K328" s="33">
        <v>5</v>
      </c>
      <c r="L328" s="35" t="s">
        <v>303</v>
      </c>
      <c r="M328" s="33">
        <v>6.5</v>
      </c>
      <c r="N328" s="33" t="s">
        <v>303</v>
      </c>
      <c r="O328" s="33">
        <v>2.0099999999999998</v>
      </c>
      <c r="P328" s="33">
        <v>6.5</v>
      </c>
      <c r="Q328" s="33">
        <v>5</v>
      </c>
      <c r="R328" s="33">
        <v>5.25</v>
      </c>
      <c r="S328" s="33">
        <v>3</v>
      </c>
      <c r="T328" s="33">
        <v>7</v>
      </c>
      <c r="U328" s="33">
        <v>6.25</v>
      </c>
      <c r="V328" s="33">
        <v>4.5</v>
      </c>
      <c r="W328" s="33">
        <v>1.0512156340737899</v>
      </c>
      <c r="X328" s="33" t="s">
        <v>303</v>
      </c>
      <c r="Y328" s="33">
        <v>5.5</v>
      </c>
      <c r="Z328" s="33">
        <v>4.25</v>
      </c>
      <c r="AA328" s="33">
        <v>5</v>
      </c>
      <c r="AB328" s="33">
        <v>6.5</v>
      </c>
      <c r="AC328" s="33">
        <v>6.5</v>
      </c>
      <c r="AD328" s="33">
        <v>6.5</v>
      </c>
      <c r="AE328" s="33" t="s">
        <v>303</v>
      </c>
      <c r="AF328" s="33">
        <v>2.75</v>
      </c>
      <c r="AG328" s="33">
        <v>9.25</v>
      </c>
      <c r="AH328" s="33">
        <v>6.19</v>
      </c>
    </row>
    <row r="329" spans="1:34">
      <c r="A329" s="31" t="s">
        <v>365</v>
      </c>
      <c r="B329" s="33">
        <v>6.5</v>
      </c>
      <c r="C329" s="33">
        <v>12.95</v>
      </c>
      <c r="D329" s="33">
        <v>4.5</v>
      </c>
      <c r="E329" s="33">
        <v>7</v>
      </c>
      <c r="F329" s="34">
        <v>11</v>
      </c>
      <c r="G329" s="33">
        <v>4</v>
      </c>
      <c r="H329" s="33">
        <v>7.25</v>
      </c>
      <c r="I329" s="33">
        <v>5</v>
      </c>
      <c r="J329" s="33">
        <v>3.75</v>
      </c>
      <c r="K329" s="33">
        <v>5</v>
      </c>
      <c r="L329" s="35" t="s">
        <v>303</v>
      </c>
      <c r="M329" s="33">
        <v>6.5</v>
      </c>
      <c r="N329" s="33" t="s">
        <v>303</v>
      </c>
      <c r="O329" s="33">
        <v>1.1499999999999999</v>
      </c>
      <c r="P329" s="33">
        <v>6.5</v>
      </c>
      <c r="Q329" s="33">
        <v>5</v>
      </c>
      <c r="R329" s="33">
        <v>5.25</v>
      </c>
      <c r="S329" s="33">
        <v>3</v>
      </c>
      <c r="T329" s="33">
        <v>7</v>
      </c>
      <c r="U329" s="33">
        <v>6.25</v>
      </c>
      <c r="V329" s="33">
        <v>4.5</v>
      </c>
      <c r="W329" s="33">
        <v>1.25</v>
      </c>
      <c r="X329" s="33" t="s">
        <v>303</v>
      </c>
      <c r="Y329" s="33">
        <v>5.5</v>
      </c>
      <c r="Z329" s="33">
        <v>4.25</v>
      </c>
      <c r="AA329" s="33">
        <v>5</v>
      </c>
      <c r="AB329" s="33">
        <v>6.5</v>
      </c>
      <c r="AC329" s="33">
        <v>6.5</v>
      </c>
      <c r="AD329" s="33">
        <v>6.5</v>
      </c>
      <c r="AE329" s="33" t="s">
        <v>303</v>
      </c>
      <c r="AF329" s="33">
        <v>2.75</v>
      </c>
      <c r="AG329" s="33">
        <v>9.25</v>
      </c>
      <c r="AH329" s="33">
        <v>6.23</v>
      </c>
    </row>
    <row r="330" spans="1:34">
      <c r="A330" s="31" t="s">
        <v>366</v>
      </c>
      <c r="B330" s="33">
        <v>6.5</v>
      </c>
      <c r="C330" s="33">
        <v>13.35</v>
      </c>
      <c r="D330" s="33">
        <v>4.5</v>
      </c>
      <c r="E330" s="33">
        <v>7</v>
      </c>
      <c r="F330" s="34">
        <v>11</v>
      </c>
      <c r="G330" s="33">
        <v>4</v>
      </c>
      <c r="H330" s="33">
        <v>7.25</v>
      </c>
      <c r="I330" s="33">
        <v>5</v>
      </c>
      <c r="J330" s="33">
        <v>3.25</v>
      </c>
      <c r="K330" s="33">
        <v>5</v>
      </c>
      <c r="L330" s="35" t="s">
        <v>303</v>
      </c>
      <c r="M330" s="33">
        <v>6.5</v>
      </c>
      <c r="N330" s="33" t="s">
        <v>303</v>
      </c>
      <c r="O330" s="33">
        <v>1.22</v>
      </c>
      <c r="P330" s="33">
        <v>6.5</v>
      </c>
      <c r="Q330" s="33">
        <v>5</v>
      </c>
      <c r="R330" s="33">
        <v>5</v>
      </c>
      <c r="S330" s="33">
        <v>3</v>
      </c>
      <c r="T330" s="33">
        <v>7</v>
      </c>
      <c r="U330" s="33">
        <v>5.75</v>
      </c>
      <c r="V330" s="33">
        <v>4</v>
      </c>
      <c r="W330" s="33" t="s">
        <v>303</v>
      </c>
      <c r="X330" s="33" t="s">
        <v>303</v>
      </c>
      <c r="Y330" s="33">
        <v>5.5</v>
      </c>
      <c r="Z330" s="33">
        <v>4.25</v>
      </c>
      <c r="AA330" s="33">
        <v>5</v>
      </c>
      <c r="AB330" s="33">
        <v>6.5</v>
      </c>
      <c r="AC330" s="33">
        <v>6.5</v>
      </c>
      <c r="AD330" s="33">
        <v>6.5</v>
      </c>
      <c r="AE330" s="33" t="s">
        <v>303</v>
      </c>
      <c r="AF330" s="33">
        <v>2.75</v>
      </c>
      <c r="AG330" s="33">
        <v>9.25</v>
      </c>
      <c r="AH330" s="33">
        <v>6.22</v>
      </c>
    </row>
    <row r="331" spans="1:34">
      <c r="A331" s="31" t="s">
        <v>367</v>
      </c>
      <c r="B331" s="33">
        <v>6.5</v>
      </c>
      <c r="C331" s="33">
        <v>13.33</v>
      </c>
      <c r="D331" s="33">
        <v>4.5</v>
      </c>
      <c r="E331" s="33">
        <v>7</v>
      </c>
      <c r="F331" s="34">
        <v>11</v>
      </c>
      <c r="G331" s="33">
        <v>4</v>
      </c>
      <c r="H331" s="33">
        <v>7.5</v>
      </c>
      <c r="I331" s="33">
        <v>5</v>
      </c>
      <c r="J331" s="33">
        <v>3.25</v>
      </c>
      <c r="K331" s="33">
        <v>5</v>
      </c>
      <c r="L331" s="35" t="s">
        <v>303</v>
      </c>
      <c r="M331" s="33">
        <v>6.5</v>
      </c>
      <c r="N331" s="33" t="s">
        <v>303</v>
      </c>
      <c r="O331" s="33">
        <v>1.2</v>
      </c>
      <c r="P331" s="33">
        <v>6.5</v>
      </c>
      <c r="Q331" s="33">
        <v>5.25</v>
      </c>
      <c r="R331" s="33">
        <v>5</v>
      </c>
      <c r="S331" s="33">
        <v>3</v>
      </c>
      <c r="T331" s="33">
        <v>7</v>
      </c>
      <c r="U331" s="33">
        <v>5.75</v>
      </c>
      <c r="V331" s="33">
        <v>4</v>
      </c>
      <c r="W331" s="33">
        <v>0.998</v>
      </c>
      <c r="X331" s="33" t="s">
        <v>303</v>
      </c>
      <c r="Y331" s="33">
        <v>5.5</v>
      </c>
      <c r="Z331" s="33">
        <v>4.25</v>
      </c>
      <c r="AA331" s="33">
        <v>5</v>
      </c>
      <c r="AB331" s="33">
        <v>6.5</v>
      </c>
      <c r="AC331" s="33">
        <v>6.5</v>
      </c>
      <c r="AD331" s="33">
        <v>6.5</v>
      </c>
      <c r="AE331" s="33" t="s">
        <v>303</v>
      </c>
      <c r="AF331" s="33">
        <v>2.75</v>
      </c>
      <c r="AG331" s="33">
        <v>9.25</v>
      </c>
      <c r="AH331" s="33">
        <v>6.14</v>
      </c>
    </row>
    <row r="332" spans="1:34">
      <c r="A332" s="31" t="s">
        <v>368</v>
      </c>
      <c r="B332" s="33">
        <v>6.5</v>
      </c>
      <c r="C332" s="33">
        <v>14.75</v>
      </c>
      <c r="D332" s="33">
        <v>4.5</v>
      </c>
      <c r="E332" s="33">
        <v>7</v>
      </c>
      <c r="F332" s="34">
        <v>11</v>
      </c>
      <c r="G332" s="33">
        <v>4</v>
      </c>
      <c r="H332" s="33">
        <v>8</v>
      </c>
      <c r="I332" s="33">
        <v>5</v>
      </c>
      <c r="J332" s="33">
        <v>3.25</v>
      </c>
      <c r="K332" s="33">
        <v>5</v>
      </c>
      <c r="L332" s="35" t="s">
        <v>303</v>
      </c>
      <c r="M332" s="33">
        <v>6.5</v>
      </c>
      <c r="N332" s="33" t="s">
        <v>303</v>
      </c>
      <c r="O332" s="33">
        <v>1.1299999999999999</v>
      </c>
      <c r="P332" s="33">
        <v>6.5</v>
      </c>
      <c r="Q332" s="33">
        <v>5.25</v>
      </c>
      <c r="R332" s="33">
        <v>5</v>
      </c>
      <c r="S332" s="33">
        <v>3</v>
      </c>
      <c r="T332" s="33">
        <v>7</v>
      </c>
      <c r="U332" s="33">
        <v>5.75</v>
      </c>
      <c r="V332" s="33">
        <v>4</v>
      </c>
      <c r="W332" s="33">
        <v>2.238</v>
      </c>
      <c r="X332" s="33" t="s">
        <v>303</v>
      </c>
      <c r="Y332" s="33">
        <v>5.5</v>
      </c>
      <c r="Z332" s="33">
        <v>4.25</v>
      </c>
      <c r="AA332" s="33">
        <v>4.25</v>
      </c>
      <c r="AB332" s="33">
        <v>6.5</v>
      </c>
      <c r="AC332" s="33">
        <v>6.5</v>
      </c>
      <c r="AD332" s="33">
        <v>6.5</v>
      </c>
      <c r="AE332" s="33" t="s">
        <v>303</v>
      </c>
      <c r="AF332" s="33">
        <v>2.75</v>
      </c>
      <c r="AG332" s="33">
        <v>9.25</v>
      </c>
      <c r="AH332" s="33">
        <v>6.28</v>
      </c>
    </row>
    <row r="333" spans="1:34">
      <c r="A333" s="31" t="s">
        <v>369</v>
      </c>
      <c r="B333" s="33">
        <v>6.5</v>
      </c>
      <c r="C333" s="33">
        <v>15.31</v>
      </c>
      <c r="D333" s="33">
        <v>4.5</v>
      </c>
      <c r="E333" s="33">
        <v>7</v>
      </c>
      <c r="F333" s="34">
        <v>11</v>
      </c>
      <c r="G333" s="33">
        <v>4</v>
      </c>
      <c r="H333" s="33">
        <v>8</v>
      </c>
      <c r="I333" s="33">
        <v>5</v>
      </c>
      <c r="J333" s="33">
        <v>3.25</v>
      </c>
      <c r="K333" s="33">
        <v>4</v>
      </c>
      <c r="L333" s="35" t="s">
        <v>303</v>
      </c>
      <c r="M333" s="33">
        <v>6.5</v>
      </c>
      <c r="N333" s="33" t="s">
        <v>303</v>
      </c>
      <c r="O333" s="33">
        <v>1.23</v>
      </c>
      <c r="P333" s="33">
        <v>6.5</v>
      </c>
      <c r="Q333" s="33">
        <v>5.25</v>
      </c>
      <c r="R333" s="33">
        <v>5</v>
      </c>
      <c r="S333" s="33">
        <v>3</v>
      </c>
      <c r="T333" s="33">
        <v>7</v>
      </c>
      <c r="U333" s="33">
        <v>5.75</v>
      </c>
      <c r="V333" s="33">
        <v>4</v>
      </c>
      <c r="W333" s="33">
        <v>2.3562444546597998</v>
      </c>
      <c r="X333" s="33" t="s">
        <v>303</v>
      </c>
      <c r="Y333" s="33">
        <v>5.5</v>
      </c>
      <c r="Z333" s="33">
        <v>4.25</v>
      </c>
      <c r="AA333" s="33">
        <v>4.25</v>
      </c>
      <c r="AB333" s="33">
        <v>6.5</v>
      </c>
      <c r="AC333" s="33">
        <v>6.5</v>
      </c>
      <c r="AD333" s="33">
        <v>6.5</v>
      </c>
      <c r="AE333" s="33" t="s">
        <v>303</v>
      </c>
      <c r="AF333" s="33">
        <v>2.75</v>
      </c>
      <c r="AG333" s="33">
        <v>9.25</v>
      </c>
      <c r="AH333" s="33">
        <v>6.07</v>
      </c>
    </row>
    <row r="334" spans="1:34">
      <c r="A334" s="31" t="s">
        <v>370</v>
      </c>
      <c r="B334" s="33">
        <v>6.5</v>
      </c>
      <c r="C334" s="33">
        <v>15.42</v>
      </c>
      <c r="D334" s="33">
        <v>4.5</v>
      </c>
      <c r="E334" s="33">
        <v>7</v>
      </c>
      <c r="F334" s="34">
        <v>11</v>
      </c>
      <c r="G334" s="33">
        <v>4</v>
      </c>
      <c r="H334" s="33">
        <v>8.5</v>
      </c>
      <c r="I334" s="33">
        <v>5</v>
      </c>
      <c r="J334" s="33">
        <v>3.25</v>
      </c>
      <c r="K334" s="33">
        <v>4</v>
      </c>
      <c r="L334" s="35" t="s">
        <v>303</v>
      </c>
      <c r="M334" s="33">
        <v>6.5</v>
      </c>
      <c r="N334" s="33" t="s">
        <v>303</v>
      </c>
      <c r="O334" s="33">
        <v>1.1299999999999999</v>
      </c>
      <c r="P334" s="33">
        <v>6.5</v>
      </c>
      <c r="Q334" s="33">
        <v>5.25</v>
      </c>
      <c r="R334" s="33">
        <v>5</v>
      </c>
      <c r="S334" s="33">
        <v>3</v>
      </c>
      <c r="T334" s="33">
        <v>7</v>
      </c>
      <c r="U334" s="33">
        <v>5.75</v>
      </c>
      <c r="V334" s="33">
        <v>4</v>
      </c>
      <c r="W334" s="33" t="s">
        <v>303</v>
      </c>
      <c r="X334" s="33" t="s">
        <v>303</v>
      </c>
      <c r="Y334" s="33">
        <v>5.5</v>
      </c>
      <c r="Z334" s="33">
        <v>4.25</v>
      </c>
      <c r="AA334" s="33">
        <v>4.25</v>
      </c>
      <c r="AB334" s="33">
        <v>6.5</v>
      </c>
      <c r="AC334" s="33">
        <v>6.5</v>
      </c>
      <c r="AD334" s="33">
        <v>6.5</v>
      </c>
      <c r="AE334" s="33" t="s">
        <v>303</v>
      </c>
      <c r="AF334" s="33">
        <v>2.75</v>
      </c>
      <c r="AG334" s="33" t="s">
        <v>303</v>
      </c>
      <c r="AH334" s="33">
        <v>6.3</v>
      </c>
    </row>
    <row r="335" spans="1:34">
      <c r="A335" s="31" t="s">
        <v>371</v>
      </c>
      <c r="B335" s="33">
        <v>6.5</v>
      </c>
      <c r="C335" s="33">
        <v>15.45</v>
      </c>
      <c r="D335" s="33">
        <v>4.5</v>
      </c>
      <c r="E335" s="33">
        <v>7</v>
      </c>
      <c r="F335" s="34">
        <v>11</v>
      </c>
      <c r="G335" s="33">
        <v>4</v>
      </c>
      <c r="H335" s="33">
        <v>9</v>
      </c>
      <c r="I335" s="33">
        <v>5</v>
      </c>
      <c r="J335" s="33">
        <v>3.25</v>
      </c>
      <c r="K335" s="33">
        <v>4</v>
      </c>
      <c r="L335" s="35" t="s">
        <v>303</v>
      </c>
      <c r="M335" s="33">
        <v>6.5</v>
      </c>
      <c r="N335" s="33" t="s">
        <v>303</v>
      </c>
      <c r="O335" s="33">
        <v>1.1100000000000001</v>
      </c>
      <c r="P335" s="33">
        <v>6.5</v>
      </c>
      <c r="Q335" s="33">
        <v>5.25</v>
      </c>
      <c r="R335" s="33">
        <v>5</v>
      </c>
      <c r="S335" s="33">
        <v>3</v>
      </c>
      <c r="T335" s="33">
        <v>7</v>
      </c>
      <c r="U335" s="33">
        <v>5.75</v>
      </c>
      <c r="V335" s="33">
        <v>4</v>
      </c>
      <c r="W335" s="33" t="s">
        <v>303</v>
      </c>
      <c r="X335" s="33" t="s">
        <v>303</v>
      </c>
      <c r="Y335" s="33">
        <v>5.5</v>
      </c>
      <c r="Z335" s="33">
        <v>4.25</v>
      </c>
      <c r="AA335" s="33">
        <v>6.25</v>
      </c>
      <c r="AB335" s="33">
        <v>6.5</v>
      </c>
      <c r="AC335" s="33">
        <v>6.5</v>
      </c>
      <c r="AD335" s="33">
        <v>6.5</v>
      </c>
      <c r="AE335" s="33" t="s">
        <v>303</v>
      </c>
      <c r="AF335" s="33">
        <v>2.75</v>
      </c>
      <c r="AG335" s="33" t="s">
        <v>303</v>
      </c>
      <c r="AH335" s="33">
        <v>6.07</v>
      </c>
    </row>
    <row r="336" spans="1:34">
      <c r="A336" s="31" t="s">
        <v>372</v>
      </c>
      <c r="B336" s="33">
        <v>6.5</v>
      </c>
      <c r="C336" s="33">
        <v>15.34</v>
      </c>
      <c r="D336" s="33">
        <v>4.5</v>
      </c>
      <c r="E336" s="33">
        <v>7</v>
      </c>
      <c r="F336" s="34">
        <v>11</v>
      </c>
      <c r="G336" s="33">
        <v>4</v>
      </c>
      <c r="H336" s="33">
        <v>9</v>
      </c>
      <c r="I336" s="33">
        <v>5</v>
      </c>
      <c r="J336" s="33">
        <v>3.25</v>
      </c>
      <c r="K336" s="33">
        <v>4</v>
      </c>
      <c r="L336" s="35" t="s">
        <v>303</v>
      </c>
      <c r="M336" s="33">
        <v>6.5</v>
      </c>
      <c r="N336" s="33" t="s">
        <v>303</v>
      </c>
      <c r="O336" s="33">
        <v>1.1399999999999999</v>
      </c>
      <c r="P336" s="33">
        <v>6.5</v>
      </c>
      <c r="Q336" s="33">
        <v>5.25</v>
      </c>
      <c r="R336" s="33">
        <v>5</v>
      </c>
      <c r="S336" s="33">
        <v>3</v>
      </c>
      <c r="T336" s="33">
        <v>7</v>
      </c>
      <c r="U336" s="33">
        <v>5.75</v>
      </c>
      <c r="V336" s="33">
        <v>3.75</v>
      </c>
      <c r="W336" s="33" t="s">
        <v>303</v>
      </c>
      <c r="X336" s="33" t="s">
        <v>303</v>
      </c>
      <c r="Y336" s="33">
        <v>5.5</v>
      </c>
      <c r="Z336" s="33">
        <v>4.25</v>
      </c>
      <c r="AA336" s="33">
        <v>6.25</v>
      </c>
      <c r="AB336" s="33">
        <v>6.5</v>
      </c>
      <c r="AC336" s="33">
        <v>6.5</v>
      </c>
      <c r="AD336" s="33">
        <v>6.5</v>
      </c>
      <c r="AE336" s="33" t="s">
        <v>303</v>
      </c>
      <c r="AF336" s="33">
        <v>2.75</v>
      </c>
      <c r="AG336" s="33" t="s">
        <v>303</v>
      </c>
      <c r="AH336" s="33">
        <v>6.31</v>
      </c>
    </row>
    <row r="337" spans="1:34">
      <c r="A337" s="31" t="s">
        <v>373</v>
      </c>
      <c r="B337" s="33">
        <v>6.5</v>
      </c>
      <c r="C337" s="33">
        <v>15.23</v>
      </c>
      <c r="D337" s="33">
        <v>4.5</v>
      </c>
      <c r="E337" s="33">
        <v>7</v>
      </c>
      <c r="F337" s="34">
        <v>11</v>
      </c>
      <c r="G337" s="33">
        <v>4</v>
      </c>
      <c r="H337" s="33">
        <v>9.5</v>
      </c>
      <c r="I337" s="33">
        <v>4.75</v>
      </c>
      <c r="J337" s="33">
        <v>3.25</v>
      </c>
      <c r="K337" s="33">
        <v>4</v>
      </c>
      <c r="L337" s="35" t="s">
        <v>303</v>
      </c>
      <c r="M337" s="33">
        <v>6.5</v>
      </c>
      <c r="N337" s="33" t="s">
        <v>303</v>
      </c>
      <c r="O337" s="33">
        <v>1.33</v>
      </c>
      <c r="P337" s="33">
        <v>6.5</v>
      </c>
      <c r="Q337" s="33">
        <v>5</v>
      </c>
      <c r="R337" s="33">
        <v>5</v>
      </c>
      <c r="S337" s="33">
        <v>3</v>
      </c>
      <c r="T337" s="33">
        <v>7</v>
      </c>
      <c r="U337" s="33">
        <v>5.75</v>
      </c>
      <c r="V337" s="33">
        <v>3.5</v>
      </c>
      <c r="W337" s="33" t="s">
        <v>303</v>
      </c>
      <c r="X337" s="33" t="s">
        <v>303</v>
      </c>
      <c r="Y337" s="33">
        <v>5.5</v>
      </c>
      <c r="Z337" s="33">
        <v>4.25</v>
      </c>
      <c r="AA337" s="33">
        <v>6.25</v>
      </c>
      <c r="AB337" s="33">
        <v>6.5</v>
      </c>
      <c r="AC337" s="33">
        <v>6.5</v>
      </c>
      <c r="AD337" s="33">
        <v>6.5</v>
      </c>
      <c r="AE337" s="33" t="s">
        <v>303</v>
      </c>
      <c r="AF337" s="33">
        <v>2.75</v>
      </c>
      <c r="AG337" s="33" t="s">
        <v>303</v>
      </c>
      <c r="AH337" s="33">
        <v>6.08</v>
      </c>
    </row>
    <row r="338" spans="1:34">
      <c r="A338" s="31" t="s">
        <v>374</v>
      </c>
      <c r="B338" s="33">
        <v>6.5</v>
      </c>
      <c r="C338" s="33">
        <v>15.28</v>
      </c>
      <c r="D338" s="33">
        <v>4.5</v>
      </c>
      <c r="E338" s="33">
        <v>7</v>
      </c>
      <c r="F338" s="34">
        <v>11</v>
      </c>
      <c r="G338" s="34">
        <v>4.5</v>
      </c>
      <c r="H338" s="34">
        <v>10</v>
      </c>
      <c r="I338" s="34">
        <v>4.5</v>
      </c>
      <c r="J338" s="33">
        <v>3.25</v>
      </c>
      <c r="K338" s="33">
        <v>4</v>
      </c>
      <c r="L338" s="35" t="s">
        <v>303</v>
      </c>
      <c r="M338" s="33">
        <v>6.5</v>
      </c>
      <c r="N338" s="33" t="s">
        <v>303</v>
      </c>
      <c r="O338" s="33">
        <v>2.5299999999999998</v>
      </c>
      <c r="P338" s="33">
        <v>6.5</v>
      </c>
      <c r="Q338" s="33">
        <v>5</v>
      </c>
      <c r="R338" s="33">
        <v>5</v>
      </c>
      <c r="S338" s="33">
        <v>3</v>
      </c>
      <c r="T338" s="33">
        <v>7</v>
      </c>
      <c r="U338" s="33">
        <v>5.75</v>
      </c>
      <c r="V338" s="33">
        <v>3.5</v>
      </c>
      <c r="W338" s="33">
        <v>2.45576923076923</v>
      </c>
      <c r="X338" s="33" t="s">
        <v>303</v>
      </c>
      <c r="Y338" s="33">
        <v>5.5</v>
      </c>
      <c r="Z338" s="33">
        <v>4</v>
      </c>
      <c r="AA338" s="33">
        <v>6.25</v>
      </c>
      <c r="AB338" s="33">
        <v>6.5</v>
      </c>
      <c r="AC338" s="33">
        <v>6.5</v>
      </c>
      <c r="AD338" s="33">
        <v>6.5</v>
      </c>
      <c r="AE338" s="33" t="s">
        <v>303</v>
      </c>
      <c r="AF338" s="33">
        <v>2.75</v>
      </c>
      <c r="AG338" s="33" t="s">
        <v>303</v>
      </c>
      <c r="AH338" s="33">
        <v>6.4</v>
      </c>
    </row>
    <row r="339" spans="1:34">
      <c r="A339" s="39" t="s">
        <v>375</v>
      </c>
      <c r="B339" s="40">
        <v>6.5</v>
      </c>
      <c r="C339" s="40">
        <v>15.52</v>
      </c>
      <c r="D339" s="40">
        <v>4.5</v>
      </c>
      <c r="E339" s="40">
        <v>7</v>
      </c>
      <c r="F339" s="41">
        <v>11</v>
      </c>
      <c r="G339" s="41">
        <v>4.5</v>
      </c>
      <c r="H339" s="41">
        <v>10</v>
      </c>
      <c r="I339" s="41">
        <v>4.5</v>
      </c>
      <c r="J339" s="40">
        <v>3.25</v>
      </c>
      <c r="K339" s="40">
        <v>3.75</v>
      </c>
      <c r="L339" s="42" t="s">
        <v>303</v>
      </c>
      <c r="M339" s="40">
        <v>6.5</v>
      </c>
      <c r="N339" s="40" t="s">
        <v>303</v>
      </c>
      <c r="O339" s="40">
        <v>3.5</v>
      </c>
      <c r="P339" s="40">
        <v>6.5</v>
      </c>
      <c r="Q339" s="40">
        <v>5</v>
      </c>
      <c r="R339" s="40">
        <v>5</v>
      </c>
      <c r="S339" s="40">
        <v>3</v>
      </c>
      <c r="T339" s="40">
        <v>7</v>
      </c>
      <c r="U339" s="40">
        <v>5.75</v>
      </c>
      <c r="V339" s="40">
        <v>3.5</v>
      </c>
      <c r="W339" s="40" t="s">
        <v>303</v>
      </c>
      <c r="X339" s="40" t="s">
        <v>303</v>
      </c>
      <c r="Y339" s="40">
        <v>6</v>
      </c>
      <c r="Z339" s="40">
        <v>4</v>
      </c>
      <c r="AA339" s="40">
        <v>6.25</v>
      </c>
      <c r="AB339" s="40">
        <v>6.5</v>
      </c>
      <c r="AC339" s="40">
        <v>6.5</v>
      </c>
      <c r="AD339" s="40">
        <v>6.5</v>
      </c>
      <c r="AE339" s="40" t="s">
        <v>303</v>
      </c>
      <c r="AF339" s="40">
        <v>2.75</v>
      </c>
      <c r="AG339" s="40" t="s">
        <v>303</v>
      </c>
      <c r="AH339" s="40">
        <v>6.4</v>
      </c>
    </row>
    <row r="340" spans="1:34">
      <c r="A340" s="31" t="s">
        <v>376</v>
      </c>
      <c r="B340" s="33">
        <v>6.5</v>
      </c>
      <c r="C340" s="33">
        <v>19.989999999999998</v>
      </c>
      <c r="D340" s="33">
        <v>4.5</v>
      </c>
      <c r="E340" s="33">
        <v>7</v>
      </c>
      <c r="F340" s="34">
        <v>11</v>
      </c>
      <c r="G340" s="33">
        <v>4.5</v>
      </c>
      <c r="H340" s="33">
        <v>10.5</v>
      </c>
      <c r="I340" s="33">
        <v>4.5</v>
      </c>
      <c r="J340" s="33">
        <v>3.25</v>
      </c>
      <c r="K340" s="33">
        <v>3.75</v>
      </c>
      <c r="L340" s="35" t="s">
        <v>303</v>
      </c>
      <c r="M340" s="33">
        <v>6.5</v>
      </c>
      <c r="N340" s="33"/>
      <c r="O340" s="33">
        <v>1.67</v>
      </c>
      <c r="P340" s="33">
        <v>6.5</v>
      </c>
      <c r="Q340" s="33">
        <v>5</v>
      </c>
      <c r="R340" s="33">
        <v>5</v>
      </c>
      <c r="S340" s="33">
        <v>3</v>
      </c>
      <c r="T340" s="33">
        <v>7</v>
      </c>
      <c r="U340" s="33">
        <v>5.75</v>
      </c>
      <c r="V340" s="33">
        <v>3.5</v>
      </c>
      <c r="W340" s="33">
        <v>1.3465384615384615</v>
      </c>
      <c r="X340" s="33" t="s">
        <v>303</v>
      </c>
      <c r="Y340" s="33">
        <v>6.5</v>
      </c>
      <c r="Z340" s="33">
        <v>4</v>
      </c>
      <c r="AA340" s="33">
        <v>6.25</v>
      </c>
      <c r="AB340" s="33">
        <v>6.5</v>
      </c>
      <c r="AC340" s="33">
        <v>6.5</v>
      </c>
      <c r="AD340" s="33">
        <v>6.5</v>
      </c>
      <c r="AE340" s="33" t="s">
        <v>303</v>
      </c>
      <c r="AF340" s="33">
        <v>2.75</v>
      </c>
      <c r="AG340" s="33" t="s">
        <v>303</v>
      </c>
      <c r="AH340" s="33">
        <v>6.23</v>
      </c>
    </row>
    <row r="341" spans="1:34">
      <c r="A341" s="31" t="s">
        <v>377</v>
      </c>
      <c r="B341" s="33">
        <v>6.5</v>
      </c>
      <c r="C341" s="33">
        <v>28.73</v>
      </c>
      <c r="D341" s="33">
        <v>4.5</v>
      </c>
      <c r="E341" s="33">
        <v>7</v>
      </c>
      <c r="F341" s="34">
        <v>11</v>
      </c>
      <c r="G341" s="33">
        <v>4.5</v>
      </c>
      <c r="H341" s="33">
        <v>10.75</v>
      </c>
      <c r="I341" s="33">
        <v>4.25</v>
      </c>
      <c r="J341" s="33">
        <v>3.25</v>
      </c>
      <c r="K341" s="33">
        <v>3.75</v>
      </c>
      <c r="L341" s="35" t="s">
        <v>303</v>
      </c>
      <c r="M341" s="33">
        <v>6.5</v>
      </c>
      <c r="N341" s="33" t="s">
        <v>303</v>
      </c>
      <c r="O341" s="33">
        <v>1.47</v>
      </c>
      <c r="P341" s="33">
        <v>6.5</v>
      </c>
      <c r="Q341" s="33">
        <v>5</v>
      </c>
      <c r="R341" s="33">
        <v>5</v>
      </c>
      <c r="S341" s="33">
        <v>3</v>
      </c>
      <c r="T341" s="33">
        <v>7</v>
      </c>
      <c r="U341" s="33">
        <v>5.75</v>
      </c>
      <c r="V341" s="33">
        <v>3.5</v>
      </c>
      <c r="W341" s="33">
        <v>2.3660000000000001</v>
      </c>
      <c r="X341" s="33" t="s">
        <v>303</v>
      </c>
      <c r="Y341" s="33">
        <v>6.75</v>
      </c>
      <c r="Z341" s="33">
        <v>4</v>
      </c>
      <c r="AA341" s="33">
        <v>6.25</v>
      </c>
      <c r="AB341" s="33">
        <v>6.5</v>
      </c>
      <c r="AC341" s="33">
        <v>6.5</v>
      </c>
      <c r="AD341" s="33">
        <v>6.5</v>
      </c>
      <c r="AE341" s="33" t="s">
        <v>303</v>
      </c>
      <c r="AF341" s="33">
        <v>2.75</v>
      </c>
      <c r="AG341" s="33" t="s">
        <v>303</v>
      </c>
      <c r="AH341" s="33">
        <v>6.17</v>
      </c>
    </row>
    <row r="342" spans="1:34">
      <c r="A342" s="31" t="s">
        <v>378</v>
      </c>
      <c r="B342" s="33">
        <v>6.5</v>
      </c>
      <c r="C342" s="33">
        <v>28.8</v>
      </c>
      <c r="D342" s="33">
        <v>4.5</v>
      </c>
      <c r="E342" s="33">
        <v>7</v>
      </c>
      <c r="F342" s="34">
        <v>11</v>
      </c>
      <c r="G342" s="33">
        <v>5</v>
      </c>
      <c r="H342" s="33">
        <v>10.75</v>
      </c>
      <c r="I342" s="33">
        <v>4</v>
      </c>
      <c r="J342" s="33">
        <v>3.25</v>
      </c>
      <c r="K342" s="33">
        <v>4.75</v>
      </c>
      <c r="L342" s="35" t="s">
        <v>303</v>
      </c>
      <c r="M342" s="33">
        <v>6.5</v>
      </c>
      <c r="N342" s="33" t="s">
        <v>303</v>
      </c>
      <c r="O342" s="33">
        <v>1.33</v>
      </c>
      <c r="P342" s="33">
        <v>6.5</v>
      </c>
      <c r="Q342" s="33">
        <v>4.75</v>
      </c>
      <c r="R342" s="33">
        <v>5</v>
      </c>
      <c r="S342" s="33">
        <v>5</v>
      </c>
      <c r="T342" s="33">
        <v>7</v>
      </c>
      <c r="U342" s="33">
        <v>5.75</v>
      </c>
      <c r="V342" s="33">
        <v>3.5</v>
      </c>
      <c r="W342" s="33" t="s">
        <v>303</v>
      </c>
      <c r="X342" s="33" t="s">
        <v>303</v>
      </c>
      <c r="Y342" s="33">
        <v>6.75</v>
      </c>
      <c r="Z342" s="33">
        <v>4</v>
      </c>
      <c r="AA342" s="33">
        <v>6.25</v>
      </c>
      <c r="AB342" s="33">
        <v>6.5</v>
      </c>
      <c r="AC342" s="33">
        <v>6.5</v>
      </c>
      <c r="AD342" s="33">
        <v>6.5</v>
      </c>
      <c r="AE342" s="33" t="s">
        <v>303</v>
      </c>
      <c r="AF342" s="33">
        <v>2.75</v>
      </c>
      <c r="AG342" s="33" t="s">
        <v>303</v>
      </c>
      <c r="AH342" s="33">
        <v>6.74</v>
      </c>
    </row>
    <row r="343" spans="1:34">
      <c r="A343" s="31" t="s">
        <v>379</v>
      </c>
      <c r="B343" s="33">
        <v>6.5</v>
      </c>
      <c r="C343" s="33">
        <v>28.2</v>
      </c>
      <c r="D343" s="33">
        <v>4.5</v>
      </c>
      <c r="E343" s="33">
        <v>7</v>
      </c>
      <c r="F343" s="34">
        <v>11</v>
      </c>
      <c r="G343" s="33">
        <v>5.5</v>
      </c>
      <c r="H343" s="33">
        <v>11</v>
      </c>
      <c r="I343" s="33">
        <v>4</v>
      </c>
      <c r="J343" s="33">
        <v>3.5</v>
      </c>
      <c r="K343" s="33">
        <v>4.75</v>
      </c>
      <c r="L343" s="35" t="s">
        <v>303</v>
      </c>
      <c r="M343" s="33">
        <v>6.5</v>
      </c>
      <c r="N343" s="33" t="s">
        <v>303</v>
      </c>
      <c r="O343" s="33">
        <v>1.79</v>
      </c>
      <c r="P343" s="33">
        <v>6.5</v>
      </c>
      <c r="Q343" s="33">
        <v>4.75</v>
      </c>
      <c r="R343" s="33">
        <v>5</v>
      </c>
      <c r="S343" s="33">
        <v>5</v>
      </c>
      <c r="T343" s="33">
        <v>7</v>
      </c>
      <c r="U343" s="33">
        <v>5.75</v>
      </c>
      <c r="V343" s="33">
        <v>3.5</v>
      </c>
      <c r="W343" s="33">
        <v>2.9697999999999998</v>
      </c>
      <c r="X343" s="33" t="s">
        <v>303</v>
      </c>
      <c r="Y343" s="33">
        <v>6.75</v>
      </c>
      <c r="Z343" s="33">
        <v>4</v>
      </c>
      <c r="AA343" s="33">
        <v>6.25</v>
      </c>
      <c r="AB343" s="33">
        <v>6.5</v>
      </c>
      <c r="AC343" s="33">
        <v>6.5</v>
      </c>
      <c r="AD343" s="33">
        <v>6.5</v>
      </c>
      <c r="AE343" s="33" t="s">
        <v>303</v>
      </c>
      <c r="AF343" s="33">
        <v>2.75</v>
      </c>
      <c r="AG343" s="33" t="s">
        <v>303</v>
      </c>
      <c r="AH343" s="33">
        <v>6.53</v>
      </c>
    </row>
    <row r="344" spans="1:34">
      <c r="A344" s="31" t="s">
        <v>380</v>
      </c>
      <c r="B344" s="33">
        <v>6.5</v>
      </c>
      <c r="C344" s="33">
        <v>26.8</v>
      </c>
      <c r="D344" s="33">
        <v>4.5</v>
      </c>
      <c r="E344" s="33">
        <v>7</v>
      </c>
      <c r="F344" s="34">
        <v>11</v>
      </c>
      <c r="G344" s="33">
        <v>5.5</v>
      </c>
      <c r="H344" s="33">
        <v>11</v>
      </c>
      <c r="I344" s="33">
        <v>4</v>
      </c>
      <c r="J344" s="33">
        <v>3.5</v>
      </c>
      <c r="K344" s="33">
        <v>5.25</v>
      </c>
      <c r="L344" s="35" t="s">
        <v>303</v>
      </c>
      <c r="M344" s="33">
        <v>6.5</v>
      </c>
      <c r="N344" s="33" t="s">
        <v>303</v>
      </c>
      <c r="O344" s="33">
        <v>3.29</v>
      </c>
      <c r="P344" s="33">
        <v>6.5</v>
      </c>
      <c r="Q344" s="33">
        <v>4.75</v>
      </c>
      <c r="R344" s="33">
        <v>5</v>
      </c>
      <c r="S344" s="33">
        <v>5</v>
      </c>
      <c r="T344" s="33">
        <v>7</v>
      </c>
      <c r="U344" s="33">
        <v>5.75</v>
      </c>
      <c r="V344" s="33">
        <v>3.5</v>
      </c>
      <c r="W344" s="33">
        <v>2.9790000000000005</v>
      </c>
      <c r="X344" s="33" t="s">
        <v>303</v>
      </c>
      <c r="Y344" s="33">
        <v>6.75</v>
      </c>
      <c r="Z344" s="33">
        <v>4</v>
      </c>
      <c r="AA344" s="33">
        <v>6.25</v>
      </c>
      <c r="AB344" s="33">
        <v>6.5</v>
      </c>
      <c r="AC344" s="33">
        <v>6.5</v>
      </c>
      <c r="AD344" s="33">
        <v>6.5</v>
      </c>
      <c r="AE344" s="33" t="s">
        <v>303</v>
      </c>
      <c r="AF344" s="33">
        <v>2.75</v>
      </c>
      <c r="AG344" s="33" t="s">
        <v>303</v>
      </c>
      <c r="AH344" s="33">
        <v>6.27</v>
      </c>
    </row>
    <row r="345" spans="1:34">
      <c r="A345" s="31" t="s">
        <v>381</v>
      </c>
      <c r="B345" s="33">
        <v>6.5</v>
      </c>
      <c r="C345" s="33">
        <v>26.83</v>
      </c>
      <c r="D345" s="33">
        <v>4.5</v>
      </c>
      <c r="E345" s="33">
        <v>7</v>
      </c>
      <c r="F345" s="34">
        <v>11</v>
      </c>
      <c r="G345" s="33">
        <v>6</v>
      </c>
      <c r="H345" s="33">
        <v>11</v>
      </c>
      <c r="I345" s="33">
        <v>4</v>
      </c>
      <c r="J345" s="33">
        <v>3.75</v>
      </c>
      <c r="K345" s="33">
        <v>5.25</v>
      </c>
      <c r="L345" s="35" t="s">
        <v>303</v>
      </c>
      <c r="M345" s="33">
        <v>6.5</v>
      </c>
      <c r="N345" s="33" t="s">
        <v>303</v>
      </c>
      <c r="O345" s="33">
        <v>2.69</v>
      </c>
      <c r="P345" s="33">
        <v>6.5</v>
      </c>
      <c r="Q345" s="33">
        <v>4.5</v>
      </c>
      <c r="R345" s="33">
        <v>5</v>
      </c>
      <c r="S345" s="33">
        <v>5</v>
      </c>
      <c r="T345" s="33">
        <v>7</v>
      </c>
      <c r="U345" s="33">
        <v>5.75</v>
      </c>
      <c r="V345" s="33">
        <v>3</v>
      </c>
      <c r="W345" s="33">
        <v>3.1496666666666666</v>
      </c>
      <c r="X345" s="33" t="s">
        <v>303</v>
      </c>
      <c r="Y345" s="33">
        <v>6.75</v>
      </c>
      <c r="Z345" s="33">
        <v>4</v>
      </c>
      <c r="AA345" s="33">
        <v>6.25</v>
      </c>
      <c r="AB345" s="33">
        <v>6.5</v>
      </c>
      <c r="AC345" s="33">
        <v>6.5</v>
      </c>
      <c r="AD345" s="33">
        <v>6.5</v>
      </c>
      <c r="AE345" s="33" t="s">
        <v>303</v>
      </c>
      <c r="AF345" s="33">
        <v>2.75</v>
      </c>
      <c r="AG345" s="33" t="s">
        <v>303</v>
      </c>
      <c r="AH345" s="33">
        <v>6.72</v>
      </c>
    </row>
    <row r="346" spans="1:34">
      <c r="A346" s="31" t="s">
        <v>382</v>
      </c>
      <c r="B346" s="33">
        <v>6.5</v>
      </c>
      <c r="C346" s="33">
        <v>26.8</v>
      </c>
      <c r="D346" s="33">
        <v>4.5</v>
      </c>
      <c r="E346" s="33">
        <v>7</v>
      </c>
      <c r="F346" s="34">
        <v>11</v>
      </c>
      <c r="G346" s="33">
        <v>6</v>
      </c>
      <c r="H346" s="33">
        <v>11</v>
      </c>
      <c r="I346" s="33">
        <v>3.75</v>
      </c>
      <c r="J346" s="33">
        <v>4</v>
      </c>
      <c r="K346" s="33">
        <v>5.25</v>
      </c>
      <c r="L346" s="35" t="s">
        <v>303</v>
      </c>
      <c r="M346" s="33">
        <v>6.5</v>
      </c>
      <c r="N346" s="33" t="s">
        <v>303</v>
      </c>
      <c r="O346" s="33">
        <v>1.51</v>
      </c>
      <c r="P346" s="33">
        <v>6.5</v>
      </c>
      <c r="Q346" s="33">
        <v>4.5</v>
      </c>
      <c r="R346" s="33">
        <v>5</v>
      </c>
      <c r="S346" s="33">
        <v>5</v>
      </c>
      <c r="T346" s="33">
        <v>7</v>
      </c>
      <c r="U346" s="33">
        <v>5.75</v>
      </c>
      <c r="V346" s="33">
        <v>3</v>
      </c>
      <c r="W346" s="33">
        <v>3.3685999999999994</v>
      </c>
      <c r="X346" s="33" t="s">
        <v>303</v>
      </c>
      <c r="Y346" s="33">
        <v>6.75</v>
      </c>
      <c r="Z346" s="33">
        <v>3.75</v>
      </c>
      <c r="AA346" s="33">
        <v>6.25</v>
      </c>
      <c r="AB346" s="33">
        <v>6.5</v>
      </c>
      <c r="AC346" s="33">
        <v>6.5</v>
      </c>
      <c r="AD346" s="33">
        <v>6.5</v>
      </c>
      <c r="AE346" s="33" t="s">
        <v>303</v>
      </c>
      <c r="AF346" s="33">
        <v>2.75</v>
      </c>
      <c r="AG346" s="33" t="s">
        <v>303</v>
      </c>
      <c r="AH346" s="33">
        <v>6.15</v>
      </c>
    </row>
    <row r="347" spans="1:34">
      <c r="A347" s="31" t="s">
        <v>383</v>
      </c>
      <c r="B347" s="33">
        <v>6.5</v>
      </c>
      <c r="C347" s="33">
        <v>26.38</v>
      </c>
      <c r="D347" s="33">
        <v>4.5</v>
      </c>
      <c r="E347" s="33">
        <v>7</v>
      </c>
      <c r="F347" s="34">
        <v>11</v>
      </c>
      <c r="G347" s="33">
        <v>6</v>
      </c>
      <c r="H347" s="33">
        <v>11</v>
      </c>
      <c r="I347" s="33">
        <v>3.5</v>
      </c>
      <c r="J347" s="33">
        <v>4.25</v>
      </c>
      <c r="K347" s="33">
        <v>5.25</v>
      </c>
      <c r="L347" s="35" t="s">
        <v>303</v>
      </c>
      <c r="M347" s="33">
        <v>6.5</v>
      </c>
      <c r="N347" s="33" t="s">
        <v>303</v>
      </c>
      <c r="O347" s="33">
        <v>1.22</v>
      </c>
      <c r="P347" s="33">
        <v>6.5</v>
      </c>
      <c r="Q347" s="33">
        <v>4.5</v>
      </c>
      <c r="R347" s="33">
        <v>5</v>
      </c>
      <c r="S347" s="33">
        <v>5</v>
      </c>
      <c r="T347" s="33">
        <v>7</v>
      </c>
      <c r="U347" s="33">
        <v>5.75</v>
      </c>
      <c r="V347" s="33">
        <v>3</v>
      </c>
      <c r="W347" s="33">
        <v>3.5000000000000004</v>
      </c>
      <c r="X347" s="33" t="s">
        <v>303</v>
      </c>
      <c r="Y347" s="33">
        <v>6.75</v>
      </c>
      <c r="Z347" s="33">
        <v>3.75</v>
      </c>
      <c r="AA347" s="33">
        <v>6.25</v>
      </c>
      <c r="AB347" s="33">
        <v>6.5</v>
      </c>
      <c r="AC347" s="33">
        <v>6.5</v>
      </c>
      <c r="AD347" s="33">
        <v>6.5</v>
      </c>
      <c r="AE347" s="33" t="s">
        <v>303</v>
      </c>
      <c r="AF347" s="33">
        <v>2.75</v>
      </c>
      <c r="AG347" s="33" t="s">
        <v>303</v>
      </c>
      <c r="AH347" s="33">
        <v>6.66</v>
      </c>
    </row>
    <row r="348" spans="1:34">
      <c r="A348" s="31" t="s">
        <v>384</v>
      </c>
      <c r="B348" s="33">
        <v>6.5</v>
      </c>
      <c r="C348" s="33">
        <v>26.8</v>
      </c>
      <c r="D348" s="33">
        <v>4.5</v>
      </c>
      <c r="E348" s="33">
        <v>7</v>
      </c>
      <c r="F348" s="34">
        <v>11</v>
      </c>
      <c r="G348" s="33">
        <v>6</v>
      </c>
      <c r="H348" s="33">
        <v>11</v>
      </c>
      <c r="I348" s="33">
        <v>3.25</v>
      </c>
      <c r="J348" s="33">
        <v>4.5</v>
      </c>
      <c r="K348" s="33">
        <v>5.25</v>
      </c>
      <c r="L348" s="35" t="s">
        <v>303</v>
      </c>
      <c r="M348" s="33">
        <v>6.5</v>
      </c>
      <c r="N348" s="33" t="s">
        <v>303</v>
      </c>
      <c r="O348" s="33">
        <v>2.65</v>
      </c>
      <c r="P348" s="33">
        <v>6.5</v>
      </c>
      <c r="Q348" s="33">
        <v>4.5</v>
      </c>
      <c r="R348" s="33">
        <v>5</v>
      </c>
      <c r="S348" s="33">
        <v>5</v>
      </c>
      <c r="T348" s="33">
        <v>7</v>
      </c>
      <c r="U348" s="33">
        <v>5.75</v>
      </c>
      <c r="V348" s="33">
        <v>3</v>
      </c>
      <c r="W348" s="33">
        <v>3.589</v>
      </c>
      <c r="X348" s="33" t="s">
        <v>303</v>
      </c>
      <c r="Y348" s="33">
        <v>6.75</v>
      </c>
      <c r="Z348" s="33">
        <v>3.5</v>
      </c>
      <c r="AA348" s="33">
        <v>6.25</v>
      </c>
      <c r="AB348" s="33">
        <v>6.5</v>
      </c>
      <c r="AC348" s="33">
        <v>6.5</v>
      </c>
      <c r="AD348" s="33">
        <v>6.5</v>
      </c>
      <c r="AE348" s="33" t="s">
        <v>303</v>
      </c>
      <c r="AF348" s="33">
        <v>2.75</v>
      </c>
      <c r="AG348" s="33" t="s">
        <v>303</v>
      </c>
      <c r="AH348" s="33">
        <v>6.49</v>
      </c>
    </row>
    <row r="349" spans="1:34">
      <c r="A349" s="31" t="s">
        <v>385</v>
      </c>
      <c r="B349" s="33">
        <v>6.5</v>
      </c>
      <c r="C349" s="33">
        <v>26.86</v>
      </c>
      <c r="D349" s="33">
        <v>4.5</v>
      </c>
      <c r="E349" s="33">
        <v>7</v>
      </c>
      <c r="F349" s="34">
        <v>11</v>
      </c>
      <c r="G349" s="33">
        <v>5.5</v>
      </c>
      <c r="H349" s="33">
        <v>11.25</v>
      </c>
      <c r="I349" s="33">
        <v>3</v>
      </c>
      <c r="J349" s="33">
        <v>4.5</v>
      </c>
      <c r="K349" s="33">
        <v>5.25</v>
      </c>
      <c r="L349" s="33" t="s">
        <v>303</v>
      </c>
      <c r="M349" s="33">
        <v>6.5</v>
      </c>
      <c r="N349" s="33" t="s">
        <v>303</v>
      </c>
      <c r="O349" s="33">
        <v>1.36</v>
      </c>
      <c r="P349" s="33">
        <v>6.5</v>
      </c>
      <c r="Q349" s="33">
        <v>4.5</v>
      </c>
      <c r="R349" s="33">
        <v>5</v>
      </c>
      <c r="S349" s="33">
        <v>5</v>
      </c>
      <c r="T349" s="33">
        <v>7</v>
      </c>
      <c r="U349" s="33">
        <v>5.75</v>
      </c>
      <c r="V349" s="33">
        <v>3</v>
      </c>
      <c r="W349" s="33">
        <v>3.4653333333333336</v>
      </c>
      <c r="X349" s="33" t="s">
        <v>303</v>
      </c>
      <c r="Y349" s="33">
        <v>6.75</v>
      </c>
      <c r="Z349" s="33">
        <v>3.5</v>
      </c>
      <c r="AA349" s="33">
        <v>6.25</v>
      </c>
      <c r="AB349" s="33">
        <v>6.5</v>
      </c>
      <c r="AC349" s="33">
        <v>6.5</v>
      </c>
      <c r="AD349" s="33">
        <v>6.5</v>
      </c>
      <c r="AE349" s="33" t="s">
        <v>303</v>
      </c>
      <c r="AF349" s="33">
        <v>3</v>
      </c>
      <c r="AG349" s="33" t="s">
        <v>303</v>
      </c>
      <c r="AH349" s="33">
        <v>6.52</v>
      </c>
    </row>
    <row r="350" spans="1:34">
      <c r="A350" s="48" t="s">
        <v>386</v>
      </c>
      <c r="B350" s="33">
        <v>6.5</v>
      </c>
      <c r="C350" s="33">
        <v>26.86</v>
      </c>
      <c r="D350" s="33">
        <v>4.5</v>
      </c>
      <c r="E350" s="33">
        <v>7</v>
      </c>
      <c r="F350" s="34">
        <v>11</v>
      </c>
      <c r="G350" s="33">
        <v>3.3</v>
      </c>
      <c r="H350" s="33">
        <v>11.25</v>
      </c>
      <c r="I350" s="33">
        <v>3</v>
      </c>
      <c r="J350" s="33">
        <v>4.5</v>
      </c>
      <c r="K350" s="33">
        <v>5.25</v>
      </c>
      <c r="L350" s="33" t="s">
        <v>303</v>
      </c>
      <c r="M350" s="33">
        <v>6.5</v>
      </c>
      <c r="N350" s="33" t="s">
        <v>303</v>
      </c>
      <c r="O350" s="33">
        <v>1.62</v>
      </c>
      <c r="P350" s="33">
        <v>6.5</v>
      </c>
      <c r="Q350" s="33">
        <v>4.5</v>
      </c>
      <c r="R350" s="33">
        <v>5</v>
      </c>
      <c r="S350" s="33">
        <v>6</v>
      </c>
      <c r="T350" s="33">
        <v>7</v>
      </c>
      <c r="U350" s="33">
        <v>5.75</v>
      </c>
      <c r="V350" s="33">
        <v>3</v>
      </c>
      <c r="W350" s="33" t="s">
        <v>303</v>
      </c>
      <c r="X350" s="33" t="s">
        <v>303</v>
      </c>
      <c r="Y350" s="33">
        <v>6.75</v>
      </c>
      <c r="Z350" s="33">
        <v>3.5</v>
      </c>
      <c r="AA350" s="33">
        <v>6.25</v>
      </c>
      <c r="AB350" s="33">
        <v>6.5</v>
      </c>
      <c r="AC350" s="33">
        <v>6.5</v>
      </c>
      <c r="AD350" s="33">
        <v>6.5</v>
      </c>
      <c r="AE350" s="33" t="s">
        <v>303</v>
      </c>
      <c r="AF350" s="33">
        <v>3</v>
      </c>
      <c r="AG350" s="33"/>
      <c r="AH350" s="33">
        <v>6.34</v>
      </c>
    </row>
    <row r="351" spans="1:34">
      <c r="A351" s="39" t="s">
        <v>387</v>
      </c>
      <c r="B351" s="40">
        <v>6.5</v>
      </c>
      <c r="C351" s="40">
        <v>26.84</v>
      </c>
      <c r="D351" s="40">
        <v>4.5</v>
      </c>
      <c r="E351" s="40">
        <v>7</v>
      </c>
      <c r="F351" s="41">
        <v>11</v>
      </c>
      <c r="G351" s="40">
        <v>3.3</v>
      </c>
      <c r="H351" s="40">
        <v>11.75</v>
      </c>
      <c r="I351" s="40">
        <v>3</v>
      </c>
      <c r="J351" s="40">
        <v>4.5</v>
      </c>
      <c r="K351" s="40">
        <v>5.25</v>
      </c>
      <c r="L351" s="42" t="s">
        <v>303</v>
      </c>
      <c r="M351" s="40">
        <v>6.5</v>
      </c>
      <c r="N351" s="40" t="s">
        <v>303</v>
      </c>
      <c r="O351" s="40">
        <v>4.43</v>
      </c>
      <c r="P351" s="40">
        <v>6.5</v>
      </c>
      <c r="Q351" s="40">
        <v>4</v>
      </c>
      <c r="R351" s="40">
        <v>5</v>
      </c>
      <c r="S351" s="40">
        <v>6</v>
      </c>
      <c r="T351" s="40">
        <v>7</v>
      </c>
      <c r="U351" s="40">
        <v>5.75</v>
      </c>
      <c r="V351" s="40">
        <v>3</v>
      </c>
      <c r="W351" s="40" t="s">
        <v>303</v>
      </c>
      <c r="X351" s="40" t="s">
        <v>303</v>
      </c>
      <c r="Y351" s="40">
        <v>6.75</v>
      </c>
      <c r="Z351" s="40">
        <v>3.5</v>
      </c>
      <c r="AA351" s="40">
        <v>6.25</v>
      </c>
      <c r="AB351" s="40">
        <v>6.5</v>
      </c>
      <c r="AC351" s="40">
        <v>6.5</v>
      </c>
      <c r="AD351" s="40">
        <v>6.5</v>
      </c>
      <c r="AE351" s="40" t="s">
        <v>303</v>
      </c>
      <c r="AF351" s="40">
        <v>3.25</v>
      </c>
      <c r="AG351" s="40"/>
      <c r="AH351" s="40">
        <v>6.39</v>
      </c>
    </row>
    <row r="352" spans="1:34" s="49" customFormat="1">
      <c r="A352" s="31" t="s">
        <v>388</v>
      </c>
      <c r="B352" s="33">
        <v>6.5</v>
      </c>
      <c r="C352" s="33">
        <v>26.78</v>
      </c>
      <c r="D352" s="33">
        <v>4.5</v>
      </c>
      <c r="E352" s="33">
        <v>7</v>
      </c>
      <c r="F352" s="34">
        <v>11</v>
      </c>
      <c r="G352" s="33">
        <v>3.3</v>
      </c>
      <c r="H352" s="33">
        <v>12.25</v>
      </c>
      <c r="I352" s="33">
        <v>3</v>
      </c>
      <c r="J352" s="33">
        <v>4.5</v>
      </c>
      <c r="K352" s="33">
        <v>5.25</v>
      </c>
      <c r="L352" s="35" t="s">
        <v>303</v>
      </c>
      <c r="M352" s="33">
        <v>6.5</v>
      </c>
      <c r="N352" s="33" t="s">
        <v>303</v>
      </c>
      <c r="O352" s="33">
        <v>1.97</v>
      </c>
      <c r="P352" s="33">
        <v>6.5</v>
      </c>
      <c r="Q352" s="33">
        <v>4</v>
      </c>
      <c r="R352" s="33">
        <v>5</v>
      </c>
      <c r="S352" s="33">
        <v>8</v>
      </c>
      <c r="T352" s="33">
        <v>7</v>
      </c>
      <c r="U352" s="33">
        <v>5.75</v>
      </c>
      <c r="V352" s="33">
        <v>3</v>
      </c>
      <c r="W352" s="33">
        <v>3.7440000000000002</v>
      </c>
      <c r="X352" s="33"/>
      <c r="Y352" s="33">
        <v>6.75</v>
      </c>
      <c r="Z352" s="33">
        <v>3.25</v>
      </c>
      <c r="AA352" s="33">
        <v>6.25</v>
      </c>
      <c r="AB352" s="33">
        <v>6.5</v>
      </c>
      <c r="AC352" s="33">
        <v>6.5</v>
      </c>
      <c r="AD352" s="33">
        <v>6.5</v>
      </c>
      <c r="AE352" s="35"/>
      <c r="AF352" s="33">
        <v>3.5</v>
      </c>
      <c r="AG352" s="33"/>
      <c r="AH352" s="33">
        <v>6.26</v>
      </c>
    </row>
    <row r="353" spans="1:34" s="49" customFormat="1">
      <c r="A353" s="31" t="s">
        <v>389</v>
      </c>
      <c r="B353" s="33">
        <v>6.5</v>
      </c>
      <c r="C353" s="33">
        <v>26.5</v>
      </c>
      <c r="D353" s="33">
        <v>4.5</v>
      </c>
      <c r="E353" s="33">
        <v>7</v>
      </c>
      <c r="F353" s="34">
        <v>11</v>
      </c>
      <c r="G353" s="33">
        <v>3.3</v>
      </c>
      <c r="H353" s="33">
        <v>12.25</v>
      </c>
      <c r="I353" s="33">
        <v>3</v>
      </c>
      <c r="J353" s="33">
        <v>4.5</v>
      </c>
      <c r="K353" s="33">
        <v>4.75</v>
      </c>
      <c r="L353" s="35" t="s">
        <v>303</v>
      </c>
      <c r="M353" s="33">
        <v>6.5</v>
      </c>
      <c r="N353" s="33" t="s">
        <v>303</v>
      </c>
      <c r="O353" s="33">
        <v>1.48</v>
      </c>
      <c r="P353" s="33">
        <v>6.5</v>
      </c>
      <c r="Q353" s="33">
        <v>3.5</v>
      </c>
      <c r="R353" s="33">
        <v>5</v>
      </c>
      <c r="S353" s="33">
        <v>8</v>
      </c>
      <c r="T353" s="33">
        <v>6.75</v>
      </c>
      <c r="U353" s="33">
        <v>5.75</v>
      </c>
      <c r="V353" s="33">
        <v>3</v>
      </c>
      <c r="W353" s="33">
        <v>3.7957692307692312</v>
      </c>
      <c r="X353" s="33"/>
      <c r="Y353" s="33">
        <v>6.75</v>
      </c>
      <c r="Z353" s="33">
        <v>3.25</v>
      </c>
      <c r="AA353" s="33">
        <v>6.25</v>
      </c>
      <c r="AB353" s="33">
        <v>6.5</v>
      </c>
      <c r="AC353" s="33">
        <v>6.5</v>
      </c>
      <c r="AD353" s="33">
        <v>6.5</v>
      </c>
      <c r="AE353" s="35"/>
      <c r="AF353" s="33">
        <v>3.5</v>
      </c>
      <c r="AG353" s="33"/>
      <c r="AH353" s="33">
        <v>6.4</v>
      </c>
    </row>
    <row r="354" spans="1:34" s="49" customFormat="1">
      <c r="A354" s="31" t="s">
        <v>390</v>
      </c>
      <c r="B354" s="33">
        <v>6.5</v>
      </c>
      <c r="C354" s="33">
        <v>26.24</v>
      </c>
      <c r="D354" s="33">
        <v>4.5</v>
      </c>
      <c r="E354" s="33">
        <v>7</v>
      </c>
      <c r="F354" s="34">
        <v>11</v>
      </c>
      <c r="G354" s="33">
        <v>3.3</v>
      </c>
      <c r="H354" s="33">
        <v>12.75</v>
      </c>
      <c r="I354" s="33">
        <v>3</v>
      </c>
      <c r="J354" s="33">
        <v>4.5</v>
      </c>
      <c r="K354" s="33">
        <v>4.5</v>
      </c>
      <c r="L354" s="35" t="s">
        <v>303</v>
      </c>
      <c r="M354" s="33">
        <v>6.5</v>
      </c>
      <c r="N354" s="33" t="s">
        <v>303</v>
      </c>
      <c r="O354" s="33">
        <v>1.56</v>
      </c>
      <c r="P354" s="33">
        <v>6.5</v>
      </c>
      <c r="Q354" s="33">
        <v>3.5</v>
      </c>
      <c r="R354" s="33">
        <v>5</v>
      </c>
      <c r="S354" s="33">
        <v>8</v>
      </c>
      <c r="T354" s="33">
        <v>6.75</v>
      </c>
      <c r="U354" s="33">
        <v>5.75</v>
      </c>
      <c r="V354" s="33">
        <v>3</v>
      </c>
      <c r="W354" s="33">
        <v>3.9899999999999998</v>
      </c>
      <c r="X354" s="33"/>
      <c r="Y354" s="33">
        <v>6.5</v>
      </c>
      <c r="Z354" s="33">
        <v>3.25</v>
      </c>
      <c r="AA354" s="33">
        <v>5.75</v>
      </c>
      <c r="AB354" s="33">
        <v>6.5</v>
      </c>
      <c r="AC354" s="33">
        <v>6.5</v>
      </c>
      <c r="AD354" s="33">
        <v>6.5</v>
      </c>
      <c r="AE354" s="35"/>
      <c r="AF354" s="33">
        <v>3.75</v>
      </c>
      <c r="AG354" s="33"/>
      <c r="AH354" s="33">
        <v>5.86</v>
      </c>
    </row>
    <row r="355" spans="1:34" s="49" customFormat="1">
      <c r="A355" s="31" t="s">
        <v>391</v>
      </c>
      <c r="B355" s="33">
        <v>6.5</v>
      </c>
      <c r="C355" s="33">
        <v>26.16</v>
      </c>
      <c r="D355" s="33">
        <v>4.5</v>
      </c>
      <c r="E355" s="33">
        <v>7</v>
      </c>
      <c r="F355" s="34">
        <v>11</v>
      </c>
      <c r="G355" s="33">
        <v>2.5</v>
      </c>
      <c r="H355" s="33">
        <v>13.25</v>
      </c>
      <c r="I355" s="33">
        <v>3</v>
      </c>
      <c r="J355" s="33">
        <v>4.5</v>
      </c>
      <c r="K355" s="33">
        <v>4</v>
      </c>
      <c r="L355" s="35" t="s">
        <v>303</v>
      </c>
      <c r="M355" s="33">
        <v>6.5</v>
      </c>
      <c r="N355" s="33" t="s">
        <v>303</v>
      </c>
      <c r="O355" s="33">
        <v>1.55</v>
      </c>
      <c r="P355" s="33">
        <v>6.5</v>
      </c>
      <c r="Q355" s="33">
        <v>3.5</v>
      </c>
      <c r="R355" s="33">
        <v>5</v>
      </c>
      <c r="S355" s="33">
        <v>9</v>
      </c>
      <c r="T355" s="33">
        <v>6.5</v>
      </c>
      <c r="U355" s="33">
        <v>5.5</v>
      </c>
      <c r="V355" s="33">
        <v>3</v>
      </c>
      <c r="W355" s="33">
        <v>3.9910000000000001</v>
      </c>
      <c r="X355" s="33"/>
      <c r="Y355" s="33">
        <v>6.25</v>
      </c>
      <c r="Z355" s="33">
        <v>3.25</v>
      </c>
      <c r="AA355" s="33">
        <v>5.75</v>
      </c>
      <c r="AB355" s="33">
        <v>6.5</v>
      </c>
      <c r="AC355" s="33">
        <v>6.5</v>
      </c>
      <c r="AD355" s="33">
        <v>6.5</v>
      </c>
      <c r="AE355" s="35"/>
      <c r="AF355" s="33">
        <v>3.75</v>
      </c>
      <c r="AG355" s="33"/>
      <c r="AH355" s="33">
        <v>6.03</v>
      </c>
    </row>
    <row r="356" spans="1:34" s="49" customFormat="1">
      <c r="A356" s="31" t="s">
        <v>392</v>
      </c>
      <c r="B356" s="33">
        <v>6.5</v>
      </c>
      <c r="C356" s="33">
        <v>25.96</v>
      </c>
      <c r="D356" s="33">
        <v>4.5</v>
      </c>
      <c r="E356" s="33">
        <v>7</v>
      </c>
      <c r="F356" s="34">
        <v>11</v>
      </c>
      <c r="G356" s="33">
        <v>2.5</v>
      </c>
      <c r="H356" s="33">
        <v>13.25</v>
      </c>
      <c r="I356" s="33">
        <v>3</v>
      </c>
      <c r="J356" s="33">
        <v>4.5</v>
      </c>
      <c r="K356" s="33">
        <v>3.75</v>
      </c>
      <c r="L356" s="35" t="s">
        <v>303</v>
      </c>
      <c r="M356" s="33">
        <v>6.5</v>
      </c>
      <c r="N356" s="33" t="s">
        <v>303</v>
      </c>
      <c r="O356" s="33">
        <v>1.44</v>
      </c>
      <c r="P356" s="33">
        <v>6.5</v>
      </c>
      <c r="Q356" s="33">
        <v>3.5</v>
      </c>
      <c r="R356" s="33">
        <v>5</v>
      </c>
      <c r="S356" s="33">
        <v>9</v>
      </c>
      <c r="T356" s="33">
        <v>6.5</v>
      </c>
      <c r="U356" s="33">
        <v>5.5</v>
      </c>
      <c r="V356" s="33">
        <v>3</v>
      </c>
      <c r="W356" s="33">
        <v>3.7178181818181817</v>
      </c>
      <c r="X356" s="33"/>
      <c r="Y356" s="33">
        <v>6.25</v>
      </c>
      <c r="Z356" s="33">
        <v>3.25</v>
      </c>
      <c r="AA356" s="33">
        <v>5.25</v>
      </c>
      <c r="AB356" s="33">
        <v>6.5</v>
      </c>
      <c r="AC356" s="33">
        <v>6.5</v>
      </c>
      <c r="AD356" s="33">
        <v>6.5</v>
      </c>
      <c r="AE356" s="35"/>
      <c r="AF356" s="33">
        <v>3.75</v>
      </c>
      <c r="AG356" s="33"/>
      <c r="AH356" s="33">
        <v>5.68</v>
      </c>
    </row>
    <row r="357" spans="1:34" s="49" customFormat="1">
      <c r="A357" s="31" t="s">
        <v>393</v>
      </c>
      <c r="B357" s="33">
        <v>6.5</v>
      </c>
      <c r="C357" s="33">
        <v>25.97</v>
      </c>
      <c r="D357" s="33">
        <v>4.5</v>
      </c>
      <c r="E357" s="33">
        <v>7</v>
      </c>
      <c r="F357" s="34">
        <v>11</v>
      </c>
      <c r="G357" s="33">
        <v>2.5</v>
      </c>
      <c r="H357" s="33">
        <v>13.75</v>
      </c>
      <c r="I357" s="33">
        <v>3</v>
      </c>
      <c r="J357" s="33">
        <v>4.5</v>
      </c>
      <c r="K357" s="33">
        <v>3.5</v>
      </c>
      <c r="L357" s="35" t="s">
        <v>303</v>
      </c>
      <c r="M357" s="33">
        <v>6.5</v>
      </c>
      <c r="N357" s="33"/>
      <c r="O357" s="33">
        <v>1.42</v>
      </c>
      <c r="P357" s="33">
        <v>6.5</v>
      </c>
      <c r="Q357" s="33">
        <v>3.25</v>
      </c>
      <c r="R357" s="33">
        <v>5</v>
      </c>
      <c r="S357" s="33">
        <v>10</v>
      </c>
      <c r="T357" s="33">
        <v>6.5</v>
      </c>
      <c r="U357" s="33">
        <v>5.5</v>
      </c>
      <c r="V357" s="33">
        <v>3</v>
      </c>
      <c r="W357" s="33">
        <v>3.4280000000000004</v>
      </c>
      <c r="X357" s="33"/>
      <c r="Y357" s="33">
        <v>6</v>
      </c>
      <c r="Z357" s="33">
        <v>3.25</v>
      </c>
      <c r="AA357" s="33">
        <v>5</v>
      </c>
      <c r="AB357" s="33">
        <v>6.5</v>
      </c>
      <c r="AC357" s="33">
        <v>6.5</v>
      </c>
      <c r="AD357" s="33">
        <v>6.5</v>
      </c>
      <c r="AE357" s="35"/>
      <c r="AF357" s="33">
        <v>4</v>
      </c>
      <c r="AG357" s="33"/>
      <c r="AH357" s="33">
        <v>6.11</v>
      </c>
    </row>
    <row r="358" spans="1:34" s="49" customFormat="1">
      <c r="A358" s="31" t="s">
        <v>394</v>
      </c>
      <c r="B358" s="33">
        <v>6.5</v>
      </c>
      <c r="C358" s="33">
        <v>26</v>
      </c>
      <c r="D358" s="33">
        <v>4.5</v>
      </c>
      <c r="E358" s="33">
        <v>7</v>
      </c>
      <c r="F358" s="34">
        <v>11</v>
      </c>
      <c r="G358" s="33">
        <v>2.5</v>
      </c>
      <c r="H358" s="33">
        <v>14.25</v>
      </c>
      <c r="I358" s="33">
        <v>3</v>
      </c>
      <c r="J358" s="33">
        <v>4.5</v>
      </c>
      <c r="K358" s="33">
        <v>3</v>
      </c>
      <c r="L358" s="35"/>
      <c r="M358" s="33">
        <v>6.5</v>
      </c>
      <c r="N358" s="33"/>
      <c r="O358" s="33">
        <v>1.28</v>
      </c>
      <c r="P358" s="33">
        <v>6.5</v>
      </c>
      <c r="Q358" s="33">
        <v>3.25</v>
      </c>
      <c r="R358" s="33">
        <v>5</v>
      </c>
      <c r="S358" s="33">
        <v>16</v>
      </c>
      <c r="T358" s="33">
        <v>6.25</v>
      </c>
      <c r="U358" s="33">
        <v>5.5</v>
      </c>
      <c r="V358" s="33">
        <v>3</v>
      </c>
      <c r="W358" s="33">
        <v>3.3410000000000002</v>
      </c>
      <c r="X358" s="33"/>
      <c r="Y358" s="33">
        <v>5.75</v>
      </c>
      <c r="Z358" s="33">
        <v>3.25</v>
      </c>
      <c r="AA358" s="33">
        <v>5</v>
      </c>
      <c r="AB358" s="33">
        <v>6.5</v>
      </c>
      <c r="AC358" s="33">
        <v>6.5</v>
      </c>
      <c r="AD358" s="33">
        <v>6.5</v>
      </c>
      <c r="AE358" s="35"/>
      <c r="AF358" s="33">
        <v>4.25</v>
      </c>
      <c r="AG358" s="33"/>
      <c r="AH358" s="33">
        <v>5.69</v>
      </c>
    </row>
    <row r="359" spans="1:34" s="49" customFormat="1">
      <c r="A359" s="31" t="s">
        <v>395</v>
      </c>
      <c r="B359" s="33">
        <v>6.5</v>
      </c>
      <c r="C359" s="33">
        <v>25.93</v>
      </c>
      <c r="D359" s="33">
        <v>4.5</v>
      </c>
      <c r="E359" s="33">
        <v>7</v>
      </c>
      <c r="F359" s="34">
        <v>11</v>
      </c>
      <c r="G359" s="33">
        <v>2.5</v>
      </c>
      <c r="H359" s="33">
        <v>14.25</v>
      </c>
      <c r="I359" s="33">
        <v>3</v>
      </c>
      <c r="J359" s="33">
        <v>4.5</v>
      </c>
      <c r="K359" s="33">
        <v>3</v>
      </c>
      <c r="L359" s="35" t="s">
        <v>303</v>
      </c>
      <c r="M359" s="33">
        <v>6.5</v>
      </c>
      <c r="N359" s="33"/>
      <c r="O359" s="33">
        <v>1.07</v>
      </c>
      <c r="P359" s="33">
        <v>6.5</v>
      </c>
      <c r="Q359" s="33">
        <v>3.25</v>
      </c>
      <c r="R359" s="33">
        <v>5</v>
      </c>
      <c r="S359" s="33">
        <v>16</v>
      </c>
      <c r="T359" s="33">
        <v>6.25</v>
      </c>
      <c r="U359" s="33">
        <v>5.25</v>
      </c>
      <c r="V359" s="33">
        <v>3</v>
      </c>
      <c r="W359" s="33" t="s">
        <v>396</v>
      </c>
      <c r="X359" s="33"/>
      <c r="Y359" s="33">
        <v>5.75</v>
      </c>
      <c r="Z359" s="33">
        <v>3.25</v>
      </c>
      <c r="AA359" s="33">
        <v>5</v>
      </c>
      <c r="AB359" s="33">
        <v>6.5</v>
      </c>
      <c r="AC359" s="33">
        <v>6.5</v>
      </c>
      <c r="AD359" s="33">
        <v>6.5</v>
      </c>
      <c r="AE359" s="35"/>
      <c r="AF359" s="33">
        <v>4.25</v>
      </c>
      <c r="AG359" s="33"/>
      <c r="AH359" s="33">
        <v>6.25</v>
      </c>
    </row>
    <row r="360" spans="1:34" s="49" customFormat="1">
      <c r="A360" s="31" t="s">
        <v>397</v>
      </c>
      <c r="B360" s="33">
        <v>6.5</v>
      </c>
      <c r="C360" s="33">
        <v>25.95</v>
      </c>
      <c r="D360" s="33">
        <v>4.5</v>
      </c>
      <c r="E360" s="33">
        <v>7</v>
      </c>
      <c r="F360" s="34">
        <v>11</v>
      </c>
      <c r="G360" s="33">
        <v>2.5</v>
      </c>
      <c r="H360" s="33">
        <v>14.25</v>
      </c>
      <c r="I360" s="33">
        <v>3</v>
      </c>
      <c r="J360" s="33">
        <v>4.75</v>
      </c>
      <c r="K360" s="33">
        <v>3</v>
      </c>
      <c r="L360" s="35" t="s">
        <v>303</v>
      </c>
      <c r="M360" s="33">
        <v>6.5</v>
      </c>
      <c r="N360" s="33"/>
      <c r="O360" s="33">
        <v>1.1000000000000001</v>
      </c>
      <c r="P360" s="33">
        <v>6.5</v>
      </c>
      <c r="Q360" s="33">
        <v>3</v>
      </c>
      <c r="R360" s="33">
        <v>5</v>
      </c>
      <c r="S360" s="33">
        <v>16</v>
      </c>
      <c r="T360" s="33">
        <v>6.25</v>
      </c>
      <c r="U360" s="33">
        <v>5.25</v>
      </c>
      <c r="V360" s="33">
        <v>3</v>
      </c>
      <c r="W360" s="33" t="s">
        <v>396</v>
      </c>
      <c r="X360" s="33"/>
      <c r="Y360" s="33">
        <v>5.75</v>
      </c>
      <c r="Z360" s="33">
        <v>3.5</v>
      </c>
      <c r="AA360" s="33">
        <v>5</v>
      </c>
      <c r="AB360" s="33">
        <v>6.5</v>
      </c>
      <c r="AC360" s="33">
        <v>6.5</v>
      </c>
      <c r="AD360" s="33">
        <v>6.5</v>
      </c>
      <c r="AE360" s="35"/>
      <c r="AF360" s="33">
        <v>4.5</v>
      </c>
      <c r="AG360" s="33"/>
      <c r="AH360" s="33">
        <v>6.46</v>
      </c>
    </row>
    <row r="361" spans="1:34" s="49" customFormat="1">
      <c r="A361" s="31" t="s">
        <v>398</v>
      </c>
      <c r="B361" s="33">
        <v>6.5</v>
      </c>
      <c r="C361" s="33">
        <v>26.71</v>
      </c>
      <c r="D361" s="33">
        <v>4.5</v>
      </c>
      <c r="E361" s="33">
        <v>7</v>
      </c>
      <c r="F361" s="34">
        <v>11</v>
      </c>
      <c r="G361" s="33">
        <v>2.5</v>
      </c>
      <c r="H361" s="33">
        <v>14.25</v>
      </c>
      <c r="I361" s="33">
        <v>3.25</v>
      </c>
      <c r="J361" s="33">
        <v>4.75</v>
      </c>
      <c r="K361" s="33">
        <v>2.25</v>
      </c>
      <c r="L361" s="50" t="s">
        <v>303</v>
      </c>
      <c r="M361" s="33">
        <v>6.5</v>
      </c>
      <c r="N361" s="50"/>
      <c r="O361" s="33">
        <v>1.05</v>
      </c>
      <c r="P361" s="33">
        <v>6.5</v>
      </c>
      <c r="Q361" s="33">
        <v>3</v>
      </c>
      <c r="R361" s="33">
        <v>5</v>
      </c>
      <c r="S361" s="33">
        <v>16</v>
      </c>
      <c r="T361" s="33">
        <v>6.25</v>
      </c>
      <c r="U361" s="33">
        <v>5.25</v>
      </c>
      <c r="V361" s="33">
        <v>3</v>
      </c>
      <c r="W361" s="33" t="s">
        <v>396</v>
      </c>
      <c r="X361" s="50"/>
      <c r="Y361" s="33">
        <v>5.75</v>
      </c>
      <c r="Z361" s="33">
        <v>3.5</v>
      </c>
      <c r="AA361" s="33">
        <v>5</v>
      </c>
      <c r="AB361" s="33">
        <v>6.5</v>
      </c>
      <c r="AC361" s="33">
        <v>6.5</v>
      </c>
      <c r="AD361" s="33">
        <v>6.5</v>
      </c>
      <c r="AE361" s="33"/>
      <c r="AF361" s="33">
        <v>4.5</v>
      </c>
      <c r="AG361" s="33"/>
      <c r="AH361" s="33">
        <v>6.35</v>
      </c>
    </row>
    <row r="362" spans="1:34" s="49" customFormat="1">
      <c r="A362" s="31" t="s">
        <v>399</v>
      </c>
      <c r="B362" s="33">
        <v>6.5</v>
      </c>
      <c r="C362" s="33">
        <v>29.04</v>
      </c>
      <c r="D362" s="33">
        <v>4.5</v>
      </c>
      <c r="E362" s="33">
        <v>7</v>
      </c>
      <c r="F362" s="34">
        <v>11</v>
      </c>
      <c r="G362" s="33">
        <v>2.5</v>
      </c>
      <c r="H362" s="33">
        <v>14.25</v>
      </c>
      <c r="I362" s="33">
        <v>3.25</v>
      </c>
      <c r="J362" s="33">
        <v>5.25</v>
      </c>
      <c r="K362" s="33">
        <v>2.25</v>
      </c>
      <c r="L362" s="50" t="s">
        <v>303</v>
      </c>
      <c r="M362" s="33">
        <v>6.5</v>
      </c>
      <c r="N362" s="50" t="s">
        <v>303</v>
      </c>
      <c r="O362" s="33">
        <v>1.1299999999999999</v>
      </c>
      <c r="P362" s="33">
        <v>6.5</v>
      </c>
      <c r="Q362" s="33">
        <v>3</v>
      </c>
      <c r="R362" s="33">
        <v>5</v>
      </c>
      <c r="S362" s="33">
        <v>16</v>
      </c>
      <c r="T362" s="33">
        <v>6.25</v>
      </c>
      <c r="U362" s="33">
        <v>5.25</v>
      </c>
      <c r="V362" s="33">
        <v>3</v>
      </c>
      <c r="W362" s="33" t="s">
        <v>396</v>
      </c>
      <c r="X362" s="50"/>
      <c r="Y362" s="33">
        <v>5.75</v>
      </c>
      <c r="Z362" s="33">
        <v>3.5</v>
      </c>
      <c r="AA362" s="33">
        <v>5</v>
      </c>
      <c r="AB362" s="33">
        <v>6.5</v>
      </c>
      <c r="AC362" s="33">
        <v>6.5</v>
      </c>
      <c r="AD362" s="33">
        <v>6.5</v>
      </c>
      <c r="AE362" s="50"/>
      <c r="AF362" s="33">
        <v>4.5</v>
      </c>
      <c r="AG362" s="33"/>
      <c r="AH362" s="33">
        <v>6.49</v>
      </c>
    </row>
    <row r="363" spans="1:34" s="49" customFormat="1">
      <c r="A363" s="39" t="s">
        <v>400</v>
      </c>
      <c r="B363" s="40">
        <v>6.5</v>
      </c>
      <c r="C363" s="40">
        <v>32.31</v>
      </c>
      <c r="D363" s="40">
        <v>4.5</v>
      </c>
      <c r="E363" s="40">
        <v>7</v>
      </c>
      <c r="F363" s="41">
        <v>11</v>
      </c>
      <c r="G363" s="33">
        <v>2.5</v>
      </c>
      <c r="H363" s="33">
        <v>14.25</v>
      </c>
      <c r="I363" s="33">
        <v>3.5</v>
      </c>
      <c r="J363" s="33">
        <v>5.5</v>
      </c>
      <c r="K363" s="33">
        <v>2.25</v>
      </c>
      <c r="L363" s="42" t="s">
        <v>303</v>
      </c>
      <c r="M363" s="40">
        <v>6.5</v>
      </c>
      <c r="N363" s="40" t="s">
        <v>303</v>
      </c>
      <c r="O363" s="40">
        <v>2.48</v>
      </c>
      <c r="P363" s="33">
        <v>6.5</v>
      </c>
      <c r="Q363" s="40">
        <v>3</v>
      </c>
      <c r="R363" s="33">
        <v>5</v>
      </c>
      <c r="S363" s="33">
        <v>16</v>
      </c>
      <c r="T363" s="40">
        <v>6.25</v>
      </c>
      <c r="U363" s="33">
        <v>5.25</v>
      </c>
      <c r="V363" s="33">
        <v>3.25</v>
      </c>
      <c r="W363" s="33" t="s">
        <v>396</v>
      </c>
      <c r="X363" s="50"/>
      <c r="Y363" s="40">
        <v>5.75</v>
      </c>
      <c r="Z363" s="33">
        <v>3.75</v>
      </c>
      <c r="AA363" s="33">
        <v>5</v>
      </c>
      <c r="AB363" s="33">
        <v>6.5</v>
      </c>
      <c r="AC363" s="33">
        <v>6.5</v>
      </c>
      <c r="AD363" s="33">
        <v>6.5</v>
      </c>
      <c r="AE363" s="50"/>
      <c r="AF363" s="33">
        <v>4.75</v>
      </c>
      <c r="AG363" s="33"/>
      <c r="AH363" s="33">
        <v>6.52</v>
      </c>
    </row>
    <row r="364" spans="1:34" s="49" customFormat="1">
      <c r="A364" s="31" t="s">
        <v>401</v>
      </c>
      <c r="B364" s="33">
        <v>6.5</v>
      </c>
      <c r="C364" s="33">
        <v>29.89</v>
      </c>
      <c r="D364" s="33">
        <v>4.5</v>
      </c>
      <c r="E364" s="33">
        <v>7</v>
      </c>
      <c r="F364" s="34">
        <v>11</v>
      </c>
      <c r="G364" s="51">
        <v>2.5</v>
      </c>
      <c r="H364" s="51">
        <v>14.25</v>
      </c>
      <c r="I364" s="51">
        <v>3.5</v>
      </c>
      <c r="J364" s="51">
        <v>5.75</v>
      </c>
      <c r="K364" s="51">
        <v>1.75</v>
      </c>
      <c r="L364" s="35"/>
      <c r="M364" s="33">
        <v>6.5</v>
      </c>
      <c r="N364" s="33" t="s">
        <v>402</v>
      </c>
      <c r="O364" s="33">
        <v>1.62</v>
      </c>
      <c r="P364" s="51">
        <v>6.5</v>
      </c>
      <c r="Q364" s="33">
        <v>3</v>
      </c>
      <c r="R364" s="51">
        <v>5</v>
      </c>
      <c r="S364" s="51">
        <v>16</v>
      </c>
      <c r="T364" s="33">
        <v>6.25</v>
      </c>
      <c r="U364" s="51">
        <v>5.25</v>
      </c>
      <c r="V364" s="51">
        <v>3.25</v>
      </c>
      <c r="W364" s="51">
        <v>3.5987142857142858</v>
      </c>
      <c r="X364" s="51"/>
      <c r="Y364" s="33">
        <v>5.75</v>
      </c>
      <c r="Z364" s="51">
        <v>4</v>
      </c>
      <c r="AA364" s="51">
        <v>5</v>
      </c>
      <c r="AB364" s="51">
        <v>6.5</v>
      </c>
      <c r="AC364" s="51">
        <v>6.5</v>
      </c>
      <c r="AD364" s="51">
        <v>6.5</v>
      </c>
      <c r="AE364" s="52"/>
      <c r="AF364" s="51">
        <v>4.75</v>
      </c>
      <c r="AG364" s="51" t="s">
        <v>396</v>
      </c>
      <c r="AH364" s="51">
        <v>6.5307061268059892</v>
      </c>
    </row>
    <row r="365" spans="1:34" s="49" customFormat="1">
      <c r="A365" s="31" t="s">
        <v>403</v>
      </c>
      <c r="B365" s="33">
        <v>6.5</v>
      </c>
      <c r="C365" s="33">
        <v>28.75</v>
      </c>
      <c r="D365" s="33">
        <v>4.5</v>
      </c>
      <c r="E365" s="33">
        <v>7</v>
      </c>
      <c r="F365" s="33">
        <v>11</v>
      </c>
      <c r="G365" s="33">
        <v>2.5</v>
      </c>
      <c r="H365" s="33">
        <v>14.25</v>
      </c>
      <c r="I365" s="33">
        <v>3.5</v>
      </c>
      <c r="J365" s="33">
        <v>6</v>
      </c>
      <c r="K365" s="32">
        <v>1.75</v>
      </c>
      <c r="L365" s="35"/>
      <c r="M365" s="33">
        <v>6.5</v>
      </c>
      <c r="N365" s="33" t="s">
        <v>402</v>
      </c>
      <c r="O365" s="33">
        <v>2.13</v>
      </c>
      <c r="P365" s="33">
        <v>6.5</v>
      </c>
      <c r="Q365" s="33">
        <v>3</v>
      </c>
      <c r="R365" s="33">
        <v>5</v>
      </c>
      <c r="S365" s="33">
        <v>16</v>
      </c>
      <c r="T365" s="33">
        <v>6.25</v>
      </c>
      <c r="U365" s="33">
        <v>5.25</v>
      </c>
      <c r="V365" s="33">
        <v>3.75</v>
      </c>
      <c r="W365" s="33">
        <v>3.601</v>
      </c>
      <c r="X365" s="33"/>
      <c r="Y365" s="33">
        <v>6</v>
      </c>
      <c r="Z365" s="33">
        <v>4.25</v>
      </c>
      <c r="AA365" s="33">
        <v>5</v>
      </c>
      <c r="AB365" s="33">
        <v>6.5</v>
      </c>
      <c r="AC365" s="33">
        <v>6.5</v>
      </c>
      <c r="AD365" s="33">
        <v>6.5</v>
      </c>
      <c r="AE365" s="35"/>
      <c r="AF365" s="33">
        <v>4.75</v>
      </c>
      <c r="AG365" s="33" t="s">
        <v>396</v>
      </c>
      <c r="AH365" s="33">
        <v>6.51</v>
      </c>
    </row>
    <row r="366" spans="1:34" s="49" customFormat="1">
      <c r="A366" s="31" t="s">
        <v>404</v>
      </c>
      <c r="B366" s="33">
        <v>6.5</v>
      </c>
      <c r="C366" s="33">
        <v>33.799999999999997</v>
      </c>
      <c r="D366" s="33">
        <v>4.5</v>
      </c>
      <c r="E366" s="33">
        <v>7</v>
      </c>
      <c r="F366" s="33">
        <v>11</v>
      </c>
      <c r="G366" s="33">
        <v>2.5</v>
      </c>
      <c r="H366" s="33">
        <v>14.25</v>
      </c>
      <c r="I366" s="33">
        <v>3.5</v>
      </c>
      <c r="J366" s="33">
        <v>6.25</v>
      </c>
      <c r="K366" s="32">
        <v>1.75</v>
      </c>
      <c r="L366" s="35"/>
      <c r="M366" s="33">
        <v>6.5</v>
      </c>
      <c r="N366" s="33" t="s">
        <v>402</v>
      </c>
      <c r="O366" s="33">
        <v>2.65</v>
      </c>
      <c r="P366" s="33">
        <v>6.5</v>
      </c>
      <c r="Q366" s="33">
        <v>3</v>
      </c>
      <c r="R366" s="33">
        <v>5</v>
      </c>
      <c r="S366" s="33">
        <v>16</v>
      </c>
      <c r="T366" s="33">
        <v>6.25</v>
      </c>
      <c r="U366" s="33">
        <v>5.25</v>
      </c>
      <c r="V366" s="33">
        <v>3.75</v>
      </c>
      <c r="W366" s="35" t="s">
        <v>405</v>
      </c>
      <c r="X366" s="33"/>
      <c r="Y366" s="33">
        <v>6</v>
      </c>
      <c r="Z366" s="33">
        <v>4.25</v>
      </c>
      <c r="AA366" s="33">
        <v>5</v>
      </c>
      <c r="AB366" s="33">
        <v>6.5</v>
      </c>
      <c r="AC366" s="33">
        <v>6.5</v>
      </c>
      <c r="AD366" s="33">
        <v>6.5</v>
      </c>
      <c r="AE366" s="35"/>
      <c r="AF366" s="33">
        <v>4.75</v>
      </c>
      <c r="AG366" s="33" t="s">
        <v>396</v>
      </c>
      <c r="AH366" s="33">
        <v>6.5335365580358093</v>
      </c>
    </row>
    <row r="367" spans="1:34" s="49" customFormat="1">
      <c r="A367" s="31" t="s">
        <v>406</v>
      </c>
      <c r="B367" s="33">
        <v>6.5</v>
      </c>
      <c r="C367" s="33">
        <v>34</v>
      </c>
      <c r="D367" s="33">
        <v>4.5</v>
      </c>
      <c r="E367" s="33">
        <v>7</v>
      </c>
      <c r="F367" s="33">
        <v>11</v>
      </c>
      <c r="G367" s="33">
        <v>2.5</v>
      </c>
      <c r="H367" s="33">
        <v>14.25</v>
      </c>
      <c r="I367" s="33">
        <v>3.5</v>
      </c>
      <c r="J367" s="33">
        <v>6.5</v>
      </c>
      <c r="K367" s="33">
        <v>1.75</v>
      </c>
      <c r="L367" s="35"/>
      <c r="M367" s="33">
        <v>6.5</v>
      </c>
      <c r="N367" s="33" t="s">
        <v>402</v>
      </c>
      <c r="O367" s="33">
        <v>2.0699999999999998</v>
      </c>
      <c r="P367" s="33">
        <v>6.5</v>
      </c>
      <c r="Q367" s="33">
        <v>3</v>
      </c>
      <c r="R367" s="33">
        <v>5</v>
      </c>
      <c r="S367" s="33">
        <v>16</v>
      </c>
      <c r="T367" s="33">
        <v>5.75</v>
      </c>
      <c r="U367" s="33">
        <v>5.25</v>
      </c>
      <c r="V367" s="33">
        <v>3.75</v>
      </c>
      <c r="W367" s="35" t="s">
        <v>405</v>
      </c>
      <c r="X367" s="33"/>
      <c r="Y367" s="33">
        <v>6</v>
      </c>
      <c r="Z367" s="33">
        <v>4.25</v>
      </c>
      <c r="AA367" s="33">
        <v>5</v>
      </c>
      <c r="AB367" s="33">
        <v>6.5</v>
      </c>
      <c r="AC367" s="33">
        <v>6.5</v>
      </c>
      <c r="AD367" s="33">
        <v>6.5</v>
      </c>
      <c r="AE367" s="35"/>
      <c r="AF367" s="33">
        <v>4.75</v>
      </c>
      <c r="AG367" s="33"/>
      <c r="AH367" s="33">
        <v>6.5377604534251406</v>
      </c>
    </row>
    <row r="368" spans="1:34" s="49" customFormat="1">
      <c r="A368" s="31" t="s">
        <v>407</v>
      </c>
      <c r="B368" s="33">
        <v>6.5</v>
      </c>
      <c r="C368" s="33">
        <v>33.1</v>
      </c>
      <c r="D368" s="33">
        <v>4.5</v>
      </c>
      <c r="E368" s="33">
        <v>7</v>
      </c>
      <c r="F368" s="33">
        <v>11</v>
      </c>
      <c r="G368" s="33">
        <v>2.5</v>
      </c>
      <c r="H368" s="33">
        <v>14.25</v>
      </c>
      <c r="I368" s="33">
        <v>3.5</v>
      </c>
      <c r="J368" s="33">
        <v>7</v>
      </c>
      <c r="K368" s="33">
        <v>1.75</v>
      </c>
      <c r="L368" s="35"/>
      <c r="M368" s="33">
        <v>6.5</v>
      </c>
      <c r="N368" s="33" t="s">
        <v>402</v>
      </c>
      <c r="O368" s="33">
        <v>3.33</v>
      </c>
      <c r="P368" s="33">
        <v>6.5</v>
      </c>
      <c r="Q368" s="33">
        <v>3</v>
      </c>
      <c r="R368" s="33">
        <v>5</v>
      </c>
      <c r="S368" s="33">
        <v>16</v>
      </c>
      <c r="T368" s="33">
        <v>5.75</v>
      </c>
      <c r="U368" s="33">
        <v>5.25</v>
      </c>
      <c r="V368" s="33">
        <v>3.75</v>
      </c>
      <c r="W368" s="33" t="s">
        <v>405</v>
      </c>
      <c r="X368" s="33"/>
      <c r="Y368" s="33">
        <v>6</v>
      </c>
      <c r="Z368" s="33">
        <v>4.25</v>
      </c>
      <c r="AA368" s="33">
        <v>5</v>
      </c>
      <c r="AB368" s="33">
        <v>6.5</v>
      </c>
      <c r="AC368" s="33">
        <v>6.5</v>
      </c>
      <c r="AD368" s="33">
        <v>6.5</v>
      </c>
      <c r="AE368" s="35"/>
      <c r="AF368" s="33">
        <v>4.75</v>
      </c>
      <c r="AG368" s="33"/>
      <c r="AH368" s="33">
        <v>6.4753279641051753</v>
      </c>
    </row>
    <row r="369" spans="1:34" s="49" customFormat="1">
      <c r="A369" s="31" t="s">
        <v>408</v>
      </c>
      <c r="B369" s="33">
        <v>6.5</v>
      </c>
      <c r="C369" s="33">
        <v>29.78</v>
      </c>
      <c r="D369" s="33">
        <v>4.5</v>
      </c>
      <c r="E369" s="33">
        <v>7</v>
      </c>
      <c r="F369" s="33">
        <v>11</v>
      </c>
      <c r="G369" s="33">
        <v>2.5</v>
      </c>
      <c r="H369" s="33">
        <v>14.25</v>
      </c>
      <c r="I369" s="33">
        <v>3.5</v>
      </c>
      <c r="J369" s="33">
        <v>7.25</v>
      </c>
      <c r="K369" s="33">
        <v>1.75</v>
      </c>
      <c r="L369" s="35"/>
      <c r="M369" s="33">
        <v>6.5</v>
      </c>
      <c r="N369" s="33" t="s">
        <v>402</v>
      </c>
      <c r="O369" s="33">
        <v>2.4900000000000002</v>
      </c>
      <c r="P369" s="33">
        <v>6.5</v>
      </c>
      <c r="Q369" s="33">
        <v>3</v>
      </c>
      <c r="R369" s="33">
        <v>5</v>
      </c>
      <c r="S369" s="33">
        <v>14</v>
      </c>
      <c r="T369" s="33">
        <v>5.5</v>
      </c>
      <c r="U369" s="33">
        <v>5</v>
      </c>
      <c r="V369" s="33">
        <v>3.75</v>
      </c>
      <c r="W369" s="33">
        <v>3.6535714285714285</v>
      </c>
      <c r="X369" s="33"/>
      <c r="Y369" s="33">
        <v>5.75</v>
      </c>
      <c r="Z369" s="33">
        <v>4.25</v>
      </c>
      <c r="AA369" s="33">
        <v>5</v>
      </c>
      <c r="AB369" s="33">
        <v>6.5</v>
      </c>
      <c r="AC369" s="33">
        <v>6.5</v>
      </c>
      <c r="AD369" s="33">
        <v>6.5</v>
      </c>
      <c r="AE369" s="35"/>
      <c r="AF369" s="33">
        <v>4.75</v>
      </c>
      <c r="AG369" s="33"/>
      <c r="AH369" s="33">
        <v>6.3931509923940482</v>
      </c>
    </row>
    <row r="370" spans="1:34" s="49" customFormat="1">
      <c r="A370" s="31" t="s">
        <v>409</v>
      </c>
      <c r="B370" s="33">
        <v>6.5</v>
      </c>
      <c r="C370" s="33">
        <v>28.64</v>
      </c>
      <c r="D370" s="33">
        <v>4.5</v>
      </c>
      <c r="E370" s="33">
        <v>7</v>
      </c>
      <c r="F370" s="33">
        <v>11</v>
      </c>
      <c r="G370" s="33">
        <v>2.5</v>
      </c>
      <c r="H370" s="33">
        <v>14.25</v>
      </c>
      <c r="I370" s="33">
        <v>3.5</v>
      </c>
      <c r="J370" s="33">
        <v>7.5</v>
      </c>
      <c r="K370" s="35">
        <v>1.75</v>
      </c>
      <c r="L370" s="35"/>
      <c r="M370" s="33">
        <v>6.5</v>
      </c>
      <c r="N370" s="33" t="s">
        <v>402</v>
      </c>
      <c r="O370" s="33">
        <v>2.15</v>
      </c>
      <c r="P370" s="33">
        <v>6.5</v>
      </c>
      <c r="Q370" s="33">
        <v>3</v>
      </c>
      <c r="R370" s="33">
        <v>5</v>
      </c>
      <c r="S370" s="33">
        <v>14</v>
      </c>
      <c r="T370" s="33">
        <v>5.5</v>
      </c>
      <c r="U370" s="33">
        <v>5</v>
      </c>
      <c r="V370" s="33">
        <v>4.25</v>
      </c>
      <c r="W370" s="33">
        <v>3.5996000000000001</v>
      </c>
      <c r="X370" s="33"/>
      <c r="Y370" s="33">
        <v>5.75</v>
      </c>
      <c r="Z370" s="33">
        <v>4.25</v>
      </c>
      <c r="AA370" s="33">
        <v>5</v>
      </c>
      <c r="AB370" s="33">
        <v>6.5</v>
      </c>
      <c r="AC370" s="33">
        <v>6.5</v>
      </c>
      <c r="AD370" s="33">
        <v>6.5</v>
      </c>
      <c r="AE370" s="35"/>
      <c r="AF370" s="33">
        <v>4.75</v>
      </c>
      <c r="AG370" s="33"/>
      <c r="AH370" s="33">
        <v>6.452698424694125</v>
      </c>
    </row>
    <row r="371" spans="1:34" s="49" customFormat="1">
      <c r="A371" s="31" t="s">
        <v>410</v>
      </c>
      <c r="B371" s="33">
        <v>6.5</v>
      </c>
      <c r="C371" s="33">
        <v>27.71</v>
      </c>
      <c r="D371" s="33">
        <v>4.5</v>
      </c>
      <c r="E371" s="33">
        <v>7</v>
      </c>
      <c r="F371" s="33">
        <v>11</v>
      </c>
      <c r="G371" s="33">
        <v>2.5</v>
      </c>
      <c r="H371" s="33">
        <v>14.25</v>
      </c>
      <c r="I371" s="33">
        <v>3.5</v>
      </c>
      <c r="J371" s="33">
        <v>7.75</v>
      </c>
      <c r="K371" s="33">
        <v>1.75</v>
      </c>
      <c r="L371" s="35"/>
      <c r="M371" s="33">
        <v>6.5</v>
      </c>
      <c r="N371" s="33" t="s">
        <v>402</v>
      </c>
      <c r="O371" s="33">
        <v>1.94</v>
      </c>
      <c r="P371" s="33">
        <v>6.5</v>
      </c>
      <c r="Q371" s="33">
        <v>3</v>
      </c>
      <c r="R371" s="33">
        <v>5</v>
      </c>
      <c r="S371" s="33">
        <v>14</v>
      </c>
      <c r="T371" s="33">
        <v>5.5</v>
      </c>
      <c r="U371" s="33">
        <v>5</v>
      </c>
      <c r="V371" s="33">
        <v>4.25</v>
      </c>
      <c r="W371" s="33" t="s">
        <v>405</v>
      </c>
      <c r="X371" s="33"/>
      <c r="Y371" s="33">
        <v>5.5</v>
      </c>
      <c r="Z371" s="33">
        <v>4.25</v>
      </c>
      <c r="AA371" s="33">
        <v>5</v>
      </c>
      <c r="AB371" s="33">
        <v>6.5</v>
      </c>
      <c r="AC371" s="33">
        <v>6.5</v>
      </c>
      <c r="AD371" s="33">
        <v>6.5</v>
      </c>
      <c r="AE371" s="35"/>
      <c r="AF371" s="33">
        <v>4.75</v>
      </c>
      <c r="AG371" s="33"/>
      <c r="AH371" s="33">
        <v>6.452698424694125</v>
      </c>
    </row>
    <row r="372" spans="1:34" s="49" customFormat="1">
      <c r="A372" s="31" t="s">
        <v>411</v>
      </c>
      <c r="B372" s="33">
        <v>6.5</v>
      </c>
      <c r="C372" s="33">
        <v>25.65</v>
      </c>
      <c r="D372" s="33">
        <v>4.5</v>
      </c>
      <c r="E372" s="33">
        <v>7</v>
      </c>
      <c r="F372" s="33">
        <v>11</v>
      </c>
      <c r="G372" s="33">
        <v>2.5</v>
      </c>
      <c r="H372" s="33">
        <v>14.25</v>
      </c>
      <c r="I372" s="33">
        <v>3.5</v>
      </c>
      <c r="J372" s="33">
        <v>7.75</v>
      </c>
      <c r="K372" s="33">
        <v>1.75</v>
      </c>
      <c r="L372" s="35"/>
      <c r="M372" s="33">
        <v>6.5</v>
      </c>
      <c r="N372" s="33" t="s">
        <v>402</v>
      </c>
      <c r="O372" s="33">
        <v>1.68</v>
      </c>
      <c r="P372" s="33">
        <v>6.5</v>
      </c>
      <c r="Q372" s="33">
        <v>3</v>
      </c>
      <c r="R372" s="33">
        <v>5</v>
      </c>
      <c r="S372" s="33">
        <v>14</v>
      </c>
      <c r="T372" s="33">
        <v>5.5</v>
      </c>
      <c r="U372" s="33"/>
      <c r="V372" s="33">
        <v>4.25</v>
      </c>
      <c r="W372" s="33" t="s">
        <v>405</v>
      </c>
      <c r="X372" s="33"/>
      <c r="Y372" s="33">
        <v>5.5</v>
      </c>
      <c r="Z372" s="33">
        <v>4.25</v>
      </c>
      <c r="AA372" s="33">
        <v>5</v>
      </c>
      <c r="AB372" s="33">
        <v>6.5</v>
      </c>
      <c r="AC372" s="33">
        <v>6.5</v>
      </c>
      <c r="AD372" s="33">
        <v>6.5</v>
      </c>
      <c r="AE372" s="35"/>
      <c r="AF372" s="33">
        <v>4.75</v>
      </c>
      <c r="AG372" s="33"/>
      <c r="AH372" s="33"/>
    </row>
    <row r="373" spans="1:34" s="49" customFormat="1">
      <c r="A373" s="31" t="s">
        <v>412</v>
      </c>
      <c r="B373" s="33">
        <v>6.5</v>
      </c>
      <c r="C373" s="33">
        <v>25.37</v>
      </c>
      <c r="D373" s="33">
        <v>4.5</v>
      </c>
      <c r="E373" s="33">
        <v>7</v>
      </c>
      <c r="F373" s="33">
        <v>11</v>
      </c>
      <c r="G373" s="33">
        <v>2.5</v>
      </c>
      <c r="H373" s="33">
        <v>14</v>
      </c>
      <c r="I373" s="33">
        <v>3.5</v>
      </c>
      <c r="J373" s="33">
        <v>7.75</v>
      </c>
      <c r="K373" s="33">
        <v>1.75</v>
      </c>
      <c r="L373" s="35"/>
      <c r="M373" s="33">
        <v>6.5</v>
      </c>
      <c r="N373" s="33" t="s">
        <v>402</v>
      </c>
      <c r="O373" s="33">
        <v>1.92</v>
      </c>
      <c r="P373" s="33">
        <v>6.5</v>
      </c>
      <c r="Q373" s="33">
        <v>3</v>
      </c>
      <c r="R373" s="33">
        <v>5</v>
      </c>
      <c r="S373" s="33">
        <v>14</v>
      </c>
      <c r="T373" s="33">
        <v>5.5</v>
      </c>
      <c r="U373" s="33"/>
      <c r="V373" s="33">
        <v>4.75</v>
      </c>
      <c r="W373" s="33"/>
      <c r="X373" s="33"/>
      <c r="Y373" s="33">
        <v>5.5</v>
      </c>
      <c r="Z373" s="33">
        <v>4.25</v>
      </c>
      <c r="AA373" s="33">
        <v>5.5</v>
      </c>
      <c r="AB373" s="33">
        <v>6.5</v>
      </c>
      <c r="AC373" s="33">
        <v>6.5</v>
      </c>
      <c r="AD373" s="33">
        <v>6.5</v>
      </c>
      <c r="AE373" s="35"/>
      <c r="AF373" s="33">
        <v>4.75</v>
      </c>
      <c r="AG373" s="33"/>
      <c r="AH373" s="33"/>
    </row>
    <row r="374" spans="1:34" s="49" customFormat="1">
      <c r="A374" s="31" t="s">
        <v>413</v>
      </c>
      <c r="B374" s="33"/>
      <c r="C374" s="33"/>
      <c r="D374" s="33"/>
      <c r="E374" s="33"/>
      <c r="F374" s="33"/>
      <c r="G374" s="33"/>
      <c r="H374" s="33">
        <v>14</v>
      </c>
      <c r="I374" s="33">
        <v>3.5</v>
      </c>
      <c r="J374" s="33">
        <v>7.75</v>
      </c>
      <c r="K374" s="33">
        <v>1.75</v>
      </c>
      <c r="L374" s="35"/>
      <c r="M374" s="33"/>
      <c r="N374" s="33"/>
      <c r="O374" s="33"/>
      <c r="P374" s="33"/>
      <c r="Q374" s="33"/>
      <c r="R374" s="33"/>
      <c r="S374" s="33"/>
      <c r="T374" s="33"/>
      <c r="U374" s="33"/>
      <c r="V374" s="33">
        <v>5.25</v>
      </c>
      <c r="W374" s="33"/>
      <c r="X374" s="33"/>
      <c r="Y374" s="33">
        <v>5.5</v>
      </c>
      <c r="Z374" s="33">
        <v>4.25</v>
      </c>
      <c r="AA374" s="33">
        <v>5.5</v>
      </c>
      <c r="AB374" s="33"/>
      <c r="AC374" s="33"/>
      <c r="AD374" s="33"/>
      <c r="AE374" s="35"/>
      <c r="AF374" s="33">
        <v>4.75</v>
      </c>
      <c r="AG374" s="33"/>
      <c r="AH374" s="33"/>
    </row>
    <row r="375" spans="1:34" s="49" customFormat="1">
      <c r="A375" s="39" t="s">
        <v>414</v>
      </c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5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5"/>
      <c r="AF375" s="33"/>
      <c r="AG375" s="33"/>
      <c r="AH375" s="33"/>
    </row>
    <row r="379" spans="1:34"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</row>
    <row r="380" spans="1:34"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</row>
    <row r="381" spans="1:34"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</row>
    <row r="382" spans="1:34"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</row>
    <row r="383" spans="1:34"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</row>
    <row r="384" spans="1:34"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</row>
    <row r="385" spans="2:34"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</row>
    <row r="386" spans="2:34"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</row>
    <row r="387" spans="2:34"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</row>
    <row r="388" spans="2:34"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</row>
    <row r="389" spans="2:34"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</row>
    <row r="390" spans="2:34"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</row>
    <row r="391" spans="2:34"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</row>
    <row r="392" spans="2:34"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</row>
    <row r="393" spans="2:34"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</row>
    <row r="394" spans="2:34"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</row>
    <row r="395" spans="2:34"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</row>
    <row r="396" spans="2:34"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FY23"/>
  <sheetViews>
    <sheetView workbookViewId="0">
      <pane xSplit="1" ySplit="2" topLeftCell="AJ3" activePane="bottomRight" state="frozen"/>
      <selection pane="topRight" activeCell="B1" sqref="B1"/>
      <selection pane="bottomLeft" activeCell="A3" sqref="A3"/>
      <selection pane="bottomRight" activeCell="AX8" sqref="AX8"/>
    </sheetView>
  </sheetViews>
  <sheetFormatPr defaultRowHeight="15"/>
  <cols>
    <col min="1" max="1" width="14.42578125" bestFit="1" customWidth="1"/>
  </cols>
  <sheetData>
    <row r="2" spans="1:181" s="54" customFormat="1" ht="11.25">
      <c r="B2" s="54" t="s">
        <v>415</v>
      </c>
      <c r="C2" s="54" t="s">
        <v>416</v>
      </c>
      <c r="D2" s="54" t="s">
        <v>417</v>
      </c>
      <c r="E2" s="54" t="s">
        <v>418</v>
      </c>
      <c r="F2" s="54" t="s">
        <v>419</v>
      </c>
      <c r="G2" s="54" t="s">
        <v>420</v>
      </c>
      <c r="H2" s="54" t="s">
        <v>421</v>
      </c>
      <c r="I2" s="54" t="s">
        <v>422</v>
      </c>
      <c r="J2" s="54" t="s">
        <v>423</v>
      </c>
      <c r="K2" s="54" t="s">
        <v>424</v>
      </c>
      <c r="L2" s="54" t="s">
        <v>425</v>
      </c>
      <c r="M2" s="54" t="s">
        <v>426</v>
      </c>
      <c r="N2" s="54" t="s">
        <v>427</v>
      </c>
      <c r="O2" s="54" t="s">
        <v>416</v>
      </c>
      <c r="P2" s="54" t="s">
        <v>417</v>
      </c>
      <c r="Q2" s="54" t="s">
        <v>418</v>
      </c>
      <c r="R2" s="54" t="s">
        <v>419</v>
      </c>
      <c r="S2" s="54" t="s">
        <v>420</v>
      </c>
      <c r="T2" s="54" t="s">
        <v>421</v>
      </c>
      <c r="U2" s="54" t="s">
        <v>422</v>
      </c>
      <c r="V2" s="54" t="s">
        <v>423</v>
      </c>
      <c r="W2" s="54" t="s">
        <v>424</v>
      </c>
      <c r="X2" s="54" t="s">
        <v>425</v>
      </c>
      <c r="Y2" s="54" t="s">
        <v>426</v>
      </c>
      <c r="Z2" s="54" t="s">
        <v>428</v>
      </c>
      <c r="AA2" s="54" t="s">
        <v>416</v>
      </c>
      <c r="AB2" s="54" t="s">
        <v>417</v>
      </c>
      <c r="AC2" s="54" t="s">
        <v>418</v>
      </c>
      <c r="AD2" s="54" t="s">
        <v>419</v>
      </c>
      <c r="AE2" s="54" t="s">
        <v>420</v>
      </c>
      <c r="AF2" s="54" t="s">
        <v>421</v>
      </c>
      <c r="AG2" s="54" t="s">
        <v>422</v>
      </c>
      <c r="AH2" s="54" t="s">
        <v>423</v>
      </c>
      <c r="AI2" s="54" t="s">
        <v>424</v>
      </c>
      <c r="AJ2" s="54" t="s">
        <v>425</v>
      </c>
      <c r="AK2" s="54" t="s">
        <v>426</v>
      </c>
      <c r="AL2" s="54" t="s">
        <v>429</v>
      </c>
      <c r="AM2" s="54" t="s">
        <v>416</v>
      </c>
      <c r="AN2" s="54" t="s">
        <v>417</v>
      </c>
      <c r="AO2" s="54" t="s">
        <v>418</v>
      </c>
      <c r="AP2" s="54" t="s">
        <v>419</v>
      </c>
      <c r="AQ2" s="54" t="s">
        <v>420</v>
      </c>
      <c r="AR2" s="54" t="s">
        <v>421</v>
      </c>
      <c r="AS2" s="54" t="s">
        <v>422</v>
      </c>
      <c r="AT2" s="54" t="s">
        <v>423</v>
      </c>
      <c r="AU2" s="54" t="s">
        <v>424</v>
      </c>
      <c r="AV2" s="54" t="s">
        <v>425</v>
      </c>
      <c r="AW2" s="54" t="s">
        <v>426</v>
      </c>
      <c r="AX2" s="55" t="s">
        <v>430</v>
      </c>
      <c r="AY2" s="54" t="s">
        <v>416</v>
      </c>
      <c r="AZ2" s="54" t="s">
        <v>417</v>
      </c>
      <c r="BA2" s="54" t="s">
        <v>418</v>
      </c>
      <c r="BB2" s="54" t="s">
        <v>419</v>
      </c>
      <c r="BC2" s="54" t="s">
        <v>420</v>
      </c>
      <c r="BD2" s="54" t="s">
        <v>421</v>
      </c>
      <c r="BE2" s="54" t="s">
        <v>422</v>
      </c>
      <c r="BF2" s="54" t="s">
        <v>423</v>
      </c>
      <c r="BG2" s="54" t="s">
        <v>424</v>
      </c>
      <c r="BH2" s="54" t="s">
        <v>425</v>
      </c>
      <c r="BI2" s="54" t="s">
        <v>426</v>
      </c>
      <c r="BJ2" s="55" t="s">
        <v>431</v>
      </c>
      <c r="BK2" s="54" t="s">
        <v>416</v>
      </c>
      <c r="BL2" s="54" t="s">
        <v>417</v>
      </c>
      <c r="BM2" s="54" t="s">
        <v>418</v>
      </c>
      <c r="BN2" s="54" t="s">
        <v>419</v>
      </c>
      <c r="BO2" s="54" t="s">
        <v>420</v>
      </c>
      <c r="BP2" s="54" t="s">
        <v>421</v>
      </c>
      <c r="BQ2" s="54" t="s">
        <v>422</v>
      </c>
      <c r="BR2" s="54" t="s">
        <v>423</v>
      </c>
      <c r="BS2" s="54" t="s">
        <v>424</v>
      </c>
      <c r="BT2" s="54" t="s">
        <v>425</v>
      </c>
      <c r="BU2" s="54" t="s">
        <v>426</v>
      </c>
      <c r="BV2" s="55" t="s">
        <v>432</v>
      </c>
      <c r="BW2" s="54" t="s">
        <v>416</v>
      </c>
      <c r="BX2" s="54" t="s">
        <v>417</v>
      </c>
      <c r="BY2" s="54" t="s">
        <v>418</v>
      </c>
      <c r="BZ2" s="54" t="s">
        <v>419</v>
      </c>
      <c r="CA2" s="54" t="s">
        <v>420</v>
      </c>
      <c r="CB2" s="54" t="s">
        <v>421</v>
      </c>
      <c r="CC2" s="54" t="s">
        <v>422</v>
      </c>
      <c r="CD2" s="54" t="s">
        <v>423</v>
      </c>
      <c r="CE2" s="54" t="s">
        <v>424</v>
      </c>
      <c r="CF2" s="54" t="s">
        <v>425</v>
      </c>
      <c r="CG2" s="54" t="s">
        <v>426</v>
      </c>
      <c r="CH2" s="55" t="s">
        <v>433</v>
      </c>
      <c r="CI2" s="54" t="s">
        <v>416</v>
      </c>
      <c r="CJ2" s="54" t="s">
        <v>417</v>
      </c>
      <c r="CK2" s="54" t="s">
        <v>418</v>
      </c>
      <c r="CL2" s="54" t="s">
        <v>419</v>
      </c>
      <c r="CM2" s="54" t="s">
        <v>420</v>
      </c>
      <c r="CN2" s="54" t="s">
        <v>421</v>
      </c>
      <c r="CO2" s="54" t="s">
        <v>422</v>
      </c>
      <c r="CP2" s="54" t="s">
        <v>423</v>
      </c>
      <c r="CQ2" s="54" t="s">
        <v>424</v>
      </c>
      <c r="CR2" s="54" t="s">
        <v>425</v>
      </c>
      <c r="CS2" s="54" t="s">
        <v>426</v>
      </c>
      <c r="CT2" s="55" t="s">
        <v>434</v>
      </c>
      <c r="CU2" s="54" t="s">
        <v>416</v>
      </c>
      <c r="CV2" s="54" t="s">
        <v>417</v>
      </c>
      <c r="CW2" s="54" t="s">
        <v>418</v>
      </c>
      <c r="CX2" s="54" t="s">
        <v>419</v>
      </c>
      <c r="CY2" s="54" t="s">
        <v>420</v>
      </c>
      <c r="CZ2" s="54" t="s">
        <v>421</v>
      </c>
      <c r="DA2" s="54" t="s">
        <v>422</v>
      </c>
      <c r="DB2" s="54" t="s">
        <v>423</v>
      </c>
      <c r="DC2" s="54" t="s">
        <v>424</v>
      </c>
      <c r="DD2" s="54" t="s">
        <v>425</v>
      </c>
      <c r="DE2" s="54" t="s">
        <v>426</v>
      </c>
      <c r="DF2" s="55" t="s">
        <v>435</v>
      </c>
      <c r="DG2" s="56" t="s">
        <v>416</v>
      </c>
      <c r="DH2" s="54" t="s">
        <v>417</v>
      </c>
      <c r="DI2" s="54" t="s">
        <v>418</v>
      </c>
      <c r="DJ2" s="54" t="s">
        <v>419</v>
      </c>
      <c r="DK2" s="54" t="s">
        <v>420</v>
      </c>
      <c r="DL2" s="54" t="s">
        <v>421</v>
      </c>
      <c r="DM2" s="54" t="s">
        <v>422</v>
      </c>
      <c r="DN2" s="54" t="s">
        <v>423</v>
      </c>
      <c r="DO2" s="54" t="s">
        <v>424</v>
      </c>
      <c r="DP2" s="54" t="s">
        <v>425</v>
      </c>
      <c r="DQ2" s="54" t="s">
        <v>426</v>
      </c>
      <c r="DR2" s="55" t="s">
        <v>436</v>
      </c>
      <c r="DS2" s="56" t="s">
        <v>416</v>
      </c>
      <c r="DT2" s="54" t="s">
        <v>417</v>
      </c>
      <c r="DU2" s="54" t="s">
        <v>418</v>
      </c>
      <c r="DV2" s="54" t="s">
        <v>419</v>
      </c>
      <c r="DW2" s="54" t="s">
        <v>420</v>
      </c>
      <c r="DX2" s="54" t="s">
        <v>421</v>
      </c>
      <c r="DY2" s="54" t="s">
        <v>422</v>
      </c>
      <c r="DZ2" s="54" t="s">
        <v>423</v>
      </c>
      <c r="EA2" s="54" t="s">
        <v>424</v>
      </c>
      <c r="EB2" s="54" t="s">
        <v>425</v>
      </c>
      <c r="EC2" s="54" t="s">
        <v>426</v>
      </c>
      <c r="ED2" s="55" t="s">
        <v>437</v>
      </c>
      <c r="EE2" s="56" t="s">
        <v>416</v>
      </c>
      <c r="EF2" s="54" t="s">
        <v>417</v>
      </c>
      <c r="EG2" s="54" t="s">
        <v>418</v>
      </c>
      <c r="EH2" s="54" t="s">
        <v>419</v>
      </c>
      <c r="EI2" s="54" t="s">
        <v>420</v>
      </c>
      <c r="EJ2" s="54" t="s">
        <v>421</v>
      </c>
      <c r="EK2" s="54" t="s">
        <v>422</v>
      </c>
      <c r="EL2" s="54" t="s">
        <v>423</v>
      </c>
      <c r="EM2" s="54" t="s">
        <v>424</v>
      </c>
      <c r="EN2" s="54" t="s">
        <v>425</v>
      </c>
      <c r="EO2" s="54" t="s">
        <v>426</v>
      </c>
      <c r="EP2" s="55" t="s">
        <v>438</v>
      </c>
      <c r="EQ2" s="56" t="s">
        <v>416</v>
      </c>
      <c r="ER2" s="54" t="s">
        <v>417</v>
      </c>
      <c r="ES2" s="54" t="s">
        <v>418</v>
      </c>
      <c r="ET2" s="54" t="s">
        <v>419</v>
      </c>
      <c r="EU2" s="54" t="s">
        <v>420</v>
      </c>
      <c r="EV2" s="54" t="s">
        <v>421</v>
      </c>
      <c r="EW2" s="54" t="s">
        <v>422</v>
      </c>
      <c r="EX2" s="54" t="s">
        <v>423</v>
      </c>
      <c r="EY2" s="54" t="s">
        <v>424</v>
      </c>
      <c r="EZ2" s="54" t="s">
        <v>425</v>
      </c>
      <c r="FA2" s="54" t="s">
        <v>426</v>
      </c>
      <c r="FB2" s="55" t="s">
        <v>439</v>
      </c>
      <c r="FC2" s="56" t="s">
        <v>416</v>
      </c>
      <c r="FD2" s="54" t="s">
        <v>417</v>
      </c>
      <c r="FE2" s="54" t="s">
        <v>418</v>
      </c>
      <c r="FF2" s="54" t="s">
        <v>419</v>
      </c>
      <c r="FG2" s="54" t="s">
        <v>420</v>
      </c>
      <c r="FH2" s="54" t="s">
        <v>421</v>
      </c>
      <c r="FI2" s="54" t="s">
        <v>422</v>
      </c>
      <c r="FJ2" s="54" t="s">
        <v>423</v>
      </c>
      <c r="FK2" s="54" t="s">
        <v>424</v>
      </c>
      <c r="FL2" s="54" t="s">
        <v>425</v>
      </c>
      <c r="FM2" s="54" t="s">
        <v>426</v>
      </c>
      <c r="FN2" s="55" t="s">
        <v>440</v>
      </c>
      <c r="FO2" s="56" t="s">
        <v>416</v>
      </c>
      <c r="FP2" s="54" t="s">
        <v>417</v>
      </c>
      <c r="FQ2" s="54" t="s">
        <v>418</v>
      </c>
      <c r="FR2" s="54" t="s">
        <v>419</v>
      </c>
      <c r="FS2" s="54" t="s">
        <v>420</v>
      </c>
      <c r="FT2" s="54" t="s">
        <v>421</v>
      </c>
      <c r="FU2" s="54" t="s">
        <v>422</v>
      </c>
      <c r="FV2" s="54" t="s">
        <v>423</v>
      </c>
      <c r="FW2" s="54" t="s">
        <v>424</v>
      </c>
      <c r="FX2" s="54" t="s">
        <v>425</v>
      </c>
      <c r="FY2" s="54" t="s">
        <v>426</v>
      </c>
    </row>
    <row r="3" spans="1:181" s="54" customFormat="1" ht="11.25">
      <c r="AX3" s="55"/>
      <c r="BJ3" s="56"/>
      <c r="BV3" s="56"/>
      <c r="CH3" s="56"/>
      <c r="CT3" s="56"/>
      <c r="DF3" s="55"/>
      <c r="DG3" s="56"/>
      <c r="DR3" s="56"/>
      <c r="DS3" s="56"/>
      <c r="ED3" s="56"/>
      <c r="EE3" s="56"/>
      <c r="EP3" s="55"/>
      <c r="EQ3" s="56"/>
      <c r="FB3" s="55"/>
      <c r="FC3" s="56"/>
      <c r="FN3" s="55"/>
      <c r="FO3" s="56"/>
    </row>
    <row r="4" spans="1:181" s="54" customFormat="1" ht="12" thickBot="1">
      <c r="A4" s="57" t="s">
        <v>441</v>
      </c>
      <c r="AX4" s="55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DF4" s="55"/>
      <c r="EP4" s="55"/>
      <c r="FB4" s="55"/>
      <c r="FN4" s="55"/>
    </row>
    <row r="5" spans="1:181" s="54" customFormat="1" ht="11.25">
      <c r="A5" s="54" t="s">
        <v>442</v>
      </c>
      <c r="B5" s="59">
        <v>5.5</v>
      </c>
      <c r="C5" s="59">
        <v>5.5</v>
      </c>
      <c r="D5" s="59">
        <v>5.5</v>
      </c>
      <c r="E5" s="59">
        <v>5.5</v>
      </c>
      <c r="F5" s="59">
        <v>5.5</v>
      </c>
      <c r="G5" s="59">
        <v>5.5</v>
      </c>
      <c r="H5" s="59">
        <v>5.5</v>
      </c>
      <c r="I5" s="59">
        <v>5.5</v>
      </c>
      <c r="J5" s="59">
        <v>5.5</v>
      </c>
      <c r="K5" s="59">
        <v>5.5</v>
      </c>
      <c r="L5" s="59">
        <v>5.5</v>
      </c>
      <c r="M5" s="59">
        <v>5.5</v>
      </c>
      <c r="N5" s="59">
        <v>4.5</v>
      </c>
      <c r="O5" s="59">
        <v>4.5</v>
      </c>
      <c r="P5" s="59">
        <v>4.5</v>
      </c>
      <c r="Q5" s="59">
        <v>4.5</v>
      </c>
      <c r="R5" s="59">
        <v>4.5</v>
      </c>
      <c r="S5" s="59">
        <v>4.5</v>
      </c>
      <c r="T5" s="59">
        <v>4.5</v>
      </c>
      <c r="U5" s="59">
        <v>4.5</v>
      </c>
      <c r="V5" s="59">
        <v>4.5</v>
      </c>
      <c r="W5" s="59">
        <v>4.5</v>
      </c>
      <c r="X5" s="59">
        <v>4.5</v>
      </c>
      <c r="Y5" s="59">
        <v>4.5</v>
      </c>
      <c r="Z5" s="59">
        <v>4.5</v>
      </c>
      <c r="AA5" s="59">
        <v>4.5</v>
      </c>
      <c r="AB5" s="59">
        <v>4.5</v>
      </c>
      <c r="AC5" s="59">
        <v>4.5</v>
      </c>
      <c r="AD5" s="59">
        <v>4.5</v>
      </c>
      <c r="AE5" s="59">
        <v>4.5</v>
      </c>
      <c r="AF5" s="59">
        <v>4.5</v>
      </c>
      <c r="AG5" s="59">
        <v>4.5</v>
      </c>
      <c r="AH5" s="59">
        <v>4.5</v>
      </c>
      <c r="AI5" s="59">
        <v>4.5</v>
      </c>
      <c r="AJ5" s="59">
        <v>4.5</v>
      </c>
      <c r="AK5" s="59">
        <v>4.5</v>
      </c>
      <c r="AL5" s="59">
        <v>4.5</v>
      </c>
      <c r="AM5" s="59">
        <v>4.5</v>
      </c>
      <c r="AN5" s="59">
        <v>4.5</v>
      </c>
      <c r="AO5" s="59">
        <v>4.5</v>
      </c>
      <c r="AP5" s="59">
        <v>4.5</v>
      </c>
      <c r="AQ5" s="59">
        <v>4.5</v>
      </c>
      <c r="AR5" s="59">
        <v>4.5</v>
      </c>
      <c r="AS5" s="59">
        <v>4.5</v>
      </c>
      <c r="AT5" s="59">
        <v>4.5</v>
      </c>
      <c r="AU5" s="59">
        <v>4.5</v>
      </c>
      <c r="AV5" s="59">
        <v>4.5</v>
      </c>
      <c r="AW5" s="59">
        <v>4.5</v>
      </c>
      <c r="AX5" s="60">
        <v>4.5</v>
      </c>
      <c r="AY5" s="59">
        <v>4.5</v>
      </c>
      <c r="AZ5" s="59">
        <v>4.5</v>
      </c>
      <c r="BA5" s="59">
        <v>4.5</v>
      </c>
      <c r="BB5" s="59">
        <v>4.5</v>
      </c>
      <c r="BC5" s="59">
        <v>4.5</v>
      </c>
      <c r="BD5" s="59">
        <v>4.5</v>
      </c>
      <c r="BE5" s="59">
        <v>4.5</v>
      </c>
      <c r="BF5" s="59">
        <v>4.5</v>
      </c>
      <c r="BG5" s="59">
        <v>4.5</v>
      </c>
      <c r="BH5" s="59">
        <v>4.5</v>
      </c>
      <c r="BI5" s="59">
        <v>4.5</v>
      </c>
      <c r="BJ5" s="59">
        <v>4.5</v>
      </c>
      <c r="BK5" s="59">
        <v>4.5</v>
      </c>
      <c r="BL5" s="59">
        <v>4.5</v>
      </c>
      <c r="BM5" s="59">
        <v>4.5</v>
      </c>
      <c r="BN5" s="59">
        <v>4.5</v>
      </c>
      <c r="BO5" s="59">
        <v>4.5</v>
      </c>
      <c r="BP5" s="59">
        <v>4.5</v>
      </c>
      <c r="BQ5" s="59">
        <v>4.5</v>
      </c>
      <c r="BR5" s="59">
        <v>4.5</v>
      </c>
      <c r="BS5" s="59">
        <v>4.5</v>
      </c>
      <c r="BT5" s="59">
        <v>4.5</v>
      </c>
      <c r="BU5" s="59">
        <v>4.5</v>
      </c>
      <c r="BV5" s="59">
        <v>4.5</v>
      </c>
      <c r="BW5" s="59">
        <v>4.5</v>
      </c>
      <c r="BX5" s="59">
        <v>4.5</v>
      </c>
      <c r="BY5" s="59">
        <v>4.5</v>
      </c>
      <c r="BZ5" s="59">
        <v>4.5</v>
      </c>
      <c r="CA5" s="59">
        <v>4.5</v>
      </c>
      <c r="CB5" s="59">
        <v>4.5</v>
      </c>
      <c r="CC5" s="59">
        <v>4.5</v>
      </c>
      <c r="CD5" s="59">
        <v>4.5</v>
      </c>
      <c r="CE5" s="59">
        <v>4.5</v>
      </c>
      <c r="CF5" s="59">
        <v>4.5</v>
      </c>
      <c r="CG5" s="59">
        <v>4.5</v>
      </c>
      <c r="CH5" s="59">
        <v>4.5</v>
      </c>
      <c r="CI5" s="59">
        <v>4.5</v>
      </c>
      <c r="CJ5" s="59">
        <v>4.5</v>
      </c>
      <c r="CK5" s="59">
        <v>4.5</v>
      </c>
      <c r="CL5" s="59">
        <v>4.5</v>
      </c>
      <c r="CM5" s="59">
        <v>4.5</v>
      </c>
      <c r="CN5" s="59">
        <v>4.5</v>
      </c>
      <c r="CO5" s="59">
        <v>4.5</v>
      </c>
      <c r="CP5" s="59">
        <v>4.5</v>
      </c>
      <c r="CQ5" s="59">
        <v>4.5</v>
      </c>
      <c r="CR5" s="59">
        <v>4.5</v>
      </c>
      <c r="CS5" s="59">
        <v>4.5</v>
      </c>
      <c r="CT5" s="59">
        <v>4.5</v>
      </c>
      <c r="CU5" s="59">
        <v>4.5</v>
      </c>
      <c r="CV5" s="59">
        <v>4.5</v>
      </c>
      <c r="CW5" s="59">
        <v>4.5</v>
      </c>
      <c r="CX5" s="59">
        <v>4.5</v>
      </c>
      <c r="CY5" s="59">
        <v>4.5</v>
      </c>
      <c r="CZ5" s="59">
        <v>4.5</v>
      </c>
      <c r="DA5" s="59">
        <v>4.5</v>
      </c>
      <c r="DB5" s="59">
        <v>4.5</v>
      </c>
      <c r="DC5" s="59">
        <v>4.5</v>
      </c>
      <c r="DD5" s="59">
        <v>4.5</v>
      </c>
      <c r="DE5" s="59">
        <v>4.5</v>
      </c>
      <c r="DF5" s="60">
        <v>4.5</v>
      </c>
      <c r="DG5" s="59">
        <v>4.5</v>
      </c>
      <c r="DH5" s="59">
        <v>4.5</v>
      </c>
      <c r="DI5" s="59">
        <v>4.5</v>
      </c>
      <c r="DJ5" s="59">
        <v>4.5</v>
      </c>
      <c r="DK5" s="59">
        <v>4.5</v>
      </c>
      <c r="DL5" s="59">
        <v>4.5</v>
      </c>
      <c r="DM5" s="59">
        <v>4.5</v>
      </c>
      <c r="DN5" s="59">
        <v>4.5</v>
      </c>
      <c r="DO5" s="59">
        <v>4.5</v>
      </c>
      <c r="DP5" s="59">
        <v>4.5</v>
      </c>
      <c r="DQ5" s="59">
        <v>4.5</v>
      </c>
      <c r="DR5" s="60">
        <v>4.5</v>
      </c>
      <c r="DS5" s="59">
        <v>4.5</v>
      </c>
      <c r="DT5" s="59">
        <v>4.5</v>
      </c>
      <c r="DU5" s="59">
        <v>4.5</v>
      </c>
      <c r="DV5" s="59">
        <v>4.5</v>
      </c>
      <c r="DW5" s="59">
        <v>4.5</v>
      </c>
      <c r="DX5" s="59">
        <v>4.5</v>
      </c>
      <c r="DY5" s="59">
        <v>4.5</v>
      </c>
      <c r="DZ5" s="59">
        <v>4.5</v>
      </c>
      <c r="EA5" s="59">
        <v>4.5</v>
      </c>
      <c r="EB5" s="59">
        <v>4.5</v>
      </c>
      <c r="EC5" s="59">
        <v>4.5</v>
      </c>
      <c r="ED5" s="60">
        <v>4.5</v>
      </c>
      <c r="EE5" s="59">
        <v>4.5</v>
      </c>
      <c r="EF5" s="59">
        <v>4.5</v>
      </c>
      <c r="EG5" s="59">
        <v>4.5</v>
      </c>
      <c r="EH5" s="59">
        <v>4.5</v>
      </c>
      <c r="EI5" s="59">
        <v>4.5</v>
      </c>
      <c r="EJ5" s="59">
        <v>4.5</v>
      </c>
      <c r="EK5" s="59">
        <v>4.5</v>
      </c>
      <c r="EL5" s="59">
        <v>4.5</v>
      </c>
      <c r="EM5" s="59">
        <v>4.5</v>
      </c>
      <c r="EN5" s="59">
        <v>4.5</v>
      </c>
      <c r="EO5" s="59">
        <v>4.5</v>
      </c>
      <c r="EP5" s="60">
        <v>4.5</v>
      </c>
      <c r="EQ5" s="59">
        <v>4.5</v>
      </c>
      <c r="ER5" s="59">
        <v>4.5</v>
      </c>
      <c r="ES5" s="59">
        <v>4.5</v>
      </c>
      <c r="ET5" s="54">
        <v>4.5</v>
      </c>
      <c r="EU5" s="54">
        <v>4.5</v>
      </c>
      <c r="EV5" s="54">
        <v>4.5</v>
      </c>
      <c r="EW5" s="54">
        <v>4.5</v>
      </c>
      <c r="EX5" s="54">
        <v>4.5</v>
      </c>
      <c r="EY5" s="61">
        <v>4.5</v>
      </c>
      <c r="EZ5" s="61">
        <v>4.5</v>
      </c>
      <c r="FA5" s="61">
        <v>4.5</v>
      </c>
      <c r="FB5" s="55">
        <v>4.5</v>
      </c>
      <c r="FC5" s="54">
        <v>4.5</v>
      </c>
      <c r="FD5" s="54">
        <v>4.5</v>
      </c>
      <c r="FE5" s="54">
        <v>4.5</v>
      </c>
      <c r="FF5" s="54">
        <v>4.5</v>
      </c>
      <c r="FG5" s="54">
        <v>4.5</v>
      </c>
      <c r="FH5" s="54">
        <v>4.5</v>
      </c>
      <c r="FI5" s="54">
        <v>4.5</v>
      </c>
      <c r="FJ5" s="54">
        <v>4.5</v>
      </c>
      <c r="FK5" s="54">
        <v>4.5</v>
      </c>
      <c r="FL5" s="54">
        <v>4.5</v>
      </c>
      <c r="FM5" s="54">
        <v>4.5</v>
      </c>
      <c r="FN5" s="55">
        <v>4.5</v>
      </c>
      <c r="FO5" s="54">
        <v>4.5</v>
      </c>
      <c r="FP5" s="54">
        <v>4.5</v>
      </c>
      <c r="FQ5" s="54">
        <v>4.5</v>
      </c>
      <c r="FR5" s="54">
        <v>4.5</v>
      </c>
      <c r="FS5" s="54">
        <v>4.5</v>
      </c>
      <c r="FT5" s="54">
        <v>4.5</v>
      </c>
      <c r="FU5" s="54">
        <v>4.5</v>
      </c>
      <c r="FV5" s="54">
        <v>4.5</v>
      </c>
      <c r="FW5" s="54">
        <v>4.5</v>
      </c>
      <c r="FX5" s="54">
        <v>4.5</v>
      </c>
      <c r="FY5" s="54">
        <v>4.5</v>
      </c>
    </row>
    <row r="6" spans="1:181" s="54" customFormat="1" ht="11.25">
      <c r="A6" s="54" t="s">
        <v>443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>
        <v>3</v>
      </c>
      <c r="AM6" s="59">
        <v>3</v>
      </c>
      <c r="AN6" s="59">
        <v>3</v>
      </c>
      <c r="AO6" s="59">
        <v>3</v>
      </c>
      <c r="AP6" s="59">
        <v>3</v>
      </c>
      <c r="AQ6" s="59">
        <v>3</v>
      </c>
      <c r="AR6" s="59">
        <v>3</v>
      </c>
      <c r="AS6" s="59">
        <v>3</v>
      </c>
      <c r="AT6" s="59">
        <v>3</v>
      </c>
      <c r="AU6" s="59">
        <v>3</v>
      </c>
      <c r="AV6" s="59">
        <v>3</v>
      </c>
      <c r="AW6" s="59">
        <v>3</v>
      </c>
      <c r="AX6" s="60">
        <v>3</v>
      </c>
      <c r="AY6" s="59">
        <v>3</v>
      </c>
      <c r="AZ6" s="59">
        <v>3</v>
      </c>
      <c r="BA6" s="59">
        <v>3</v>
      </c>
      <c r="BB6" s="59">
        <v>3</v>
      </c>
      <c r="BC6" s="59">
        <v>3</v>
      </c>
      <c r="BD6" s="59">
        <v>3</v>
      </c>
      <c r="BE6" s="59">
        <v>3</v>
      </c>
      <c r="BF6" s="59">
        <v>3</v>
      </c>
      <c r="BG6" s="59">
        <v>3</v>
      </c>
      <c r="BH6" s="59">
        <v>3</v>
      </c>
      <c r="BI6" s="59">
        <v>3</v>
      </c>
      <c r="BJ6" s="59">
        <v>3</v>
      </c>
      <c r="BK6" s="59">
        <v>3</v>
      </c>
      <c r="BL6" s="59">
        <v>3</v>
      </c>
      <c r="BM6" s="59">
        <v>3</v>
      </c>
      <c r="BN6" s="59">
        <v>3</v>
      </c>
      <c r="BO6" s="59">
        <v>3</v>
      </c>
      <c r="BP6" s="59">
        <v>3</v>
      </c>
      <c r="BQ6" s="59">
        <v>3</v>
      </c>
      <c r="BR6" s="59">
        <v>3</v>
      </c>
      <c r="BS6" s="59">
        <v>3</v>
      </c>
      <c r="BT6" s="59">
        <v>3</v>
      </c>
      <c r="BU6" s="59">
        <v>3</v>
      </c>
      <c r="BV6" s="59">
        <v>3</v>
      </c>
      <c r="BW6" s="59">
        <v>3</v>
      </c>
      <c r="BX6" s="59">
        <v>3</v>
      </c>
      <c r="BY6" s="59">
        <v>3</v>
      </c>
      <c r="BZ6" s="59">
        <v>3</v>
      </c>
      <c r="CA6" s="59">
        <v>3</v>
      </c>
      <c r="CB6" s="59">
        <v>3</v>
      </c>
      <c r="CC6" s="59">
        <v>3</v>
      </c>
      <c r="CD6" s="59">
        <v>3</v>
      </c>
      <c r="CE6" s="59">
        <v>3</v>
      </c>
      <c r="CF6" s="59">
        <v>3</v>
      </c>
      <c r="CG6" s="59">
        <v>3</v>
      </c>
      <c r="CH6" s="59">
        <v>3</v>
      </c>
      <c r="CI6" s="59">
        <v>3</v>
      </c>
      <c r="CJ6" s="59">
        <v>3</v>
      </c>
      <c r="CK6" s="59">
        <v>3</v>
      </c>
      <c r="CL6" s="59">
        <v>3</v>
      </c>
      <c r="CM6" s="59">
        <v>3</v>
      </c>
      <c r="CN6" s="59">
        <v>3</v>
      </c>
      <c r="CO6" s="59">
        <v>3</v>
      </c>
      <c r="CP6" s="59">
        <v>3</v>
      </c>
      <c r="CQ6" s="59">
        <v>3</v>
      </c>
      <c r="CR6" s="59">
        <v>3</v>
      </c>
      <c r="CS6" s="59">
        <v>3</v>
      </c>
      <c r="CT6" s="59">
        <v>3</v>
      </c>
      <c r="CU6" s="59">
        <v>3</v>
      </c>
      <c r="CV6" s="59">
        <v>3</v>
      </c>
      <c r="CW6" s="59">
        <v>3</v>
      </c>
      <c r="CX6" s="59">
        <v>3</v>
      </c>
      <c r="CY6" s="59">
        <v>3</v>
      </c>
      <c r="CZ6" s="59">
        <v>3</v>
      </c>
      <c r="DA6" s="59">
        <v>3</v>
      </c>
      <c r="DB6" s="59">
        <v>3</v>
      </c>
      <c r="DC6" s="59">
        <v>3</v>
      </c>
      <c r="DD6" s="59">
        <v>3</v>
      </c>
      <c r="DE6" s="59">
        <v>3</v>
      </c>
      <c r="DF6" s="60">
        <v>3</v>
      </c>
      <c r="DG6" s="59">
        <v>3</v>
      </c>
      <c r="DH6" s="59">
        <v>3</v>
      </c>
      <c r="DI6" s="59">
        <v>3</v>
      </c>
      <c r="DJ6" s="59">
        <v>3</v>
      </c>
      <c r="DK6" s="59">
        <v>3</v>
      </c>
      <c r="DL6" s="59">
        <v>3</v>
      </c>
      <c r="DM6" s="59">
        <v>3</v>
      </c>
      <c r="DN6" s="59">
        <v>3</v>
      </c>
      <c r="DO6" s="59">
        <v>3</v>
      </c>
      <c r="DP6" s="59">
        <v>3</v>
      </c>
      <c r="DQ6" s="59">
        <v>3</v>
      </c>
      <c r="DR6" s="60">
        <v>3</v>
      </c>
      <c r="DS6" s="59">
        <v>3</v>
      </c>
      <c r="DT6" s="59">
        <v>3</v>
      </c>
      <c r="DU6" s="61">
        <v>3</v>
      </c>
      <c r="DV6" s="61">
        <v>3</v>
      </c>
      <c r="DW6" s="61">
        <v>3</v>
      </c>
      <c r="DX6" s="61">
        <v>3</v>
      </c>
      <c r="DY6" s="61">
        <v>3</v>
      </c>
      <c r="DZ6" s="61">
        <v>3</v>
      </c>
      <c r="EA6" s="61">
        <v>3</v>
      </c>
      <c r="EB6" s="61">
        <v>3</v>
      </c>
      <c r="EC6" s="61">
        <v>3</v>
      </c>
      <c r="ED6" s="60">
        <v>3</v>
      </c>
      <c r="EE6" s="59">
        <v>3</v>
      </c>
      <c r="EF6" s="59">
        <v>3</v>
      </c>
      <c r="EG6" s="59">
        <v>3</v>
      </c>
      <c r="EH6" s="59">
        <v>3</v>
      </c>
      <c r="EI6" s="59">
        <v>3</v>
      </c>
      <c r="EJ6" s="59">
        <v>3</v>
      </c>
      <c r="EK6" s="59">
        <v>3</v>
      </c>
      <c r="EL6" s="59">
        <v>3</v>
      </c>
      <c r="EM6" s="59">
        <v>3</v>
      </c>
      <c r="EN6" s="54">
        <v>3</v>
      </c>
      <c r="EO6" s="54">
        <v>3</v>
      </c>
      <c r="EP6" s="55">
        <v>3</v>
      </c>
      <c r="EQ6" s="54">
        <v>3</v>
      </c>
      <c r="ER6" s="54">
        <v>3</v>
      </c>
      <c r="ES6" s="54">
        <v>3</v>
      </c>
      <c r="ET6" s="54">
        <v>3</v>
      </c>
      <c r="EU6" s="54">
        <v>3</v>
      </c>
      <c r="EV6" s="54">
        <v>3</v>
      </c>
      <c r="EW6" s="54">
        <v>3</v>
      </c>
      <c r="EX6" s="54">
        <v>3</v>
      </c>
      <c r="EY6" s="54">
        <v>3</v>
      </c>
      <c r="EZ6" s="54">
        <v>3</v>
      </c>
      <c r="FA6" s="54">
        <v>3</v>
      </c>
      <c r="FB6" s="55">
        <v>3</v>
      </c>
      <c r="FC6" s="54">
        <v>3</v>
      </c>
      <c r="FD6" s="54">
        <v>3</v>
      </c>
      <c r="FE6" s="54">
        <v>3</v>
      </c>
      <c r="FF6" s="54">
        <v>3</v>
      </c>
      <c r="FG6" s="54">
        <v>3</v>
      </c>
      <c r="FH6" s="54">
        <v>3</v>
      </c>
      <c r="FI6" s="54">
        <v>3</v>
      </c>
      <c r="FJ6" s="54">
        <v>3</v>
      </c>
      <c r="FK6" s="54">
        <v>3</v>
      </c>
      <c r="FL6" s="54">
        <v>3</v>
      </c>
      <c r="FM6" s="54">
        <v>3</v>
      </c>
      <c r="FN6" s="55">
        <v>3</v>
      </c>
      <c r="FO6" s="54">
        <v>3</v>
      </c>
      <c r="FP6" s="54">
        <v>3</v>
      </c>
      <c r="FQ6" s="54">
        <v>3</v>
      </c>
      <c r="FR6" s="54">
        <v>3</v>
      </c>
      <c r="FS6" s="54">
        <v>3</v>
      </c>
      <c r="FT6" s="54">
        <v>3</v>
      </c>
      <c r="FU6" s="54">
        <v>3</v>
      </c>
      <c r="FV6" s="54">
        <v>3</v>
      </c>
      <c r="FW6" s="54">
        <v>3</v>
      </c>
      <c r="FX6" s="54">
        <v>3</v>
      </c>
      <c r="FY6" s="54">
        <v>3</v>
      </c>
    </row>
    <row r="7" spans="1:181" s="54" customFormat="1" ht="11.25">
      <c r="A7" s="54" t="s">
        <v>444</v>
      </c>
      <c r="B7" s="59">
        <v>5.5</v>
      </c>
      <c r="C7" s="59">
        <v>5.5</v>
      </c>
      <c r="D7" s="59">
        <v>5.5</v>
      </c>
      <c r="E7" s="59">
        <v>5.5</v>
      </c>
      <c r="F7" s="59">
        <v>5.5</v>
      </c>
      <c r="G7" s="59">
        <v>5.5</v>
      </c>
      <c r="H7" s="59">
        <v>5.5</v>
      </c>
      <c r="I7" s="59">
        <v>5.5</v>
      </c>
      <c r="J7" s="59">
        <v>5.5</v>
      </c>
      <c r="K7" s="59">
        <v>5.5</v>
      </c>
      <c r="L7" s="59">
        <v>5.5</v>
      </c>
      <c r="M7" s="59">
        <v>5.5</v>
      </c>
      <c r="N7" s="59">
        <v>5</v>
      </c>
      <c r="O7" s="59">
        <v>5</v>
      </c>
      <c r="P7" s="59">
        <v>5</v>
      </c>
      <c r="Q7" s="59">
        <v>5</v>
      </c>
      <c r="R7" s="59">
        <v>5</v>
      </c>
      <c r="S7" s="59">
        <v>5</v>
      </c>
      <c r="T7" s="59">
        <v>5</v>
      </c>
      <c r="U7" s="59">
        <v>5</v>
      </c>
      <c r="V7" s="59">
        <v>5</v>
      </c>
      <c r="W7" s="59">
        <v>5</v>
      </c>
      <c r="X7" s="59">
        <v>5</v>
      </c>
      <c r="Y7" s="59">
        <v>5</v>
      </c>
      <c r="Z7" s="59">
        <v>4.5</v>
      </c>
      <c r="AA7" s="59">
        <v>4.5</v>
      </c>
      <c r="AB7" s="59">
        <v>4.5</v>
      </c>
      <c r="AC7" s="59">
        <v>4.5</v>
      </c>
      <c r="AD7" s="59">
        <v>4.5</v>
      </c>
      <c r="AE7" s="59">
        <v>4.5</v>
      </c>
      <c r="AF7" s="59">
        <v>4.5</v>
      </c>
      <c r="AG7" s="59">
        <v>4.5</v>
      </c>
      <c r="AH7" s="59">
        <v>4.5</v>
      </c>
      <c r="AI7" s="59">
        <v>4.5</v>
      </c>
      <c r="AJ7" s="59">
        <v>4.5</v>
      </c>
      <c r="AK7" s="59">
        <v>4.5</v>
      </c>
      <c r="AL7" s="59">
        <v>4</v>
      </c>
      <c r="AM7" s="59">
        <v>4</v>
      </c>
      <c r="AN7" s="59">
        <v>4</v>
      </c>
      <c r="AO7" s="59">
        <v>4</v>
      </c>
      <c r="AP7" s="59">
        <v>4</v>
      </c>
      <c r="AQ7" s="59">
        <v>4</v>
      </c>
      <c r="AR7" s="59">
        <v>4</v>
      </c>
      <c r="AS7" s="59">
        <v>4</v>
      </c>
      <c r="AT7" s="59">
        <v>4</v>
      </c>
      <c r="AU7" s="59">
        <v>4</v>
      </c>
      <c r="AV7" s="59">
        <v>4</v>
      </c>
      <c r="AW7" s="59">
        <v>4</v>
      </c>
      <c r="AX7" s="59">
        <v>4</v>
      </c>
      <c r="AY7" s="59">
        <v>4</v>
      </c>
      <c r="AZ7" s="59">
        <v>4</v>
      </c>
      <c r="BA7" s="59">
        <v>4</v>
      </c>
      <c r="BB7" s="59">
        <v>4</v>
      </c>
      <c r="BC7" s="59">
        <v>4</v>
      </c>
      <c r="BD7" s="59">
        <v>4</v>
      </c>
      <c r="BE7" s="59">
        <v>4</v>
      </c>
      <c r="BF7" s="59">
        <v>4</v>
      </c>
      <c r="BG7" s="59">
        <v>4</v>
      </c>
      <c r="BH7" s="59">
        <v>4</v>
      </c>
      <c r="BI7" s="59">
        <v>4</v>
      </c>
      <c r="BJ7" s="59">
        <v>5</v>
      </c>
      <c r="BK7" s="59">
        <v>5</v>
      </c>
      <c r="BL7" s="59">
        <v>5</v>
      </c>
      <c r="BM7" s="59">
        <v>5</v>
      </c>
      <c r="BN7" s="59">
        <v>5</v>
      </c>
      <c r="BO7" s="59">
        <v>5</v>
      </c>
      <c r="BP7" s="59">
        <v>5</v>
      </c>
      <c r="BQ7" s="59">
        <v>5</v>
      </c>
      <c r="BR7" s="59">
        <v>5</v>
      </c>
      <c r="BS7" s="59">
        <v>5</v>
      </c>
      <c r="BT7" s="59">
        <v>5</v>
      </c>
      <c r="BU7" s="59">
        <v>5</v>
      </c>
      <c r="BV7" s="59">
        <v>3</v>
      </c>
      <c r="BW7" s="59">
        <v>3</v>
      </c>
      <c r="BX7" s="59">
        <v>3</v>
      </c>
      <c r="BY7" s="59">
        <v>3</v>
      </c>
      <c r="BZ7" s="59">
        <v>3</v>
      </c>
      <c r="CA7" s="59">
        <v>3</v>
      </c>
      <c r="CB7" s="59">
        <v>3</v>
      </c>
      <c r="CC7" s="59">
        <v>3</v>
      </c>
      <c r="CD7" s="59">
        <v>3</v>
      </c>
      <c r="CE7" s="59">
        <v>3</v>
      </c>
      <c r="CF7" s="59">
        <v>3</v>
      </c>
      <c r="CG7" s="59">
        <v>3</v>
      </c>
      <c r="CH7" s="59">
        <v>3</v>
      </c>
      <c r="CI7" s="59">
        <v>3</v>
      </c>
      <c r="CJ7" s="59">
        <v>3</v>
      </c>
      <c r="CK7" s="59">
        <v>3</v>
      </c>
      <c r="CL7" s="59">
        <v>3</v>
      </c>
      <c r="CM7" s="59">
        <v>3</v>
      </c>
      <c r="CN7" s="59">
        <v>3</v>
      </c>
      <c r="CO7" s="59">
        <v>3</v>
      </c>
      <c r="CP7" s="59">
        <v>3</v>
      </c>
      <c r="CQ7" s="59">
        <v>3</v>
      </c>
      <c r="CR7" s="59">
        <v>3</v>
      </c>
      <c r="CS7" s="59">
        <v>3</v>
      </c>
      <c r="CT7" s="59">
        <v>3</v>
      </c>
      <c r="CU7" s="59">
        <v>3</v>
      </c>
      <c r="CV7" s="59">
        <v>3</v>
      </c>
      <c r="CW7" s="59">
        <v>3</v>
      </c>
      <c r="CX7" s="59">
        <v>3</v>
      </c>
      <c r="CY7" s="59">
        <v>3</v>
      </c>
      <c r="CZ7" s="59">
        <v>3</v>
      </c>
      <c r="DA7" s="59">
        <v>3</v>
      </c>
      <c r="DB7" s="59">
        <v>3</v>
      </c>
      <c r="DC7" s="59">
        <v>3</v>
      </c>
      <c r="DD7" s="59">
        <v>3</v>
      </c>
      <c r="DE7" s="59">
        <v>3</v>
      </c>
      <c r="DF7" s="59">
        <v>3</v>
      </c>
      <c r="DG7" s="59">
        <v>3</v>
      </c>
      <c r="DH7" s="59">
        <v>3</v>
      </c>
      <c r="DI7" s="59">
        <v>3</v>
      </c>
      <c r="DJ7" s="59">
        <v>3</v>
      </c>
      <c r="DK7" s="59">
        <v>3</v>
      </c>
      <c r="DL7" s="59">
        <v>3</v>
      </c>
      <c r="DM7" s="59">
        <v>3</v>
      </c>
      <c r="DN7" s="59">
        <v>3</v>
      </c>
      <c r="DO7" s="59">
        <v>3</v>
      </c>
      <c r="DP7" s="59">
        <v>3</v>
      </c>
      <c r="DQ7" s="59">
        <v>3</v>
      </c>
      <c r="DR7" s="59">
        <v>3</v>
      </c>
      <c r="DS7" s="59">
        <v>3</v>
      </c>
      <c r="DT7" s="59">
        <v>3</v>
      </c>
      <c r="DU7" s="59">
        <v>3</v>
      </c>
      <c r="DV7" s="59">
        <v>3</v>
      </c>
      <c r="DW7" s="59">
        <v>3</v>
      </c>
      <c r="DX7" s="59">
        <v>3</v>
      </c>
      <c r="DY7" s="59">
        <v>3</v>
      </c>
      <c r="DZ7" s="59">
        <v>3</v>
      </c>
      <c r="EA7" s="59">
        <v>3</v>
      </c>
      <c r="EB7" s="59">
        <v>3</v>
      </c>
      <c r="EC7" s="59">
        <v>3</v>
      </c>
      <c r="ED7" s="59">
        <v>3</v>
      </c>
      <c r="EE7" s="59">
        <v>3</v>
      </c>
      <c r="EF7" s="59">
        <v>3</v>
      </c>
      <c r="EG7" s="59">
        <v>3</v>
      </c>
      <c r="EH7" s="59">
        <v>3</v>
      </c>
      <c r="EI7" s="59">
        <v>3</v>
      </c>
      <c r="EJ7" s="59">
        <v>3</v>
      </c>
      <c r="EK7" s="59">
        <v>3</v>
      </c>
      <c r="EL7" s="59">
        <v>3</v>
      </c>
      <c r="EM7" s="59">
        <v>3</v>
      </c>
      <c r="EN7" s="59">
        <v>3</v>
      </c>
      <c r="EO7" s="59">
        <v>3</v>
      </c>
      <c r="EP7" s="59">
        <v>3</v>
      </c>
      <c r="EQ7" s="59">
        <v>3</v>
      </c>
      <c r="ER7" s="59">
        <v>3</v>
      </c>
      <c r="ES7" s="59">
        <v>3</v>
      </c>
      <c r="ET7" s="59">
        <v>3</v>
      </c>
      <c r="EU7" s="59">
        <v>3</v>
      </c>
      <c r="EV7" s="59">
        <v>3</v>
      </c>
      <c r="EW7" s="59">
        <v>3</v>
      </c>
      <c r="EX7" s="59">
        <v>3</v>
      </c>
      <c r="EY7" s="59">
        <v>3</v>
      </c>
      <c r="EZ7" s="59">
        <v>3</v>
      </c>
      <c r="FA7" s="59">
        <v>3</v>
      </c>
      <c r="FB7" s="59">
        <v>3</v>
      </c>
      <c r="FC7" s="59">
        <v>3</v>
      </c>
      <c r="FD7" s="59">
        <v>3</v>
      </c>
      <c r="FE7" s="59">
        <v>3</v>
      </c>
      <c r="FF7" s="59">
        <v>3</v>
      </c>
      <c r="FG7" s="59">
        <v>3</v>
      </c>
      <c r="FH7" s="59">
        <v>3</v>
      </c>
      <c r="FI7" s="59">
        <v>3</v>
      </c>
      <c r="FJ7" s="59">
        <v>3</v>
      </c>
      <c r="FK7" s="59">
        <v>3</v>
      </c>
      <c r="FL7" s="59">
        <v>3</v>
      </c>
      <c r="FM7" s="59">
        <v>3</v>
      </c>
      <c r="FN7" s="55"/>
    </row>
    <row r="8" spans="1:181" s="59" customFormat="1" ht="11.25">
      <c r="A8" s="59" t="s">
        <v>445</v>
      </c>
      <c r="AX8" s="59">
        <v>3</v>
      </c>
      <c r="AY8" s="59">
        <v>3</v>
      </c>
      <c r="AZ8" s="59">
        <v>3</v>
      </c>
      <c r="BA8" s="59">
        <v>3</v>
      </c>
      <c r="BB8" s="59">
        <v>3</v>
      </c>
      <c r="BC8" s="59">
        <v>3</v>
      </c>
      <c r="BD8" s="59">
        <v>3</v>
      </c>
      <c r="BE8" s="59">
        <v>3</v>
      </c>
      <c r="BF8" s="59">
        <v>3</v>
      </c>
      <c r="BG8" s="59">
        <v>3</v>
      </c>
      <c r="BH8" s="59">
        <v>3</v>
      </c>
      <c r="BI8" s="59">
        <v>3</v>
      </c>
      <c r="BJ8" s="59">
        <v>3</v>
      </c>
      <c r="BK8" s="59">
        <v>3</v>
      </c>
      <c r="BL8" s="59">
        <v>3</v>
      </c>
      <c r="BM8" s="59">
        <v>3</v>
      </c>
      <c r="BN8" s="59">
        <v>3</v>
      </c>
      <c r="BO8" s="59">
        <v>3</v>
      </c>
      <c r="BP8" s="59">
        <v>3</v>
      </c>
      <c r="BQ8" s="59">
        <v>3</v>
      </c>
      <c r="BR8" s="59">
        <v>3</v>
      </c>
      <c r="BS8" s="59">
        <v>3</v>
      </c>
      <c r="BT8" s="59">
        <v>3</v>
      </c>
      <c r="BU8" s="59">
        <v>3</v>
      </c>
      <c r="BV8" s="59">
        <v>3</v>
      </c>
      <c r="BW8" s="59">
        <v>3</v>
      </c>
      <c r="BX8" s="59">
        <v>3</v>
      </c>
      <c r="BY8" s="59">
        <v>3</v>
      </c>
      <c r="BZ8" s="59">
        <v>3</v>
      </c>
      <c r="CA8" s="59">
        <v>3</v>
      </c>
      <c r="CB8" s="59">
        <v>3</v>
      </c>
      <c r="CC8" s="59">
        <v>3</v>
      </c>
      <c r="CD8" s="59">
        <v>3</v>
      </c>
      <c r="CE8" s="59">
        <v>3</v>
      </c>
      <c r="CF8" s="59">
        <v>3</v>
      </c>
      <c r="CG8" s="59">
        <v>3</v>
      </c>
      <c r="CH8" s="59">
        <v>3</v>
      </c>
      <c r="CI8" s="59">
        <v>3</v>
      </c>
      <c r="CJ8" s="59">
        <v>3</v>
      </c>
      <c r="CK8" s="59">
        <v>3</v>
      </c>
      <c r="CL8" s="59">
        <v>3</v>
      </c>
      <c r="CM8" s="59">
        <v>3</v>
      </c>
      <c r="CN8" s="59">
        <v>3</v>
      </c>
      <c r="CO8" s="59">
        <v>3</v>
      </c>
      <c r="CP8" s="59">
        <v>3</v>
      </c>
      <c r="CQ8" s="59">
        <v>3</v>
      </c>
      <c r="CR8" s="59">
        <v>3</v>
      </c>
      <c r="CS8" s="59">
        <v>3</v>
      </c>
      <c r="CT8" s="59">
        <v>3</v>
      </c>
      <c r="CU8" s="59">
        <v>3</v>
      </c>
      <c r="CV8" s="59">
        <v>3</v>
      </c>
      <c r="CW8" s="59">
        <v>3</v>
      </c>
      <c r="CX8" s="59">
        <v>3</v>
      </c>
      <c r="CY8" s="59">
        <v>3</v>
      </c>
      <c r="CZ8" s="59">
        <v>3</v>
      </c>
      <c r="DA8" s="59">
        <v>3</v>
      </c>
      <c r="DB8" s="59">
        <v>3</v>
      </c>
      <c r="DC8" s="59">
        <v>3</v>
      </c>
      <c r="DD8" s="59">
        <v>3</v>
      </c>
      <c r="DE8" s="59">
        <v>3</v>
      </c>
      <c r="DF8" s="59">
        <v>3</v>
      </c>
      <c r="DG8" s="59">
        <v>3</v>
      </c>
      <c r="DH8" s="59">
        <v>3</v>
      </c>
      <c r="DI8" s="59">
        <v>3</v>
      </c>
      <c r="DJ8" s="59">
        <v>3</v>
      </c>
      <c r="DK8" s="59">
        <v>3</v>
      </c>
      <c r="DL8" s="59">
        <v>3</v>
      </c>
      <c r="DM8" s="59">
        <v>3</v>
      </c>
      <c r="DN8" s="59">
        <v>3</v>
      </c>
      <c r="DO8" s="59">
        <v>3</v>
      </c>
      <c r="DP8" s="59">
        <v>3</v>
      </c>
      <c r="DQ8" s="59">
        <v>3</v>
      </c>
      <c r="DR8" s="59">
        <v>3</v>
      </c>
      <c r="DS8" s="59">
        <v>3</v>
      </c>
      <c r="DT8" s="59">
        <v>3</v>
      </c>
      <c r="DU8" s="59">
        <v>3</v>
      </c>
      <c r="DV8" s="59">
        <v>3</v>
      </c>
      <c r="DW8" s="59">
        <v>3</v>
      </c>
      <c r="DX8" s="59">
        <v>3</v>
      </c>
      <c r="DY8" s="59">
        <v>3</v>
      </c>
      <c r="DZ8" s="59">
        <v>3</v>
      </c>
      <c r="EA8" s="59">
        <v>3</v>
      </c>
      <c r="EB8" s="59">
        <v>3</v>
      </c>
      <c r="EC8" s="59">
        <v>3</v>
      </c>
      <c r="ED8" s="59">
        <v>3</v>
      </c>
      <c r="EE8" s="59">
        <v>3</v>
      </c>
      <c r="EF8" s="59">
        <v>3</v>
      </c>
      <c r="EG8" s="59">
        <v>3</v>
      </c>
      <c r="EH8" s="59">
        <v>3</v>
      </c>
      <c r="EI8" s="59">
        <v>3</v>
      </c>
      <c r="EJ8" s="59">
        <v>3</v>
      </c>
      <c r="EK8" s="59">
        <v>3</v>
      </c>
      <c r="EL8" s="59">
        <v>3</v>
      </c>
      <c r="EM8" s="59">
        <v>3</v>
      </c>
      <c r="EN8" s="59">
        <v>3</v>
      </c>
      <c r="EO8" s="59">
        <v>3</v>
      </c>
      <c r="EP8" s="59">
        <v>3</v>
      </c>
      <c r="EQ8" s="59">
        <v>3</v>
      </c>
      <c r="ER8" s="59">
        <v>3</v>
      </c>
      <c r="ES8" s="59">
        <v>3</v>
      </c>
      <c r="ET8" s="59">
        <v>3</v>
      </c>
      <c r="EU8" s="59">
        <v>3</v>
      </c>
      <c r="EV8" s="59">
        <v>3</v>
      </c>
      <c r="EW8" s="59">
        <v>3</v>
      </c>
      <c r="EX8" s="59">
        <v>3</v>
      </c>
      <c r="EY8" s="59">
        <v>3</v>
      </c>
      <c r="EZ8" s="59">
        <v>3</v>
      </c>
      <c r="FA8" s="59">
        <v>3</v>
      </c>
      <c r="FB8" s="59">
        <v>3</v>
      </c>
      <c r="FC8" s="59">
        <v>3</v>
      </c>
      <c r="FD8" s="59">
        <v>3</v>
      </c>
      <c r="FE8" s="59">
        <v>3</v>
      </c>
      <c r="FF8" s="59">
        <v>3</v>
      </c>
      <c r="FG8" s="59">
        <v>3</v>
      </c>
      <c r="FH8" s="59">
        <v>3</v>
      </c>
      <c r="FI8" s="59">
        <v>3</v>
      </c>
      <c r="FJ8" s="59">
        <v>3</v>
      </c>
      <c r="FK8" s="59">
        <v>3</v>
      </c>
      <c r="FL8" s="59">
        <v>3</v>
      </c>
      <c r="FM8" s="59">
        <v>3</v>
      </c>
      <c r="FN8" s="60"/>
    </row>
    <row r="9" spans="1:181" s="54" customFormat="1" ht="11.25">
      <c r="A9" s="54" t="s">
        <v>446</v>
      </c>
      <c r="AL9" s="54">
        <v>2</v>
      </c>
      <c r="AM9" s="54">
        <v>2</v>
      </c>
      <c r="AN9" s="54">
        <v>2</v>
      </c>
      <c r="AO9" s="54">
        <v>2</v>
      </c>
      <c r="AP9" s="54">
        <v>2</v>
      </c>
      <c r="AQ9" s="54">
        <v>2</v>
      </c>
      <c r="AR9" s="54">
        <v>2</v>
      </c>
      <c r="AS9" s="54">
        <v>2</v>
      </c>
      <c r="AT9" s="54">
        <v>2</v>
      </c>
      <c r="AU9" s="54">
        <v>2</v>
      </c>
      <c r="AV9" s="54">
        <v>2</v>
      </c>
      <c r="AW9" s="54">
        <v>2</v>
      </c>
      <c r="AX9" s="54">
        <v>2</v>
      </c>
      <c r="AY9" s="54">
        <v>2</v>
      </c>
      <c r="AZ9" s="54">
        <v>2</v>
      </c>
      <c r="BA9" s="54">
        <v>2</v>
      </c>
      <c r="BB9" s="54">
        <v>2</v>
      </c>
      <c r="BC9" s="54">
        <v>2</v>
      </c>
      <c r="BD9" s="54">
        <v>2</v>
      </c>
      <c r="BE9" s="54">
        <v>2</v>
      </c>
      <c r="BF9" s="54">
        <v>2</v>
      </c>
      <c r="BG9" s="54">
        <v>2</v>
      </c>
      <c r="BH9" s="54">
        <v>2</v>
      </c>
      <c r="BI9" s="54">
        <v>2</v>
      </c>
      <c r="BJ9" s="54">
        <v>2</v>
      </c>
      <c r="BK9" s="54">
        <v>2</v>
      </c>
      <c r="BL9" s="54">
        <v>2</v>
      </c>
      <c r="BM9" s="54">
        <v>2</v>
      </c>
      <c r="BN9" s="54">
        <v>2</v>
      </c>
      <c r="BO9" s="54">
        <v>2</v>
      </c>
      <c r="BP9" s="54">
        <v>2</v>
      </c>
      <c r="BQ9" s="54">
        <v>2</v>
      </c>
      <c r="BR9" s="54">
        <v>2</v>
      </c>
      <c r="BS9" s="54">
        <v>2</v>
      </c>
      <c r="BT9" s="54">
        <v>2</v>
      </c>
      <c r="BU9" s="54">
        <v>2</v>
      </c>
      <c r="BV9" s="54">
        <v>2</v>
      </c>
      <c r="BW9" s="54">
        <v>2</v>
      </c>
      <c r="BX9" s="54">
        <v>2</v>
      </c>
      <c r="BY9" s="54">
        <v>2</v>
      </c>
      <c r="BZ9" s="54">
        <v>2</v>
      </c>
      <c r="CA9" s="54">
        <v>2</v>
      </c>
      <c r="CB9" s="54">
        <v>2</v>
      </c>
      <c r="CC9" s="54">
        <v>2</v>
      </c>
      <c r="CD9" s="54">
        <v>2</v>
      </c>
      <c r="CE9" s="54">
        <v>2</v>
      </c>
      <c r="CF9" s="54">
        <v>2</v>
      </c>
      <c r="CG9" s="54">
        <v>2</v>
      </c>
      <c r="CH9" s="54">
        <v>2</v>
      </c>
      <c r="CI9" s="54">
        <v>2</v>
      </c>
      <c r="CJ9" s="54">
        <v>2</v>
      </c>
      <c r="CK9" s="54">
        <v>2</v>
      </c>
      <c r="CL9" s="54">
        <v>2</v>
      </c>
      <c r="CM9" s="54">
        <v>2</v>
      </c>
      <c r="CN9" s="54">
        <v>2</v>
      </c>
      <c r="CO9" s="54">
        <v>2</v>
      </c>
      <c r="CP9" s="54">
        <v>2</v>
      </c>
      <c r="CQ9" s="54">
        <v>2</v>
      </c>
      <c r="CR9" s="54">
        <v>2</v>
      </c>
      <c r="CS9" s="54">
        <v>2</v>
      </c>
      <c r="CT9" s="54">
        <v>2</v>
      </c>
      <c r="CU9" s="54">
        <v>2</v>
      </c>
      <c r="CV9" s="54">
        <v>2</v>
      </c>
      <c r="CW9" s="54">
        <v>2</v>
      </c>
      <c r="CX9" s="54">
        <v>2</v>
      </c>
      <c r="CY9" s="54">
        <v>2</v>
      </c>
      <c r="CZ9" s="54">
        <v>2</v>
      </c>
      <c r="DA9" s="54">
        <v>2</v>
      </c>
      <c r="DB9" s="54">
        <v>2</v>
      </c>
      <c r="DC9" s="54">
        <v>2</v>
      </c>
      <c r="DD9" s="54">
        <v>2</v>
      </c>
      <c r="DE9" s="54">
        <v>2</v>
      </c>
      <c r="DF9" s="54">
        <v>2</v>
      </c>
      <c r="DG9" s="54">
        <v>2</v>
      </c>
      <c r="DH9" s="54">
        <v>2</v>
      </c>
      <c r="DI9" s="54">
        <v>2</v>
      </c>
      <c r="DJ9" s="54">
        <v>2</v>
      </c>
      <c r="DK9" s="54">
        <v>2</v>
      </c>
      <c r="DL9" s="54">
        <v>2</v>
      </c>
      <c r="DM9" s="54">
        <v>2</v>
      </c>
      <c r="DN9" s="54">
        <v>2</v>
      </c>
      <c r="DO9" s="54">
        <v>2</v>
      </c>
      <c r="DP9" s="54">
        <v>2</v>
      </c>
      <c r="DQ9" s="54">
        <v>2</v>
      </c>
      <c r="DR9" s="54">
        <v>2</v>
      </c>
      <c r="DS9" s="54">
        <v>2</v>
      </c>
      <c r="DT9" s="54">
        <v>2</v>
      </c>
      <c r="DU9" s="54">
        <v>2</v>
      </c>
      <c r="DV9" s="54">
        <v>2</v>
      </c>
      <c r="DW9" s="54">
        <v>2</v>
      </c>
      <c r="DX9" s="54">
        <v>2</v>
      </c>
      <c r="DY9" s="54">
        <v>2</v>
      </c>
      <c r="DZ9" s="54">
        <v>2</v>
      </c>
      <c r="EA9" s="54">
        <v>2</v>
      </c>
      <c r="EB9" s="54">
        <v>2</v>
      </c>
      <c r="EC9" s="54">
        <v>2</v>
      </c>
      <c r="ED9" s="54">
        <v>2</v>
      </c>
      <c r="EE9" s="54">
        <v>2</v>
      </c>
      <c r="EF9" s="54">
        <v>2</v>
      </c>
      <c r="EG9" s="54">
        <v>2</v>
      </c>
      <c r="EH9" s="54">
        <v>2</v>
      </c>
      <c r="EI9" s="54">
        <v>2</v>
      </c>
      <c r="EJ9" s="54">
        <v>2</v>
      </c>
      <c r="EK9" s="54">
        <v>2</v>
      </c>
      <c r="EL9" s="54">
        <v>2</v>
      </c>
      <c r="EM9" s="54">
        <v>2</v>
      </c>
      <c r="EN9" s="54">
        <v>2</v>
      </c>
      <c r="EO9" s="54">
        <v>2</v>
      </c>
      <c r="EP9" s="54">
        <v>2</v>
      </c>
      <c r="EQ9" s="54">
        <v>2</v>
      </c>
      <c r="ER9" s="54">
        <v>2</v>
      </c>
      <c r="ES9" s="54">
        <v>2</v>
      </c>
      <c r="ET9" s="54">
        <v>2</v>
      </c>
      <c r="EU9" s="54">
        <v>2</v>
      </c>
      <c r="EV9" s="54">
        <v>2</v>
      </c>
      <c r="EW9" s="54">
        <v>2</v>
      </c>
      <c r="EX9" s="54">
        <v>2</v>
      </c>
      <c r="EY9" s="54">
        <v>2</v>
      </c>
      <c r="EZ9" s="54">
        <v>2</v>
      </c>
      <c r="FA9" s="54">
        <v>2</v>
      </c>
      <c r="FB9" s="54">
        <v>2</v>
      </c>
      <c r="FC9" s="54">
        <v>2</v>
      </c>
      <c r="FD9" s="54">
        <v>2</v>
      </c>
      <c r="FE9" s="54">
        <v>2</v>
      </c>
      <c r="FF9" s="54">
        <v>2</v>
      </c>
      <c r="FG9" s="54">
        <v>2</v>
      </c>
      <c r="FH9" s="54">
        <v>2</v>
      </c>
      <c r="FI9" s="54">
        <v>2</v>
      </c>
      <c r="FJ9" s="54">
        <v>2</v>
      </c>
      <c r="FK9" s="54">
        <v>2</v>
      </c>
      <c r="FL9" s="54">
        <v>2</v>
      </c>
      <c r="FM9" s="54">
        <v>2</v>
      </c>
      <c r="FN9" s="55"/>
    </row>
    <row r="10" spans="1:181" s="54" customFormat="1" ht="11.25">
      <c r="AX10" s="55"/>
      <c r="BJ10" s="55"/>
      <c r="BV10" s="55"/>
      <c r="CH10" s="55"/>
      <c r="CT10" s="55"/>
      <c r="DF10" s="55"/>
      <c r="DG10" s="56"/>
      <c r="DR10" s="55"/>
      <c r="DS10" s="56"/>
      <c r="ED10" s="55"/>
      <c r="EE10" s="56"/>
      <c r="EP10" s="55"/>
      <c r="EQ10" s="56"/>
      <c r="FB10" s="55"/>
      <c r="FC10" s="56"/>
      <c r="FN10" s="55"/>
      <c r="FO10" s="56"/>
    </row>
    <row r="11" spans="1:181" s="54" customFormat="1" ht="34.5" thickBot="1">
      <c r="A11" s="62" t="s">
        <v>447</v>
      </c>
      <c r="AX11" s="55"/>
      <c r="BJ11" s="55"/>
      <c r="BV11" s="55"/>
      <c r="CH11" s="55"/>
      <c r="CT11" s="55"/>
      <c r="DF11" s="55"/>
      <c r="DG11" s="56"/>
      <c r="DR11" s="55"/>
      <c r="ED11" s="55"/>
      <c r="EP11" s="55"/>
      <c r="FB11" s="55"/>
      <c r="FN11" s="55"/>
    </row>
    <row r="12" spans="1:181" s="54" customFormat="1" ht="11.25">
      <c r="A12" s="54" t="s">
        <v>442</v>
      </c>
      <c r="B12" s="54">
        <v>8</v>
      </c>
      <c r="C12" s="54">
        <v>8</v>
      </c>
      <c r="D12" s="54">
        <v>8</v>
      </c>
      <c r="E12" s="54">
        <v>8</v>
      </c>
      <c r="F12" s="54">
        <v>8</v>
      </c>
      <c r="G12" s="54">
        <v>8</v>
      </c>
      <c r="H12" s="54">
        <v>8</v>
      </c>
      <c r="I12" s="54">
        <v>8</v>
      </c>
      <c r="J12" s="54">
        <v>8</v>
      </c>
      <c r="K12" s="54">
        <v>8</v>
      </c>
      <c r="L12" s="54">
        <v>8</v>
      </c>
      <c r="M12" s="54">
        <v>8</v>
      </c>
      <c r="N12" s="54">
        <v>7</v>
      </c>
      <c r="O12" s="54">
        <v>7</v>
      </c>
      <c r="P12" s="54">
        <v>7</v>
      </c>
      <c r="Q12" s="54">
        <v>7</v>
      </c>
      <c r="R12" s="54">
        <v>7</v>
      </c>
      <c r="S12" s="54">
        <v>7</v>
      </c>
      <c r="T12" s="54">
        <v>7</v>
      </c>
      <c r="U12" s="54">
        <v>7</v>
      </c>
      <c r="V12" s="54">
        <v>7</v>
      </c>
      <c r="W12" s="54">
        <v>7</v>
      </c>
      <c r="X12" s="54">
        <v>7</v>
      </c>
      <c r="Y12" s="54">
        <v>7</v>
      </c>
      <c r="Z12" s="54">
        <v>6.5</v>
      </c>
      <c r="AA12" s="54">
        <v>6.5</v>
      </c>
      <c r="AB12" s="54">
        <v>6.5</v>
      </c>
      <c r="AC12" s="54">
        <v>6.5</v>
      </c>
      <c r="AD12" s="54">
        <v>6.5</v>
      </c>
      <c r="AE12" s="54">
        <v>6.5</v>
      </c>
      <c r="AF12" s="54">
        <v>6.5</v>
      </c>
      <c r="AG12" s="54">
        <v>6.5</v>
      </c>
      <c r="AH12" s="54">
        <v>6.5</v>
      </c>
      <c r="AI12" s="54">
        <v>6.5</v>
      </c>
      <c r="AJ12" s="54">
        <v>6.5</v>
      </c>
      <c r="AK12" s="54">
        <v>6.5</v>
      </c>
      <c r="AL12" s="54">
        <v>6.5</v>
      </c>
      <c r="AM12" s="54">
        <v>6.5</v>
      </c>
      <c r="AN12" s="54">
        <v>6.5</v>
      </c>
      <c r="AO12" s="54">
        <v>6.5</v>
      </c>
      <c r="AP12" s="54">
        <v>6.5</v>
      </c>
      <c r="AQ12" s="54">
        <v>6.5</v>
      </c>
      <c r="AR12" s="54">
        <v>6.5</v>
      </c>
      <c r="AS12" s="54">
        <v>6.5</v>
      </c>
      <c r="AT12" s="54">
        <v>6.5</v>
      </c>
      <c r="AU12" s="54">
        <v>6.5</v>
      </c>
      <c r="AV12" s="54">
        <v>6.5</v>
      </c>
      <c r="AW12" s="54">
        <v>6.5</v>
      </c>
      <c r="AX12" s="55">
        <v>6.5</v>
      </c>
      <c r="AY12" s="54">
        <v>6.5</v>
      </c>
      <c r="AZ12" s="54">
        <v>6.5</v>
      </c>
      <c r="BA12" s="54">
        <v>6.5</v>
      </c>
      <c r="BB12" s="54">
        <v>6.5</v>
      </c>
      <c r="BC12" s="54">
        <v>6.5</v>
      </c>
      <c r="BD12" s="54">
        <v>6.5</v>
      </c>
      <c r="BE12" s="54">
        <v>6.5</v>
      </c>
      <c r="BF12" s="54">
        <v>6.5</v>
      </c>
      <c r="BG12" s="54">
        <v>6.5</v>
      </c>
      <c r="BH12" s="54">
        <v>6.5</v>
      </c>
      <c r="BI12" s="54">
        <v>6.5</v>
      </c>
      <c r="BJ12" s="55">
        <v>6.5</v>
      </c>
      <c r="BK12" s="54">
        <v>6.5</v>
      </c>
      <c r="BL12" s="54">
        <v>6.5</v>
      </c>
      <c r="BM12" s="54">
        <v>6.5</v>
      </c>
      <c r="BN12" s="54">
        <v>6.5</v>
      </c>
      <c r="BO12" s="54">
        <v>6.5</v>
      </c>
      <c r="BP12" s="54">
        <v>6.5</v>
      </c>
      <c r="BQ12" s="54">
        <v>6.5</v>
      </c>
      <c r="BR12" s="54">
        <v>6.5</v>
      </c>
      <c r="BS12" s="54">
        <v>6.5</v>
      </c>
      <c r="BT12" s="54">
        <v>6.5</v>
      </c>
      <c r="BU12" s="54">
        <v>6.5</v>
      </c>
      <c r="BV12" s="55">
        <v>6.5</v>
      </c>
      <c r="BW12" s="54">
        <v>6.5</v>
      </c>
      <c r="BX12" s="54">
        <v>6.5</v>
      </c>
      <c r="BY12" s="54">
        <v>6.5</v>
      </c>
      <c r="BZ12" s="54">
        <v>6.5</v>
      </c>
      <c r="CA12" s="54">
        <v>6.5</v>
      </c>
      <c r="CB12" s="54">
        <v>6.5</v>
      </c>
      <c r="CC12" s="54">
        <v>6.5</v>
      </c>
      <c r="CD12" s="54">
        <v>6.5</v>
      </c>
      <c r="CE12" s="54">
        <v>6.5</v>
      </c>
      <c r="CF12" s="54">
        <v>6.5</v>
      </c>
      <c r="CG12" s="54">
        <v>6.5</v>
      </c>
      <c r="CH12" s="55">
        <v>6.5</v>
      </c>
      <c r="CI12" s="54">
        <v>6.5</v>
      </c>
      <c r="CJ12" s="54">
        <v>6.5</v>
      </c>
      <c r="CK12" s="54">
        <v>6.5</v>
      </c>
      <c r="CL12" s="54">
        <v>6.5</v>
      </c>
      <c r="CM12" s="54">
        <v>6.5</v>
      </c>
      <c r="CN12" s="54">
        <v>6.5</v>
      </c>
      <c r="CO12" s="54">
        <v>6.5</v>
      </c>
      <c r="CP12" s="54">
        <v>6.5</v>
      </c>
      <c r="CQ12" s="54">
        <v>6.5</v>
      </c>
      <c r="CR12" s="54">
        <v>6.5</v>
      </c>
      <c r="CS12" s="54">
        <v>6.5</v>
      </c>
      <c r="CT12" s="55">
        <v>6.5</v>
      </c>
      <c r="CU12" s="54">
        <v>6.5</v>
      </c>
      <c r="CV12" s="54">
        <v>6.5</v>
      </c>
      <c r="CW12" s="54">
        <v>6.5</v>
      </c>
      <c r="CX12" s="54">
        <v>6.5</v>
      </c>
      <c r="CY12" s="54">
        <v>6.5</v>
      </c>
      <c r="CZ12" s="54">
        <v>6.5</v>
      </c>
      <c r="DA12" s="54">
        <v>6.5</v>
      </c>
      <c r="DB12" s="54">
        <v>6.5</v>
      </c>
      <c r="DC12" s="54">
        <v>6.5</v>
      </c>
      <c r="DD12" s="54">
        <v>6.5</v>
      </c>
      <c r="DE12" s="54">
        <v>6.5</v>
      </c>
      <c r="DF12" s="55">
        <v>6.5</v>
      </c>
      <c r="DG12" s="54">
        <v>6.5</v>
      </c>
      <c r="DH12" s="54">
        <v>6.5</v>
      </c>
      <c r="DI12" s="54">
        <v>6.5</v>
      </c>
      <c r="DJ12" s="54">
        <v>6.5</v>
      </c>
      <c r="DK12" s="54">
        <v>6.5</v>
      </c>
      <c r="DL12" s="54">
        <v>6.5</v>
      </c>
      <c r="DM12" s="54">
        <v>6.5</v>
      </c>
      <c r="DN12" s="54">
        <v>6.5</v>
      </c>
      <c r="DO12" s="54">
        <v>6.5</v>
      </c>
      <c r="DP12" s="54">
        <v>6.5</v>
      </c>
      <c r="DQ12" s="54">
        <v>6.5</v>
      </c>
      <c r="DR12" s="55">
        <v>6.5</v>
      </c>
      <c r="DS12" s="54">
        <v>6.5</v>
      </c>
      <c r="DT12" s="54">
        <v>6.5</v>
      </c>
      <c r="DU12" s="54">
        <v>6.5</v>
      </c>
      <c r="DV12" s="54">
        <v>6.5</v>
      </c>
      <c r="DW12" s="54">
        <v>6.5</v>
      </c>
      <c r="DX12" s="54">
        <v>6.5</v>
      </c>
      <c r="DY12" s="54">
        <v>6.5</v>
      </c>
      <c r="DZ12" s="54">
        <v>6.5</v>
      </c>
      <c r="EA12" s="54">
        <v>6.5</v>
      </c>
      <c r="EB12" s="54">
        <v>6.5</v>
      </c>
      <c r="EC12" s="54">
        <v>6.5</v>
      </c>
      <c r="ED12" s="55">
        <v>6.5</v>
      </c>
      <c r="EE12" s="54">
        <v>6.5</v>
      </c>
      <c r="EF12" s="54">
        <v>6.5</v>
      </c>
      <c r="EG12" s="54">
        <v>6.5</v>
      </c>
      <c r="EH12" s="54">
        <v>6.5</v>
      </c>
      <c r="EI12" s="54">
        <v>6.5</v>
      </c>
      <c r="EJ12" s="54">
        <v>6.5</v>
      </c>
      <c r="EK12" s="54">
        <v>6.5</v>
      </c>
      <c r="EL12" s="54">
        <v>6.5</v>
      </c>
      <c r="EM12" s="54">
        <v>6.5</v>
      </c>
      <c r="EN12" s="54">
        <v>6.5</v>
      </c>
      <c r="EO12" s="54">
        <v>6.5</v>
      </c>
      <c r="EP12" s="55">
        <v>6.5</v>
      </c>
      <c r="EQ12" s="54">
        <v>6.5</v>
      </c>
      <c r="ER12" s="54">
        <v>6.5</v>
      </c>
      <c r="ES12" s="54">
        <v>6.5</v>
      </c>
      <c r="ET12" s="54">
        <v>6.5</v>
      </c>
      <c r="EU12" s="54">
        <v>6.5</v>
      </c>
      <c r="EV12" s="54">
        <v>6.5</v>
      </c>
      <c r="EW12" s="54">
        <v>6.5</v>
      </c>
      <c r="EX12" s="54">
        <v>6.5</v>
      </c>
      <c r="EY12" s="54">
        <v>6.5</v>
      </c>
      <c r="EZ12" s="54">
        <v>6.5</v>
      </c>
      <c r="FA12" s="54">
        <v>6.5</v>
      </c>
      <c r="FB12" s="55">
        <v>6</v>
      </c>
      <c r="FC12" s="54">
        <v>6</v>
      </c>
      <c r="FD12" s="54">
        <v>6</v>
      </c>
      <c r="FE12" s="54">
        <v>6</v>
      </c>
      <c r="FF12" s="54">
        <v>6</v>
      </c>
      <c r="FG12" s="54">
        <v>6</v>
      </c>
      <c r="FH12" s="54">
        <v>6</v>
      </c>
      <c r="FI12" s="54">
        <v>6</v>
      </c>
      <c r="FJ12" s="54">
        <v>6</v>
      </c>
      <c r="FK12" s="54">
        <v>6</v>
      </c>
      <c r="FL12" s="54">
        <v>6</v>
      </c>
      <c r="FM12" s="54">
        <v>6</v>
      </c>
      <c r="FN12" s="55">
        <v>6</v>
      </c>
      <c r="FO12" s="54">
        <v>6</v>
      </c>
      <c r="FP12" s="54">
        <v>6</v>
      </c>
      <c r="FQ12" s="54">
        <v>6</v>
      </c>
      <c r="FR12" s="54">
        <v>6</v>
      </c>
      <c r="FS12" s="54">
        <v>6</v>
      </c>
      <c r="FT12" s="54">
        <v>6</v>
      </c>
      <c r="FU12" s="54">
        <v>6</v>
      </c>
      <c r="FV12" s="54">
        <v>6</v>
      </c>
      <c r="FW12" s="54">
        <v>6</v>
      </c>
      <c r="FX12" s="54">
        <v>6</v>
      </c>
      <c r="FY12" s="54">
        <v>6</v>
      </c>
    </row>
    <row r="13" spans="1:181" s="54" customFormat="1" ht="11.25">
      <c r="A13" s="54" t="s">
        <v>443</v>
      </c>
      <c r="B13" s="54">
        <v>4</v>
      </c>
      <c r="C13" s="54">
        <v>4</v>
      </c>
      <c r="D13" s="54">
        <v>4</v>
      </c>
      <c r="E13" s="54">
        <v>4</v>
      </c>
      <c r="F13" s="54">
        <v>4</v>
      </c>
      <c r="G13" s="54">
        <v>4</v>
      </c>
      <c r="H13" s="54">
        <v>4</v>
      </c>
      <c r="I13" s="54">
        <v>4</v>
      </c>
      <c r="J13" s="54">
        <v>4</v>
      </c>
      <c r="K13" s="54">
        <v>4</v>
      </c>
      <c r="L13" s="54">
        <v>4</v>
      </c>
      <c r="M13" s="54">
        <v>4</v>
      </c>
      <c r="N13" s="54">
        <v>4</v>
      </c>
      <c r="O13" s="54">
        <v>4</v>
      </c>
      <c r="P13" s="54">
        <v>4</v>
      </c>
      <c r="Q13" s="54">
        <v>4</v>
      </c>
      <c r="R13" s="54">
        <v>4</v>
      </c>
      <c r="S13" s="54">
        <v>4</v>
      </c>
      <c r="T13" s="54">
        <v>4</v>
      </c>
      <c r="U13" s="54">
        <v>4</v>
      </c>
      <c r="V13" s="54">
        <v>4</v>
      </c>
      <c r="W13" s="54">
        <v>4</v>
      </c>
      <c r="X13" s="54">
        <v>4</v>
      </c>
      <c r="Y13" s="54">
        <v>4</v>
      </c>
      <c r="Z13" s="54">
        <v>4</v>
      </c>
      <c r="AA13" s="54">
        <v>4</v>
      </c>
      <c r="AB13" s="54">
        <v>4</v>
      </c>
      <c r="AC13" s="54">
        <v>4</v>
      </c>
      <c r="AD13" s="54">
        <v>4</v>
      </c>
      <c r="AE13" s="54">
        <v>4</v>
      </c>
      <c r="AF13" s="54">
        <v>4</v>
      </c>
      <c r="AG13" s="54">
        <v>4</v>
      </c>
      <c r="AH13" s="54">
        <v>4</v>
      </c>
      <c r="AI13" s="54">
        <v>4</v>
      </c>
      <c r="AJ13" s="54">
        <v>4</v>
      </c>
      <c r="AK13" s="54">
        <v>4</v>
      </c>
      <c r="AL13" s="54">
        <v>4</v>
      </c>
      <c r="AM13" s="54">
        <v>4</v>
      </c>
      <c r="AN13" s="54">
        <v>4</v>
      </c>
      <c r="AO13" s="54">
        <v>4</v>
      </c>
      <c r="AP13" s="54">
        <v>4</v>
      </c>
      <c r="AQ13" s="54">
        <v>4</v>
      </c>
      <c r="AR13" s="54">
        <v>4</v>
      </c>
      <c r="AS13" s="54">
        <v>4</v>
      </c>
      <c r="AT13" s="54">
        <v>4</v>
      </c>
      <c r="AU13" s="54">
        <v>4</v>
      </c>
      <c r="AV13" s="54">
        <v>4</v>
      </c>
      <c r="AW13" s="54">
        <v>4</v>
      </c>
      <c r="AX13" s="55">
        <v>4</v>
      </c>
      <c r="AY13" s="54">
        <v>4</v>
      </c>
      <c r="AZ13" s="54">
        <v>4</v>
      </c>
      <c r="BA13" s="54">
        <v>4</v>
      </c>
      <c r="BB13" s="54">
        <v>4</v>
      </c>
      <c r="BC13" s="54">
        <v>4</v>
      </c>
      <c r="BD13" s="54">
        <v>4</v>
      </c>
      <c r="BE13" s="54">
        <v>4</v>
      </c>
      <c r="BF13" s="54">
        <v>4</v>
      </c>
      <c r="BG13" s="54">
        <v>4</v>
      </c>
      <c r="BH13" s="54">
        <v>4</v>
      </c>
      <c r="BI13" s="54">
        <v>4</v>
      </c>
      <c r="BJ13" s="55">
        <v>4</v>
      </c>
      <c r="BK13" s="54">
        <v>4</v>
      </c>
      <c r="BL13" s="54">
        <v>4</v>
      </c>
      <c r="BM13" s="54">
        <v>4</v>
      </c>
      <c r="BN13" s="54">
        <v>4</v>
      </c>
      <c r="BO13" s="54">
        <v>4</v>
      </c>
      <c r="BP13" s="54">
        <v>4</v>
      </c>
      <c r="BQ13" s="54">
        <v>4</v>
      </c>
      <c r="BR13" s="54">
        <v>4</v>
      </c>
      <c r="BS13" s="54">
        <v>4</v>
      </c>
      <c r="BT13" s="54">
        <v>4</v>
      </c>
      <c r="BU13" s="54">
        <v>4</v>
      </c>
      <c r="BV13" s="55">
        <v>4</v>
      </c>
      <c r="BW13" s="54">
        <v>4</v>
      </c>
      <c r="BX13" s="54">
        <v>4</v>
      </c>
      <c r="BY13" s="54">
        <v>4</v>
      </c>
      <c r="BZ13" s="54">
        <v>4</v>
      </c>
      <c r="CA13" s="54">
        <v>4</v>
      </c>
      <c r="CB13" s="54">
        <v>4</v>
      </c>
      <c r="CC13" s="54">
        <v>4</v>
      </c>
      <c r="CD13" s="54">
        <v>4</v>
      </c>
      <c r="CE13" s="54">
        <v>4</v>
      </c>
      <c r="CF13" s="54">
        <v>4</v>
      </c>
      <c r="CG13" s="54">
        <v>4</v>
      </c>
      <c r="CH13" s="55">
        <v>4</v>
      </c>
      <c r="CI13" s="54">
        <v>4</v>
      </c>
      <c r="CJ13" s="54">
        <v>4</v>
      </c>
      <c r="CK13" s="54">
        <v>4</v>
      </c>
      <c r="CL13" s="54">
        <v>4</v>
      </c>
      <c r="CM13" s="54">
        <v>4</v>
      </c>
      <c r="CN13" s="54">
        <v>4</v>
      </c>
      <c r="CO13" s="54">
        <v>4</v>
      </c>
      <c r="CP13" s="54">
        <v>4</v>
      </c>
      <c r="CQ13" s="54">
        <v>4</v>
      </c>
      <c r="CR13" s="54">
        <v>4</v>
      </c>
      <c r="CS13" s="54">
        <v>4</v>
      </c>
      <c r="CT13" s="55">
        <v>4</v>
      </c>
      <c r="CU13" s="54">
        <v>4</v>
      </c>
      <c r="CV13" s="54">
        <v>4</v>
      </c>
      <c r="CW13" s="54">
        <v>4</v>
      </c>
      <c r="CX13" s="54">
        <v>4</v>
      </c>
      <c r="CY13" s="54">
        <v>4</v>
      </c>
      <c r="CZ13" s="54">
        <v>4</v>
      </c>
      <c r="DA13" s="54">
        <v>4</v>
      </c>
      <c r="DB13" s="54">
        <v>4</v>
      </c>
      <c r="DC13" s="54">
        <v>4</v>
      </c>
      <c r="DD13" s="54">
        <v>4</v>
      </c>
      <c r="DE13" s="54">
        <v>4</v>
      </c>
      <c r="DF13" s="55">
        <v>4</v>
      </c>
      <c r="DG13" s="56">
        <v>4</v>
      </c>
      <c r="DH13" s="54">
        <v>4</v>
      </c>
      <c r="DI13" s="54">
        <v>4</v>
      </c>
      <c r="DJ13" s="54">
        <v>4</v>
      </c>
      <c r="DK13" s="54">
        <v>4</v>
      </c>
      <c r="DL13" s="54">
        <v>4</v>
      </c>
      <c r="DM13" s="54">
        <v>4</v>
      </c>
      <c r="DN13" s="54">
        <v>4</v>
      </c>
      <c r="DO13" s="54">
        <v>4</v>
      </c>
      <c r="DP13" s="54">
        <v>4</v>
      </c>
      <c r="DQ13" s="54">
        <v>4</v>
      </c>
      <c r="DR13" s="55">
        <v>4</v>
      </c>
      <c r="DS13" s="54">
        <v>4</v>
      </c>
      <c r="DT13" s="54">
        <v>4</v>
      </c>
      <c r="DU13" s="54">
        <v>4</v>
      </c>
      <c r="DV13" s="54">
        <v>4</v>
      </c>
      <c r="DW13" s="54">
        <v>4</v>
      </c>
      <c r="DX13" s="54">
        <v>4</v>
      </c>
      <c r="DY13" s="54">
        <v>4</v>
      </c>
      <c r="DZ13" s="54">
        <v>4</v>
      </c>
      <c r="EA13" s="54">
        <v>4</v>
      </c>
      <c r="EB13" s="54">
        <v>4</v>
      </c>
      <c r="EC13" s="54">
        <v>4</v>
      </c>
      <c r="ED13" s="55">
        <v>4</v>
      </c>
      <c r="EE13" s="54">
        <v>4</v>
      </c>
      <c r="EF13" s="54">
        <v>4</v>
      </c>
      <c r="EG13" s="54">
        <v>4</v>
      </c>
      <c r="EH13" s="54">
        <v>4</v>
      </c>
      <c r="EI13" s="54">
        <v>4</v>
      </c>
      <c r="EJ13" s="54">
        <v>4</v>
      </c>
      <c r="EK13" s="54">
        <v>4</v>
      </c>
      <c r="EL13" s="54">
        <v>4</v>
      </c>
      <c r="EM13" s="54">
        <v>4</v>
      </c>
      <c r="EN13" s="54">
        <v>4</v>
      </c>
      <c r="EO13" s="54">
        <v>4</v>
      </c>
      <c r="EP13" s="55">
        <v>4</v>
      </c>
      <c r="EQ13" s="54">
        <v>4</v>
      </c>
      <c r="ER13" s="54">
        <v>4</v>
      </c>
      <c r="ES13" s="54">
        <v>4</v>
      </c>
      <c r="ET13" s="54">
        <v>4</v>
      </c>
      <c r="EU13" s="54">
        <v>4</v>
      </c>
      <c r="EV13" s="54">
        <v>4</v>
      </c>
      <c r="EW13" s="54">
        <v>4</v>
      </c>
      <c r="EX13" s="54">
        <v>4</v>
      </c>
      <c r="EY13" s="54">
        <v>4</v>
      </c>
      <c r="EZ13" s="54">
        <v>4</v>
      </c>
      <c r="FA13" s="54">
        <v>4</v>
      </c>
      <c r="FB13" s="55">
        <v>4</v>
      </c>
      <c r="FC13" s="54">
        <v>4</v>
      </c>
      <c r="FD13" s="54">
        <v>4</v>
      </c>
      <c r="FE13" s="54">
        <v>4</v>
      </c>
      <c r="FF13" s="54">
        <v>4</v>
      </c>
      <c r="FG13" s="54">
        <v>4</v>
      </c>
      <c r="FH13" s="54">
        <v>4</v>
      </c>
      <c r="FI13" s="54">
        <v>4</v>
      </c>
      <c r="FJ13" s="54">
        <v>4</v>
      </c>
      <c r="FK13" s="54">
        <v>4</v>
      </c>
      <c r="FL13" s="54">
        <v>4</v>
      </c>
      <c r="FM13" s="54">
        <v>4</v>
      </c>
      <c r="FN13" s="55">
        <v>4</v>
      </c>
      <c r="FO13" s="54">
        <v>4</v>
      </c>
      <c r="FP13" s="54">
        <v>4</v>
      </c>
      <c r="FQ13" s="54">
        <v>4</v>
      </c>
      <c r="FR13" s="54">
        <v>4</v>
      </c>
      <c r="FS13" s="54">
        <v>4</v>
      </c>
      <c r="FT13" s="54">
        <v>4</v>
      </c>
      <c r="FU13" s="54">
        <v>4</v>
      </c>
      <c r="FV13" s="54">
        <v>4</v>
      </c>
      <c r="FW13" s="54">
        <v>4</v>
      </c>
      <c r="FX13" s="54">
        <v>4</v>
      </c>
      <c r="FY13" s="54">
        <v>4</v>
      </c>
    </row>
    <row r="14" spans="1:181" s="54" customFormat="1" ht="11.25">
      <c r="A14" s="54" t="s">
        <v>444</v>
      </c>
      <c r="B14" s="54">
        <v>6</v>
      </c>
      <c r="C14" s="54">
        <v>6</v>
      </c>
      <c r="D14" s="54">
        <v>6</v>
      </c>
      <c r="E14" s="54">
        <v>6</v>
      </c>
      <c r="F14" s="54">
        <v>6</v>
      </c>
      <c r="G14" s="54">
        <v>6</v>
      </c>
      <c r="H14" s="54">
        <v>6</v>
      </c>
      <c r="I14" s="54">
        <v>6</v>
      </c>
      <c r="J14" s="54">
        <v>6</v>
      </c>
      <c r="K14" s="54">
        <v>6</v>
      </c>
      <c r="L14" s="54">
        <v>6</v>
      </c>
      <c r="M14" s="54">
        <v>6</v>
      </c>
      <c r="N14" s="54">
        <v>5.5</v>
      </c>
      <c r="O14" s="54">
        <v>5.5</v>
      </c>
      <c r="P14" s="54">
        <v>5.5</v>
      </c>
      <c r="Q14" s="54">
        <v>5.5</v>
      </c>
      <c r="R14" s="54">
        <v>5.5</v>
      </c>
      <c r="S14" s="54">
        <v>5.5</v>
      </c>
      <c r="T14" s="54">
        <v>5.5</v>
      </c>
      <c r="U14" s="54">
        <v>5.5</v>
      </c>
      <c r="V14" s="54">
        <v>5.5</v>
      </c>
      <c r="W14" s="54">
        <v>5.5</v>
      </c>
      <c r="X14" s="54">
        <v>5.5</v>
      </c>
      <c r="Y14" s="54">
        <v>5.5</v>
      </c>
      <c r="Z14" s="54">
        <v>5</v>
      </c>
      <c r="AA14" s="54">
        <v>5</v>
      </c>
      <c r="AB14" s="54">
        <v>5</v>
      </c>
      <c r="AC14" s="54">
        <v>5</v>
      </c>
      <c r="AD14" s="54">
        <v>5</v>
      </c>
      <c r="AE14" s="54">
        <v>5</v>
      </c>
      <c r="AF14" s="54">
        <v>5</v>
      </c>
      <c r="AG14" s="54">
        <v>5</v>
      </c>
      <c r="AH14" s="54">
        <v>5</v>
      </c>
      <c r="AI14" s="54">
        <v>5</v>
      </c>
      <c r="AJ14" s="54">
        <v>5</v>
      </c>
      <c r="AK14" s="54">
        <v>5</v>
      </c>
      <c r="AL14" s="54">
        <v>4.5</v>
      </c>
      <c r="AM14" s="54">
        <v>4.5</v>
      </c>
      <c r="AN14" s="54">
        <v>4.5</v>
      </c>
      <c r="AO14" s="54">
        <v>4.5</v>
      </c>
      <c r="AP14" s="54">
        <v>4.5</v>
      </c>
      <c r="AQ14" s="54">
        <v>4.5</v>
      </c>
      <c r="AR14" s="54">
        <v>4.5</v>
      </c>
      <c r="AS14" s="54">
        <v>4.5</v>
      </c>
      <c r="AT14" s="54">
        <v>4.5</v>
      </c>
      <c r="AU14" s="54">
        <v>4.5</v>
      </c>
      <c r="AV14" s="54">
        <v>4.5</v>
      </c>
      <c r="AW14" s="54">
        <v>4.5</v>
      </c>
      <c r="AX14" s="55">
        <v>4.5</v>
      </c>
      <c r="AY14" s="54">
        <v>4.5</v>
      </c>
      <c r="AZ14" s="54">
        <v>4.5</v>
      </c>
      <c r="BA14" s="54">
        <v>4.5</v>
      </c>
      <c r="BB14" s="54">
        <v>4.5</v>
      </c>
      <c r="BC14" s="54">
        <v>4.5</v>
      </c>
      <c r="BD14" s="54">
        <v>4.5</v>
      </c>
      <c r="BE14" s="54">
        <v>4.5</v>
      </c>
      <c r="BF14" s="54">
        <v>4.5</v>
      </c>
      <c r="BG14" s="54">
        <v>4.5</v>
      </c>
      <c r="BH14" s="54">
        <v>4.5</v>
      </c>
      <c r="BI14" s="54">
        <v>4.5</v>
      </c>
      <c r="BJ14" s="55">
        <v>5.5</v>
      </c>
      <c r="BK14" s="54">
        <v>5.5</v>
      </c>
      <c r="BL14" s="54">
        <v>5.5</v>
      </c>
      <c r="BM14" s="54">
        <v>5.5</v>
      </c>
      <c r="BN14" s="54">
        <v>5.5</v>
      </c>
      <c r="BO14" s="54">
        <v>5.5</v>
      </c>
      <c r="BP14" s="54">
        <v>5.5</v>
      </c>
      <c r="BQ14" s="54">
        <v>5.5</v>
      </c>
      <c r="BR14" s="54">
        <v>5.5</v>
      </c>
      <c r="BS14" s="54">
        <v>5.5</v>
      </c>
      <c r="BT14" s="54">
        <v>5.5</v>
      </c>
      <c r="BU14" s="54">
        <v>5.5</v>
      </c>
      <c r="BV14" s="55">
        <v>4</v>
      </c>
      <c r="BW14" s="54">
        <v>4</v>
      </c>
      <c r="BX14" s="54">
        <v>4</v>
      </c>
      <c r="BY14" s="54">
        <v>4</v>
      </c>
      <c r="BZ14" s="54">
        <v>4</v>
      </c>
      <c r="CA14" s="54">
        <v>4</v>
      </c>
      <c r="CB14" s="54">
        <v>4</v>
      </c>
      <c r="CC14" s="54">
        <v>4</v>
      </c>
      <c r="CD14" s="54">
        <v>4</v>
      </c>
      <c r="CE14" s="54">
        <v>4</v>
      </c>
      <c r="CF14" s="54">
        <v>4</v>
      </c>
      <c r="CG14" s="54">
        <v>4</v>
      </c>
      <c r="CH14" s="55">
        <v>4</v>
      </c>
      <c r="CI14" s="54">
        <v>4</v>
      </c>
      <c r="CJ14" s="54">
        <v>4</v>
      </c>
      <c r="CK14" s="54">
        <v>4</v>
      </c>
      <c r="CL14" s="54">
        <v>4</v>
      </c>
      <c r="CM14" s="54">
        <v>4</v>
      </c>
      <c r="CN14" s="54">
        <v>4</v>
      </c>
      <c r="CO14" s="54">
        <v>4</v>
      </c>
      <c r="CP14" s="54">
        <v>4</v>
      </c>
      <c r="CQ14" s="54">
        <v>4</v>
      </c>
      <c r="CR14" s="54">
        <v>4</v>
      </c>
      <c r="CS14" s="54">
        <v>4</v>
      </c>
      <c r="CT14" s="55">
        <v>4</v>
      </c>
      <c r="CU14" s="54">
        <v>4</v>
      </c>
      <c r="CV14" s="54">
        <v>4</v>
      </c>
      <c r="CW14" s="54">
        <v>4</v>
      </c>
      <c r="CX14" s="54">
        <v>4</v>
      </c>
      <c r="CY14" s="54">
        <v>4</v>
      </c>
      <c r="CZ14" s="54">
        <v>4</v>
      </c>
      <c r="DA14" s="54">
        <v>4</v>
      </c>
      <c r="DB14" s="54">
        <v>4</v>
      </c>
      <c r="DC14" s="54">
        <v>4</v>
      </c>
      <c r="DD14" s="54">
        <v>4</v>
      </c>
      <c r="DE14" s="54">
        <v>4</v>
      </c>
      <c r="DF14" s="55">
        <v>4</v>
      </c>
      <c r="DG14" s="56">
        <v>4</v>
      </c>
      <c r="DH14" s="54">
        <v>4</v>
      </c>
      <c r="DI14" s="54">
        <v>4</v>
      </c>
      <c r="DJ14" s="54">
        <v>4</v>
      </c>
      <c r="DK14" s="54">
        <v>4</v>
      </c>
      <c r="DL14" s="54">
        <v>4</v>
      </c>
      <c r="DM14" s="54">
        <v>4</v>
      </c>
      <c r="DN14" s="54">
        <v>4</v>
      </c>
      <c r="DO14" s="54">
        <v>4</v>
      </c>
      <c r="DP14" s="54">
        <v>4</v>
      </c>
      <c r="DQ14" s="54">
        <v>4</v>
      </c>
      <c r="DR14" s="55">
        <v>4</v>
      </c>
      <c r="DS14" s="54">
        <v>4</v>
      </c>
      <c r="DT14" s="54">
        <v>4</v>
      </c>
      <c r="DU14" s="54">
        <v>4</v>
      </c>
      <c r="DV14" s="54">
        <v>4</v>
      </c>
      <c r="DW14" s="54">
        <v>4</v>
      </c>
      <c r="DX14" s="54">
        <v>4</v>
      </c>
      <c r="DY14" s="54">
        <v>4</v>
      </c>
      <c r="DZ14" s="54">
        <v>4</v>
      </c>
      <c r="EA14" s="54">
        <v>4</v>
      </c>
      <c r="EB14" s="54">
        <v>4</v>
      </c>
      <c r="EC14" s="54">
        <v>4</v>
      </c>
      <c r="ED14" s="55">
        <v>4</v>
      </c>
      <c r="EE14" s="54">
        <v>4</v>
      </c>
      <c r="EF14" s="54">
        <v>4</v>
      </c>
      <c r="EG14" s="54">
        <v>4</v>
      </c>
      <c r="EH14" s="54">
        <v>4</v>
      </c>
      <c r="EI14" s="54">
        <v>4</v>
      </c>
      <c r="EJ14" s="54">
        <v>4</v>
      </c>
      <c r="EK14" s="54">
        <v>4</v>
      </c>
      <c r="EL14" s="54">
        <v>4</v>
      </c>
      <c r="EM14" s="54">
        <v>4</v>
      </c>
      <c r="EN14" s="54">
        <v>4</v>
      </c>
      <c r="EO14" s="54">
        <v>4</v>
      </c>
      <c r="EP14" s="55">
        <v>4</v>
      </c>
      <c r="EQ14" s="54">
        <v>4</v>
      </c>
      <c r="ER14" s="54">
        <v>4</v>
      </c>
      <c r="ES14" s="54">
        <v>4</v>
      </c>
      <c r="ET14" s="54">
        <v>4</v>
      </c>
      <c r="EU14" s="54">
        <v>4</v>
      </c>
      <c r="EV14" s="54">
        <v>4</v>
      </c>
      <c r="EW14" s="54">
        <v>4</v>
      </c>
      <c r="EX14" s="54">
        <v>4</v>
      </c>
      <c r="EY14" s="54">
        <v>4</v>
      </c>
      <c r="EZ14" s="54">
        <v>4</v>
      </c>
      <c r="FA14" s="54">
        <v>4</v>
      </c>
      <c r="FB14" s="55">
        <v>4</v>
      </c>
      <c r="FC14" s="54">
        <v>4</v>
      </c>
      <c r="FD14" s="54">
        <v>4</v>
      </c>
      <c r="FE14" s="54">
        <v>4</v>
      </c>
      <c r="FF14" s="54">
        <v>4</v>
      </c>
      <c r="FG14" s="54">
        <v>4</v>
      </c>
      <c r="FH14" s="54">
        <v>4</v>
      </c>
      <c r="FI14" s="54">
        <v>4</v>
      </c>
      <c r="FJ14" s="54">
        <v>4</v>
      </c>
      <c r="FK14" s="54">
        <v>4</v>
      </c>
      <c r="FL14" s="54">
        <v>4</v>
      </c>
      <c r="FM14" s="54">
        <v>4</v>
      </c>
      <c r="FN14" s="55"/>
    </row>
    <row r="15" spans="1:181" s="54" customFormat="1" ht="11.25">
      <c r="A15" s="54" t="s">
        <v>445</v>
      </c>
      <c r="AX15" s="55">
        <v>4</v>
      </c>
      <c r="AY15" s="54">
        <v>4</v>
      </c>
      <c r="AZ15" s="54">
        <v>4</v>
      </c>
      <c r="BA15" s="54">
        <v>4</v>
      </c>
      <c r="BB15" s="54">
        <v>4</v>
      </c>
      <c r="BC15" s="54">
        <v>4</v>
      </c>
      <c r="BD15" s="54">
        <v>4</v>
      </c>
      <c r="BE15" s="54">
        <v>4</v>
      </c>
      <c r="BF15" s="54">
        <v>4</v>
      </c>
      <c r="BG15" s="54">
        <v>4</v>
      </c>
      <c r="BH15" s="54">
        <v>4</v>
      </c>
      <c r="BI15" s="54">
        <v>4</v>
      </c>
      <c r="BJ15" s="55">
        <v>4</v>
      </c>
      <c r="BK15" s="54">
        <v>4</v>
      </c>
      <c r="BL15" s="54">
        <v>4</v>
      </c>
      <c r="BM15" s="54">
        <v>4</v>
      </c>
      <c r="BN15" s="54">
        <v>4</v>
      </c>
      <c r="BO15" s="54">
        <v>4</v>
      </c>
      <c r="BP15" s="54">
        <v>4</v>
      </c>
      <c r="BQ15" s="54">
        <v>4</v>
      </c>
      <c r="BR15" s="54">
        <v>4</v>
      </c>
      <c r="BS15" s="54">
        <v>4</v>
      </c>
      <c r="BT15" s="54">
        <v>4</v>
      </c>
      <c r="BU15" s="54">
        <v>4</v>
      </c>
      <c r="BV15" s="55">
        <v>4</v>
      </c>
      <c r="BW15" s="54">
        <v>4</v>
      </c>
      <c r="BX15" s="54">
        <v>4</v>
      </c>
      <c r="BY15" s="54">
        <v>4</v>
      </c>
      <c r="BZ15" s="54">
        <v>4</v>
      </c>
      <c r="CA15" s="54">
        <v>4</v>
      </c>
      <c r="CB15" s="54">
        <v>4</v>
      </c>
      <c r="CC15" s="54">
        <v>4</v>
      </c>
      <c r="CD15" s="54">
        <v>4</v>
      </c>
      <c r="CE15" s="54">
        <v>4</v>
      </c>
      <c r="CF15" s="54">
        <v>4</v>
      </c>
      <c r="CG15" s="54">
        <v>4</v>
      </c>
      <c r="CH15" s="55">
        <v>4</v>
      </c>
      <c r="CI15" s="54">
        <v>4</v>
      </c>
      <c r="CJ15" s="54">
        <v>4</v>
      </c>
      <c r="CK15" s="54">
        <v>4</v>
      </c>
      <c r="CL15" s="54">
        <v>4</v>
      </c>
      <c r="CM15" s="54">
        <v>4</v>
      </c>
      <c r="CN15" s="54">
        <v>4</v>
      </c>
      <c r="CO15" s="54">
        <v>4</v>
      </c>
      <c r="CP15" s="54">
        <v>4</v>
      </c>
      <c r="CQ15" s="54">
        <v>4</v>
      </c>
      <c r="CR15" s="54">
        <v>4</v>
      </c>
      <c r="CS15" s="54">
        <v>4</v>
      </c>
      <c r="CT15" s="55">
        <v>4</v>
      </c>
      <c r="CU15" s="54">
        <v>4</v>
      </c>
      <c r="CV15" s="54">
        <v>4</v>
      </c>
      <c r="CW15" s="54">
        <v>4</v>
      </c>
      <c r="CX15" s="54">
        <v>4</v>
      </c>
      <c r="CY15" s="54">
        <v>4</v>
      </c>
      <c r="CZ15" s="54">
        <v>4</v>
      </c>
      <c r="DA15" s="54">
        <v>4</v>
      </c>
      <c r="DB15" s="54">
        <v>4</v>
      </c>
      <c r="DC15" s="54">
        <v>4</v>
      </c>
      <c r="DD15" s="54">
        <v>4</v>
      </c>
      <c r="DE15" s="54">
        <v>4</v>
      </c>
      <c r="DF15" s="55">
        <v>4</v>
      </c>
      <c r="DG15" s="56">
        <v>4</v>
      </c>
      <c r="DH15" s="54">
        <v>4</v>
      </c>
      <c r="DI15" s="54">
        <v>4</v>
      </c>
      <c r="DJ15" s="54">
        <v>4</v>
      </c>
      <c r="DK15" s="54">
        <v>4</v>
      </c>
      <c r="DL15" s="54">
        <v>4</v>
      </c>
      <c r="DM15" s="54">
        <v>4</v>
      </c>
      <c r="DN15" s="54">
        <v>4</v>
      </c>
      <c r="DO15" s="54">
        <v>4</v>
      </c>
      <c r="DP15" s="54">
        <v>4</v>
      </c>
      <c r="DQ15" s="54">
        <v>4</v>
      </c>
      <c r="DR15" s="55">
        <v>4</v>
      </c>
      <c r="DS15" s="54">
        <v>4</v>
      </c>
      <c r="DT15" s="54">
        <v>4</v>
      </c>
      <c r="DU15" s="54">
        <v>4</v>
      </c>
      <c r="DV15" s="54">
        <v>4</v>
      </c>
      <c r="DW15" s="54">
        <v>4</v>
      </c>
      <c r="DX15" s="54">
        <v>4</v>
      </c>
      <c r="DY15" s="54">
        <v>4</v>
      </c>
      <c r="DZ15" s="54">
        <v>4</v>
      </c>
      <c r="EA15" s="54">
        <v>4</v>
      </c>
      <c r="EB15" s="54">
        <v>4</v>
      </c>
      <c r="EC15" s="54">
        <v>4</v>
      </c>
      <c r="ED15" s="55">
        <v>4</v>
      </c>
      <c r="EE15" s="54">
        <v>4</v>
      </c>
      <c r="EF15" s="54">
        <v>4</v>
      </c>
      <c r="EG15" s="54">
        <v>4</v>
      </c>
      <c r="EH15" s="54">
        <v>4</v>
      </c>
      <c r="EI15" s="54">
        <v>4</v>
      </c>
      <c r="EJ15" s="54">
        <v>4</v>
      </c>
      <c r="EK15" s="54">
        <v>4</v>
      </c>
      <c r="EL15" s="54">
        <v>4</v>
      </c>
      <c r="EM15" s="54">
        <v>4</v>
      </c>
      <c r="EN15" s="54">
        <v>4</v>
      </c>
      <c r="EO15" s="54">
        <v>4</v>
      </c>
      <c r="EP15" s="55">
        <v>4</v>
      </c>
      <c r="EQ15" s="54">
        <v>4</v>
      </c>
      <c r="ER15" s="54">
        <v>4</v>
      </c>
      <c r="ES15" s="54">
        <v>4</v>
      </c>
      <c r="ET15" s="54">
        <v>4</v>
      </c>
      <c r="EU15" s="54">
        <v>4</v>
      </c>
      <c r="EV15" s="54">
        <v>4</v>
      </c>
      <c r="EW15" s="54">
        <v>4</v>
      </c>
      <c r="EX15" s="54">
        <v>4</v>
      </c>
      <c r="EY15" s="54">
        <v>4</v>
      </c>
      <c r="EZ15" s="54">
        <v>4</v>
      </c>
      <c r="FA15" s="54">
        <v>4</v>
      </c>
      <c r="FB15" s="55">
        <v>4</v>
      </c>
      <c r="FC15" s="54">
        <v>4</v>
      </c>
      <c r="FD15" s="54">
        <v>4</v>
      </c>
      <c r="FE15" s="54">
        <v>4</v>
      </c>
      <c r="FF15" s="54">
        <v>4</v>
      </c>
      <c r="FG15" s="54">
        <v>4</v>
      </c>
      <c r="FH15" s="54">
        <v>4</v>
      </c>
      <c r="FI15" s="54">
        <v>4</v>
      </c>
      <c r="FJ15" s="54">
        <v>4</v>
      </c>
      <c r="FK15" s="54">
        <v>4</v>
      </c>
      <c r="FL15" s="54">
        <v>4</v>
      </c>
      <c r="FM15" s="54">
        <v>4</v>
      </c>
      <c r="FN15" s="55"/>
    </row>
    <row r="16" spans="1:181" s="54" customFormat="1" ht="11.25">
      <c r="A16" s="54" t="s">
        <v>446</v>
      </c>
      <c r="B16" s="54">
        <v>3.5</v>
      </c>
      <c r="C16" s="54">
        <v>3.5</v>
      </c>
      <c r="D16" s="54">
        <v>3.5</v>
      </c>
      <c r="E16" s="54">
        <v>3.5</v>
      </c>
      <c r="F16" s="54">
        <v>3.5</v>
      </c>
      <c r="G16" s="54">
        <v>3.5</v>
      </c>
      <c r="H16" s="54">
        <v>3.5</v>
      </c>
      <c r="I16" s="54">
        <v>3.5</v>
      </c>
      <c r="J16" s="54">
        <v>3.5</v>
      </c>
      <c r="K16" s="54">
        <v>3.5</v>
      </c>
      <c r="L16" s="54">
        <v>3.5</v>
      </c>
      <c r="M16" s="54">
        <v>3.5</v>
      </c>
      <c r="N16" s="54">
        <v>3.5</v>
      </c>
      <c r="O16" s="54">
        <v>3.5</v>
      </c>
      <c r="P16" s="54">
        <v>3.5</v>
      </c>
      <c r="Q16" s="54">
        <v>3.5</v>
      </c>
      <c r="R16" s="54">
        <v>3.5</v>
      </c>
      <c r="S16" s="54">
        <v>3.5</v>
      </c>
      <c r="T16" s="54">
        <v>3.5</v>
      </c>
      <c r="U16" s="54">
        <v>3.5</v>
      </c>
      <c r="V16" s="54">
        <v>3.5</v>
      </c>
      <c r="W16" s="54">
        <v>3.5</v>
      </c>
      <c r="X16" s="54">
        <v>3.5</v>
      </c>
      <c r="Y16" s="54">
        <v>3.5</v>
      </c>
      <c r="Z16" s="54">
        <v>3.5</v>
      </c>
      <c r="AA16" s="54">
        <v>3.5</v>
      </c>
      <c r="AB16" s="54">
        <v>3.5</v>
      </c>
      <c r="AC16" s="54">
        <v>3.5</v>
      </c>
      <c r="AD16" s="54">
        <v>3.5</v>
      </c>
      <c r="AE16" s="54">
        <v>3.5</v>
      </c>
      <c r="AF16" s="54">
        <v>3.5</v>
      </c>
      <c r="AG16" s="54">
        <v>3.5</v>
      </c>
      <c r="AH16" s="54">
        <v>3.5</v>
      </c>
      <c r="AI16" s="54">
        <v>3.5</v>
      </c>
      <c r="AJ16" s="54">
        <v>3.5</v>
      </c>
      <c r="AK16" s="54">
        <v>3.5</v>
      </c>
      <c r="AL16" s="54">
        <v>3</v>
      </c>
      <c r="AM16" s="54">
        <v>3</v>
      </c>
      <c r="AN16" s="54">
        <v>3</v>
      </c>
      <c r="AO16" s="54">
        <v>3</v>
      </c>
      <c r="AP16" s="54">
        <v>3</v>
      </c>
      <c r="AQ16" s="54">
        <v>3</v>
      </c>
      <c r="AR16" s="54">
        <v>3</v>
      </c>
      <c r="AS16" s="54">
        <v>3</v>
      </c>
      <c r="AT16" s="54">
        <v>3</v>
      </c>
      <c r="AU16" s="54">
        <v>3</v>
      </c>
      <c r="AV16" s="54">
        <v>3</v>
      </c>
      <c r="AW16" s="54">
        <v>3</v>
      </c>
      <c r="AX16" s="55">
        <v>3</v>
      </c>
      <c r="AY16" s="54">
        <v>3</v>
      </c>
      <c r="AZ16" s="54">
        <v>3</v>
      </c>
      <c r="BA16" s="54">
        <v>3</v>
      </c>
      <c r="BB16" s="54">
        <v>3</v>
      </c>
      <c r="BC16" s="54">
        <v>3</v>
      </c>
      <c r="BD16" s="54">
        <v>3</v>
      </c>
      <c r="BE16" s="54">
        <v>3</v>
      </c>
      <c r="BF16" s="54">
        <v>3</v>
      </c>
      <c r="BG16" s="54">
        <v>3</v>
      </c>
      <c r="BH16" s="54">
        <v>3</v>
      </c>
      <c r="BI16" s="54">
        <v>3</v>
      </c>
      <c r="BJ16" s="55">
        <v>3</v>
      </c>
      <c r="BK16" s="54">
        <v>3</v>
      </c>
      <c r="BL16" s="54">
        <v>3</v>
      </c>
      <c r="BM16" s="54">
        <v>3</v>
      </c>
      <c r="BN16" s="54">
        <v>3</v>
      </c>
      <c r="BO16" s="54">
        <v>3</v>
      </c>
      <c r="BP16" s="54">
        <v>3</v>
      </c>
      <c r="BQ16" s="54">
        <v>3</v>
      </c>
      <c r="BR16" s="54">
        <v>3</v>
      </c>
      <c r="BS16" s="54">
        <v>3</v>
      </c>
      <c r="BT16" s="54">
        <v>3</v>
      </c>
      <c r="BU16" s="54">
        <v>3</v>
      </c>
      <c r="BV16" s="55">
        <v>3</v>
      </c>
      <c r="BW16" s="54">
        <v>3</v>
      </c>
      <c r="BX16" s="54">
        <v>3</v>
      </c>
      <c r="BY16" s="54">
        <v>3</v>
      </c>
      <c r="BZ16" s="54">
        <v>3</v>
      </c>
      <c r="CA16" s="54">
        <v>3</v>
      </c>
      <c r="CB16" s="54">
        <v>3</v>
      </c>
      <c r="CC16" s="54">
        <v>3</v>
      </c>
      <c r="CD16" s="54">
        <v>3</v>
      </c>
      <c r="CE16" s="54">
        <v>3</v>
      </c>
      <c r="CF16" s="54">
        <v>3</v>
      </c>
      <c r="CG16" s="54">
        <v>3</v>
      </c>
      <c r="CH16" s="55">
        <v>3</v>
      </c>
      <c r="CI16" s="54">
        <v>3</v>
      </c>
      <c r="CJ16" s="54">
        <v>3</v>
      </c>
      <c r="CK16" s="54">
        <v>3</v>
      </c>
      <c r="CL16" s="54">
        <v>3</v>
      </c>
      <c r="CM16" s="54">
        <v>3</v>
      </c>
      <c r="CN16" s="54">
        <v>3</v>
      </c>
      <c r="CO16" s="54">
        <v>3</v>
      </c>
      <c r="CP16" s="54">
        <v>3</v>
      </c>
      <c r="CQ16" s="54">
        <v>3</v>
      </c>
      <c r="CR16" s="54">
        <v>3</v>
      </c>
      <c r="CS16" s="54">
        <v>3</v>
      </c>
      <c r="CT16" s="55">
        <v>3</v>
      </c>
      <c r="CU16" s="54">
        <v>3</v>
      </c>
      <c r="CV16" s="54">
        <v>3</v>
      </c>
      <c r="CW16" s="54">
        <v>3</v>
      </c>
      <c r="CX16" s="54">
        <v>3</v>
      </c>
      <c r="CY16" s="54">
        <v>3</v>
      </c>
      <c r="CZ16" s="54">
        <v>3</v>
      </c>
      <c r="DA16" s="54">
        <v>3</v>
      </c>
      <c r="DB16" s="54">
        <v>3</v>
      </c>
      <c r="DC16" s="54">
        <v>3</v>
      </c>
      <c r="DD16" s="54">
        <v>3</v>
      </c>
      <c r="DE16" s="54">
        <v>3</v>
      </c>
      <c r="DF16" s="55">
        <v>3</v>
      </c>
      <c r="DG16" s="56">
        <v>3</v>
      </c>
      <c r="DH16" s="54">
        <v>3</v>
      </c>
      <c r="DI16" s="54">
        <v>3</v>
      </c>
      <c r="DJ16" s="54">
        <v>3</v>
      </c>
      <c r="DK16" s="54">
        <v>3</v>
      </c>
      <c r="DL16" s="54">
        <v>3</v>
      </c>
      <c r="DM16" s="54">
        <v>3</v>
      </c>
      <c r="DN16" s="54">
        <v>3</v>
      </c>
      <c r="DO16" s="54">
        <v>3</v>
      </c>
      <c r="DP16" s="54">
        <v>3</v>
      </c>
      <c r="DQ16" s="54">
        <v>3</v>
      </c>
      <c r="DR16" s="55">
        <v>3</v>
      </c>
      <c r="DS16" s="54">
        <v>3</v>
      </c>
      <c r="DT16" s="54">
        <v>3</v>
      </c>
      <c r="DU16" s="54">
        <v>3</v>
      </c>
      <c r="DV16" s="54">
        <v>3</v>
      </c>
      <c r="DW16" s="54">
        <v>3</v>
      </c>
      <c r="DX16" s="54">
        <v>3</v>
      </c>
      <c r="DY16" s="54">
        <v>3</v>
      </c>
      <c r="DZ16" s="54">
        <v>3</v>
      </c>
      <c r="EA16" s="54">
        <v>3</v>
      </c>
      <c r="EB16" s="54">
        <v>3</v>
      </c>
      <c r="EC16" s="54">
        <v>3</v>
      </c>
      <c r="ED16" s="55">
        <v>3</v>
      </c>
      <c r="EE16" s="54">
        <v>3</v>
      </c>
      <c r="EF16" s="54">
        <v>3</v>
      </c>
      <c r="EG16" s="54">
        <v>3</v>
      </c>
      <c r="EH16" s="54">
        <v>3</v>
      </c>
      <c r="EI16" s="54">
        <v>3</v>
      </c>
      <c r="EJ16" s="54">
        <v>3</v>
      </c>
      <c r="EK16" s="54">
        <v>3</v>
      </c>
      <c r="EL16" s="54">
        <v>3</v>
      </c>
      <c r="EM16" s="54">
        <v>3</v>
      </c>
      <c r="EN16" s="54">
        <v>3</v>
      </c>
      <c r="EO16" s="54">
        <v>3</v>
      </c>
      <c r="EP16" s="55">
        <v>3</v>
      </c>
      <c r="EQ16" s="54">
        <v>3</v>
      </c>
      <c r="ER16" s="54">
        <v>3</v>
      </c>
      <c r="ES16" s="54">
        <v>3</v>
      </c>
      <c r="ET16" s="54">
        <v>3</v>
      </c>
      <c r="EU16" s="54">
        <v>3</v>
      </c>
      <c r="EV16" s="54">
        <v>3</v>
      </c>
      <c r="EW16" s="54">
        <v>3</v>
      </c>
      <c r="EX16" s="54">
        <v>3</v>
      </c>
      <c r="EY16" s="54">
        <v>3</v>
      </c>
      <c r="EZ16" s="54">
        <v>3</v>
      </c>
      <c r="FA16" s="54">
        <v>3</v>
      </c>
      <c r="FB16" s="54">
        <v>3</v>
      </c>
      <c r="FC16" s="54">
        <v>3</v>
      </c>
      <c r="FD16" s="54">
        <v>3</v>
      </c>
      <c r="FE16" s="54">
        <v>3</v>
      </c>
      <c r="FF16" s="54">
        <v>3</v>
      </c>
      <c r="FG16" s="54">
        <v>3</v>
      </c>
      <c r="FH16" s="54">
        <v>3</v>
      </c>
      <c r="FI16" s="54">
        <v>3</v>
      </c>
      <c r="FJ16" s="54">
        <v>3</v>
      </c>
      <c r="FK16" s="54">
        <v>3</v>
      </c>
      <c r="FL16" s="54">
        <v>3</v>
      </c>
      <c r="FM16" s="54">
        <v>3</v>
      </c>
      <c r="FN16" s="55"/>
    </row>
    <row r="17" spans="1:181" s="54" customFormat="1" ht="11.25">
      <c r="AX17" s="55"/>
      <c r="DF17" s="55"/>
      <c r="DG17" s="56"/>
      <c r="DR17" s="55"/>
      <c r="ED17" s="55"/>
      <c r="EP17" s="55"/>
      <c r="FB17" s="55"/>
      <c r="FN17" s="55"/>
    </row>
    <row r="18" spans="1:181" s="54" customFormat="1" ht="34.5" thickBot="1">
      <c r="A18" s="62" t="s">
        <v>448</v>
      </c>
      <c r="AX18" s="55"/>
      <c r="BJ18" s="55"/>
      <c r="BV18" s="55"/>
      <c r="CH18" s="55"/>
      <c r="CT18" s="55"/>
      <c r="DF18" s="55"/>
      <c r="DG18" s="56"/>
      <c r="DR18" s="55"/>
      <c r="ED18" s="55"/>
      <c r="EP18" s="55"/>
      <c r="FB18" s="55"/>
      <c r="FN18" s="55"/>
    </row>
    <row r="19" spans="1:181" s="54" customFormat="1" ht="11.25">
      <c r="A19" s="54" t="s">
        <v>442</v>
      </c>
      <c r="B19" s="54">
        <v>3</v>
      </c>
      <c r="C19" s="54">
        <v>3</v>
      </c>
      <c r="D19" s="54">
        <v>3</v>
      </c>
      <c r="E19" s="54">
        <v>3</v>
      </c>
      <c r="F19" s="54">
        <v>3</v>
      </c>
      <c r="G19" s="54">
        <v>3</v>
      </c>
      <c r="H19" s="54">
        <v>3</v>
      </c>
      <c r="I19" s="54">
        <v>3</v>
      </c>
      <c r="J19" s="54">
        <v>3</v>
      </c>
      <c r="K19" s="54">
        <v>3</v>
      </c>
      <c r="L19" s="54">
        <v>3</v>
      </c>
      <c r="M19" s="54">
        <v>3</v>
      </c>
      <c r="N19" s="54">
        <v>2</v>
      </c>
      <c r="O19" s="54">
        <v>2</v>
      </c>
      <c r="P19" s="54">
        <v>2</v>
      </c>
      <c r="Q19" s="54">
        <v>2</v>
      </c>
      <c r="R19" s="54">
        <v>2</v>
      </c>
      <c r="S19" s="54">
        <v>2</v>
      </c>
      <c r="T19" s="54">
        <v>2</v>
      </c>
      <c r="U19" s="54">
        <v>2</v>
      </c>
      <c r="V19" s="54">
        <v>2</v>
      </c>
      <c r="W19" s="54">
        <v>2</v>
      </c>
      <c r="X19" s="54">
        <v>2</v>
      </c>
      <c r="Y19" s="54">
        <v>2</v>
      </c>
      <c r="Z19" s="54">
        <v>2.5</v>
      </c>
      <c r="AA19" s="54">
        <v>2.5</v>
      </c>
      <c r="AB19" s="54">
        <v>2.5</v>
      </c>
      <c r="AC19" s="54">
        <v>2.5</v>
      </c>
      <c r="AD19" s="54">
        <v>2.5</v>
      </c>
      <c r="AE19" s="54">
        <v>2.5</v>
      </c>
      <c r="AF19" s="54">
        <v>2.5</v>
      </c>
      <c r="AG19" s="54">
        <v>2.5</v>
      </c>
      <c r="AH19" s="54">
        <v>2.5</v>
      </c>
      <c r="AI19" s="54">
        <v>2.5</v>
      </c>
      <c r="AJ19" s="54">
        <v>2.5</v>
      </c>
      <c r="AK19" s="54">
        <v>2.5</v>
      </c>
      <c r="AL19" s="54">
        <v>2.5</v>
      </c>
      <c r="AM19" s="54">
        <v>2.5</v>
      </c>
      <c r="AN19" s="54">
        <v>2.5</v>
      </c>
      <c r="AO19" s="54">
        <v>2.5</v>
      </c>
      <c r="AP19" s="54">
        <v>2.5</v>
      </c>
      <c r="AQ19" s="54">
        <v>2.5</v>
      </c>
      <c r="AR19" s="54">
        <v>2.5</v>
      </c>
      <c r="AS19" s="54">
        <v>2.5</v>
      </c>
      <c r="AT19" s="54">
        <v>2.5</v>
      </c>
      <c r="AU19" s="54">
        <v>2.5</v>
      </c>
      <c r="AV19" s="54">
        <v>2.5</v>
      </c>
      <c r="AW19" s="54">
        <v>2.5</v>
      </c>
      <c r="AX19" s="55">
        <v>2.5</v>
      </c>
      <c r="AY19" s="54">
        <v>2.5</v>
      </c>
      <c r="AZ19" s="54">
        <v>2.5</v>
      </c>
      <c r="BA19" s="54">
        <v>2.5</v>
      </c>
      <c r="BB19" s="54">
        <v>2.5</v>
      </c>
      <c r="BC19" s="54">
        <v>2.5</v>
      </c>
      <c r="BD19" s="54">
        <v>2.5</v>
      </c>
      <c r="BE19" s="54">
        <v>2.5</v>
      </c>
      <c r="BF19" s="54">
        <v>2.5</v>
      </c>
      <c r="BG19" s="54">
        <v>2.5</v>
      </c>
      <c r="BH19" s="54">
        <v>2.5</v>
      </c>
      <c r="BI19" s="54">
        <v>2.5</v>
      </c>
      <c r="BJ19" s="55">
        <v>2.5</v>
      </c>
      <c r="BK19" s="54">
        <v>2.5</v>
      </c>
      <c r="BL19" s="54">
        <v>2.5</v>
      </c>
      <c r="BM19" s="54">
        <v>2.5</v>
      </c>
      <c r="BN19" s="54">
        <v>2.5</v>
      </c>
      <c r="BO19" s="54">
        <v>2.5</v>
      </c>
      <c r="BP19" s="54">
        <v>2.5</v>
      </c>
      <c r="BQ19" s="54">
        <v>2.5</v>
      </c>
      <c r="BR19" s="54">
        <v>2.5</v>
      </c>
      <c r="BS19" s="54">
        <v>2.5</v>
      </c>
      <c r="BT19" s="54">
        <v>2.5</v>
      </c>
      <c r="BU19" s="54">
        <v>2.5</v>
      </c>
      <c r="BV19" s="55">
        <v>2.5</v>
      </c>
      <c r="BW19" s="54">
        <v>2.5</v>
      </c>
      <c r="BX19" s="54">
        <v>2.5</v>
      </c>
      <c r="BY19" s="54">
        <v>2.5</v>
      </c>
      <c r="BZ19" s="54">
        <v>2.5</v>
      </c>
      <c r="CA19" s="54">
        <v>2.5</v>
      </c>
      <c r="CB19" s="54">
        <v>2.5</v>
      </c>
      <c r="CC19" s="54">
        <v>2.5</v>
      </c>
      <c r="CD19" s="54">
        <v>2.5</v>
      </c>
      <c r="CE19" s="54">
        <v>2.5</v>
      </c>
      <c r="CF19" s="54">
        <v>2.5</v>
      </c>
      <c r="CG19" s="54">
        <v>2.5</v>
      </c>
      <c r="CH19" s="55">
        <v>2.5</v>
      </c>
      <c r="CI19" s="54">
        <v>2.5</v>
      </c>
      <c r="CJ19" s="54">
        <v>2.5</v>
      </c>
      <c r="CK19" s="54">
        <v>2.5</v>
      </c>
      <c r="CL19" s="54">
        <v>2.5</v>
      </c>
      <c r="CM19" s="54">
        <v>2.5</v>
      </c>
      <c r="CN19" s="54">
        <v>2.5</v>
      </c>
      <c r="CO19" s="54">
        <v>2.5</v>
      </c>
      <c r="CP19" s="54">
        <v>2.5</v>
      </c>
      <c r="CQ19" s="54">
        <v>2.5</v>
      </c>
      <c r="CR19" s="54">
        <v>2.5</v>
      </c>
      <c r="CS19" s="54">
        <v>2.5</v>
      </c>
      <c r="CT19" s="55">
        <v>2.5</v>
      </c>
      <c r="CU19" s="54">
        <v>2.5</v>
      </c>
      <c r="CV19" s="54">
        <v>2.5</v>
      </c>
      <c r="CW19" s="54">
        <v>2.5</v>
      </c>
      <c r="CX19" s="54">
        <v>2.5</v>
      </c>
      <c r="CY19" s="54">
        <v>2.5</v>
      </c>
      <c r="CZ19" s="54">
        <v>2.5</v>
      </c>
      <c r="DA19" s="54">
        <v>2.5</v>
      </c>
      <c r="DB19" s="54">
        <v>2.5</v>
      </c>
      <c r="DC19" s="54">
        <v>2.5</v>
      </c>
      <c r="DD19" s="54">
        <v>2.5</v>
      </c>
      <c r="DE19" s="54">
        <v>2.5</v>
      </c>
      <c r="DF19" s="55">
        <v>2.5</v>
      </c>
      <c r="DG19" s="56">
        <v>2.5</v>
      </c>
      <c r="DH19" s="54">
        <v>2.5</v>
      </c>
      <c r="DI19" s="54">
        <v>2.5</v>
      </c>
      <c r="DJ19" s="54">
        <v>2.5</v>
      </c>
      <c r="DK19" s="54">
        <v>2.5</v>
      </c>
      <c r="DL19" s="54">
        <v>2.5</v>
      </c>
      <c r="DM19" s="54">
        <v>2.5</v>
      </c>
      <c r="DN19" s="54">
        <v>2.5</v>
      </c>
      <c r="DO19" s="54">
        <v>2.5</v>
      </c>
      <c r="DP19" s="54">
        <v>2.5</v>
      </c>
      <c r="DQ19" s="54">
        <v>2.5</v>
      </c>
      <c r="DR19" s="55">
        <v>2.5</v>
      </c>
      <c r="DS19" s="54">
        <v>2.5</v>
      </c>
      <c r="DT19" s="54">
        <v>2.5</v>
      </c>
      <c r="DU19" s="54">
        <v>2.5</v>
      </c>
      <c r="DV19" s="54">
        <v>2.5</v>
      </c>
      <c r="DW19" s="54">
        <v>2.5</v>
      </c>
      <c r="DX19" s="54">
        <v>2.5</v>
      </c>
      <c r="DY19" s="54">
        <v>2.5</v>
      </c>
      <c r="DZ19" s="54">
        <v>2.5</v>
      </c>
      <c r="EA19" s="54">
        <v>2.5</v>
      </c>
      <c r="EB19" s="54">
        <v>2.5</v>
      </c>
      <c r="EC19" s="54">
        <v>2.5</v>
      </c>
      <c r="ED19" s="55">
        <v>2.5</v>
      </c>
      <c r="EE19" s="54">
        <v>2.5</v>
      </c>
      <c r="EF19" s="54">
        <v>2.5</v>
      </c>
      <c r="EG19" s="54">
        <v>2.5</v>
      </c>
      <c r="EH19" s="54">
        <v>2.5</v>
      </c>
      <c r="EI19" s="54">
        <v>2.5</v>
      </c>
      <c r="EJ19" s="54">
        <v>2.5</v>
      </c>
      <c r="EK19" s="54">
        <v>2.5</v>
      </c>
      <c r="EL19" s="54">
        <v>2.5</v>
      </c>
      <c r="EM19" s="54">
        <v>2.5</v>
      </c>
      <c r="EN19" s="54">
        <v>2.5</v>
      </c>
      <c r="EO19" s="54">
        <v>2.5</v>
      </c>
      <c r="EP19" s="55">
        <v>2.5</v>
      </c>
      <c r="EQ19" s="54">
        <v>2.5</v>
      </c>
      <c r="ER19" s="54">
        <v>2.5</v>
      </c>
      <c r="ES19" s="54">
        <v>2.5</v>
      </c>
      <c r="ET19" s="54">
        <v>2.5</v>
      </c>
      <c r="EU19" s="54">
        <v>2.5</v>
      </c>
      <c r="EV19" s="54">
        <v>2.5</v>
      </c>
      <c r="EW19" s="54">
        <v>2.5</v>
      </c>
      <c r="EX19" s="54">
        <v>2.5</v>
      </c>
      <c r="EY19" s="54">
        <v>2.5</v>
      </c>
      <c r="EZ19" s="54">
        <v>2.5</v>
      </c>
      <c r="FA19" s="54">
        <v>2.5</v>
      </c>
      <c r="FB19" s="55">
        <v>3</v>
      </c>
      <c r="FC19" s="54">
        <v>3</v>
      </c>
      <c r="FD19" s="54">
        <v>3</v>
      </c>
      <c r="FE19" s="54">
        <v>3</v>
      </c>
      <c r="FF19" s="54">
        <v>3</v>
      </c>
      <c r="FG19" s="54">
        <v>3</v>
      </c>
      <c r="FH19" s="54">
        <v>3</v>
      </c>
      <c r="FI19" s="54">
        <v>3</v>
      </c>
      <c r="FJ19" s="54">
        <v>3</v>
      </c>
      <c r="FK19" s="54">
        <v>3</v>
      </c>
      <c r="FL19" s="54">
        <v>3</v>
      </c>
      <c r="FM19" s="54">
        <v>3</v>
      </c>
      <c r="FN19" s="55">
        <v>3</v>
      </c>
      <c r="FO19" s="54">
        <v>3</v>
      </c>
      <c r="FP19" s="54">
        <v>3</v>
      </c>
      <c r="FQ19" s="54">
        <v>3</v>
      </c>
      <c r="FR19" s="54">
        <v>3</v>
      </c>
      <c r="FS19" s="54">
        <v>3</v>
      </c>
      <c r="FT19" s="54">
        <v>3</v>
      </c>
      <c r="FU19" s="54">
        <v>3</v>
      </c>
      <c r="FV19" s="54">
        <v>3</v>
      </c>
      <c r="FW19" s="54">
        <v>3</v>
      </c>
      <c r="FX19" s="54">
        <v>3</v>
      </c>
      <c r="FY19" s="54">
        <v>3</v>
      </c>
    </row>
    <row r="20" spans="1:181" s="54" customFormat="1" ht="11.25">
      <c r="A20" s="54" t="s">
        <v>443</v>
      </c>
      <c r="B20" s="54">
        <v>2</v>
      </c>
      <c r="C20" s="54">
        <v>2</v>
      </c>
      <c r="D20" s="54">
        <v>2</v>
      </c>
      <c r="E20" s="54">
        <v>2</v>
      </c>
      <c r="F20" s="54">
        <v>2</v>
      </c>
      <c r="G20" s="54">
        <v>2</v>
      </c>
      <c r="H20" s="54">
        <v>2</v>
      </c>
      <c r="I20" s="54">
        <v>2</v>
      </c>
      <c r="J20" s="54">
        <v>2</v>
      </c>
      <c r="K20" s="54">
        <v>2</v>
      </c>
      <c r="L20" s="54">
        <v>2</v>
      </c>
      <c r="M20" s="54">
        <v>2</v>
      </c>
      <c r="N20" s="54">
        <v>2</v>
      </c>
      <c r="O20" s="54">
        <v>2</v>
      </c>
      <c r="P20" s="54">
        <v>2</v>
      </c>
      <c r="Q20" s="54">
        <v>2</v>
      </c>
      <c r="R20" s="54">
        <v>2</v>
      </c>
      <c r="S20" s="54">
        <v>2</v>
      </c>
      <c r="T20" s="54">
        <v>2</v>
      </c>
      <c r="U20" s="54">
        <v>2</v>
      </c>
      <c r="V20" s="54">
        <v>2</v>
      </c>
      <c r="W20" s="54">
        <v>2</v>
      </c>
      <c r="X20" s="54">
        <v>2</v>
      </c>
      <c r="Y20" s="54">
        <v>2</v>
      </c>
      <c r="Z20" s="54">
        <v>2</v>
      </c>
      <c r="AA20" s="54">
        <v>2</v>
      </c>
      <c r="AB20" s="54">
        <v>2</v>
      </c>
      <c r="AC20" s="54">
        <v>2</v>
      </c>
      <c r="AD20" s="54">
        <v>2</v>
      </c>
      <c r="AE20" s="54">
        <v>2</v>
      </c>
      <c r="AF20" s="54">
        <v>2</v>
      </c>
      <c r="AG20" s="54">
        <v>2</v>
      </c>
      <c r="AH20" s="54">
        <v>2</v>
      </c>
      <c r="AI20" s="54">
        <v>2</v>
      </c>
      <c r="AJ20" s="54">
        <v>2</v>
      </c>
      <c r="AK20" s="54">
        <v>2</v>
      </c>
      <c r="AL20" s="54">
        <v>2</v>
      </c>
      <c r="AM20" s="54">
        <v>2</v>
      </c>
      <c r="AN20" s="54">
        <v>2</v>
      </c>
      <c r="AO20" s="54">
        <v>2</v>
      </c>
      <c r="AP20" s="54">
        <v>2</v>
      </c>
      <c r="AQ20" s="54">
        <v>2</v>
      </c>
      <c r="AR20" s="54">
        <v>2</v>
      </c>
      <c r="AS20" s="54">
        <v>2</v>
      </c>
      <c r="AT20" s="54">
        <v>2</v>
      </c>
      <c r="AU20" s="54">
        <v>2</v>
      </c>
      <c r="AV20" s="54">
        <v>2</v>
      </c>
      <c r="AW20" s="54">
        <v>2</v>
      </c>
      <c r="AX20" s="55">
        <v>2</v>
      </c>
      <c r="AY20" s="54">
        <v>2</v>
      </c>
      <c r="AZ20" s="54">
        <v>2</v>
      </c>
      <c r="BA20" s="54">
        <v>2</v>
      </c>
      <c r="BB20" s="54">
        <v>2</v>
      </c>
      <c r="BC20" s="54">
        <v>2</v>
      </c>
      <c r="BD20" s="54">
        <v>2</v>
      </c>
      <c r="BE20" s="54">
        <v>2</v>
      </c>
      <c r="BF20" s="54">
        <v>2</v>
      </c>
      <c r="BG20" s="54">
        <v>2</v>
      </c>
      <c r="BH20" s="54">
        <v>2</v>
      </c>
      <c r="BI20" s="54">
        <v>2</v>
      </c>
      <c r="BJ20" s="55">
        <v>2</v>
      </c>
      <c r="BK20" s="54">
        <v>2</v>
      </c>
      <c r="BL20" s="54">
        <v>2</v>
      </c>
      <c r="BM20" s="54">
        <v>2</v>
      </c>
      <c r="BN20" s="54">
        <v>2</v>
      </c>
      <c r="BO20" s="54">
        <v>2</v>
      </c>
      <c r="BP20" s="54">
        <v>2</v>
      </c>
      <c r="BQ20" s="54">
        <v>2</v>
      </c>
      <c r="BR20" s="54">
        <v>2</v>
      </c>
      <c r="BS20" s="54">
        <v>2</v>
      </c>
      <c r="BT20" s="54">
        <v>2</v>
      </c>
      <c r="BU20" s="54">
        <v>2</v>
      </c>
      <c r="BV20" s="55">
        <v>2</v>
      </c>
      <c r="BW20" s="54">
        <v>2</v>
      </c>
      <c r="BX20" s="54">
        <v>2</v>
      </c>
      <c r="BY20" s="54">
        <v>2</v>
      </c>
      <c r="BZ20" s="54">
        <v>2</v>
      </c>
      <c r="CA20" s="54">
        <v>2</v>
      </c>
      <c r="CB20" s="54">
        <v>2</v>
      </c>
      <c r="CC20" s="54">
        <v>2</v>
      </c>
      <c r="CD20" s="54">
        <v>2</v>
      </c>
      <c r="CE20" s="54">
        <v>2</v>
      </c>
      <c r="CF20" s="54">
        <v>2</v>
      </c>
      <c r="CG20" s="54">
        <v>2</v>
      </c>
      <c r="CH20" s="55">
        <v>2</v>
      </c>
      <c r="CI20" s="54">
        <v>2</v>
      </c>
      <c r="CJ20" s="54">
        <v>2</v>
      </c>
      <c r="CK20" s="54">
        <v>2</v>
      </c>
      <c r="CL20" s="54">
        <v>2</v>
      </c>
      <c r="CM20" s="54">
        <v>2</v>
      </c>
      <c r="CN20" s="54">
        <v>2</v>
      </c>
      <c r="CO20" s="54">
        <v>2</v>
      </c>
      <c r="CP20" s="54">
        <v>2</v>
      </c>
      <c r="CQ20" s="54">
        <v>2</v>
      </c>
      <c r="CR20" s="54">
        <v>2</v>
      </c>
      <c r="CS20" s="54">
        <v>2</v>
      </c>
      <c r="CT20" s="55">
        <v>2</v>
      </c>
      <c r="CU20" s="54">
        <v>2</v>
      </c>
      <c r="CV20" s="54">
        <v>2</v>
      </c>
      <c r="CW20" s="54">
        <v>2</v>
      </c>
      <c r="CX20" s="54">
        <v>2</v>
      </c>
      <c r="CY20" s="54">
        <v>2</v>
      </c>
      <c r="CZ20" s="54">
        <v>2</v>
      </c>
      <c r="DA20" s="54">
        <v>2</v>
      </c>
      <c r="DB20" s="54">
        <v>2</v>
      </c>
      <c r="DC20" s="54">
        <v>2</v>
      </c>
      <c r="DD20" s="54">
        <v>2</v>
      </c>
      <c r="DE20" s="54">
        <v>2</v>
      </c>
      <c r="DF20" s="55">
        <v>2</v>
      </c>
      <c r="DG20" s="56">
        <v>2</v>
      </c>
      <c r="DH20" s="54">
        <v>2</v>
      </c>
      <c r="DI20" s="54">
        <v>2</v>
      </c>
      <c r="DJ20" s="54">
        <v>2</v>
      </c>
      <c r="DK20" s="54">
        <v>2</v>
      </c>
      <c r="DL20" s="54">
        <v>2</v>
      </c>
      <c r="DM20" s="54">
        <v>2</v>
      </c>
      <c r="DN20" s="54">
        <v>2</v>
      </c>
      <c r="DO20" s="54">
        <v>2</v>
      </c>
      <c r="DP20" s="54">
        <v>2</v>
      </c>
      <c r="DQ20" s="54">
        <v>2</v>
      </c>
      <c r="DR20" s="55">
        <v>2</v>
      </c>
      <c r="DS20" s="54">
        <v>2</v>
      </c>
      <c r="DT20" s="54">
        <v>2</v>
      </c>
      <c r="DU20" s="54">
        <v>2</v>
      </c>
      <c r="DV20" s="54">
        <v>2</v>
      </c>
      <c r="DW20" s="54">
        <v>2</v>
      </c>
      <c r="DX20" s="54">
        <v>2</v>
      </c>
      <c r="DY20" s="54">
        <v>2</v>
      </c>
      <c r="DZ20" s="54">
        <v>2</v>
      </c>
      <c r="EA20" s="54">
        <v>2</v>
      </c>
      <c r="EB20" s="54">
        <v>2</v>
      </c>
      <c r="EC20" s="54">
        <v>2</v>
      </c>
      <c r="ED20" s="55">
        <v>2</v>
      </c>
      <c r="EE20" s="54">
        <v>2</v>
      </c>
      <c r="EF20" s="54">
        <v>2</v>
      </c>
      <c r="EG20" s="54">
        <v>2</v>
      </c>
      <c r="EH20" s="54">
        <v>2</v>
      </c>
      <c r="EI20" s="54">
        <v>2</v>
      </c>
      <c r="EJ20" s="54">
        <v>2</v>
      </c>
      <c r="EK20" s="54">
        <v>2</v>
      </c>
      <c r="EL20" s="54">
        <v>2</v>
      </c>
      <c r="EM20" s="54">
        <v>2</v>
      </c>
      <c r="EN20" s="54">
        <v>2</v>
      </c>
      <c r="EO20" s="54">
        <v>2</v>
      </c>
      <c r="EP20" s="55">
        <v>2</v>
      </c>
      <c r="EQ20" s="54">
        <v>2</v>
      </c>
      <c r="ER20" s="54">
        <v>2</v>
      </c>
      <c r="ES20" s="54">
        <v>2</v>
      </c>
      <c r="ET20" s="54">
        <v>2</v>
      </c>
      <c r="EU20" s="54">
        <v>2</v>
      </c>
      <c r="EV20" s="54">
        <v>2</v>
      </c>
      <c r="EW20" s="54">
        <v>2</v>
      </c>
      <c r="EX20" s="54">
        <v>2</v>
      </c>
      <c r="EY20" s="54">
        <v>2</v>
      </c>
      <c r="EZ20" s="54">
        <v>2</v>
      </c>
      <c r="FA20" s="54">
        <v>2</v>
      </c>
      <c r="FB20" s="55">
        <v>2</v>
      </c>
      <c r="FC20" s="54">
        <v>2</v>
      </c>
      <c r="FD20" s="54">
        <v>2</v>
      </c>
      <c r="FE20" s="54">
        <v>2</v>
      </c>
      <c r="FF20" s="54">
        <v>2</v>
      </c>
      <c r="FG20" s="54">
        <v>2</v>
      </c>
      <c r="FH20" s="54">
        <v>2</v>
      </c>
      <c r="FI20" s="54">
        <v>2</v>
      </c>
      <c r="FJ20" s="54">
        <v>2</v>
      </c>
      <c r="FK20" s="54">
        <v>2</v>
      </c>
      <c r="FL20" s="54">
        <v>2</v>
      </c>
      <c r="FM20" s="54">
        <v>2</v>
      </c>
      <c r="FN20" s="55">
        <v>2</v>
      </c>
      <c r="FO20" s="54">
        <v>2</v>
      </c>
      <c r="FP20" s="54">
        <v>2</v>
      </c>
      <c r="FQ20" s="54">
        <v>2</v>
      </c>
      <c r="FR20" s="54">
        <v>2</v>
      </c>
      <c r="FS20" s="54">
        <v>2</v>
      </c>
      <c r="FT20" s="54">
        <v>2</v>
      </c>
      <c r="FU20" s="54">
        <v>2</v>
      </c>
      <c r="FV20" s="54">
        <v>2</v>
      </c>
      <c r="FW20" s="54">
        <v>2</v>
      </c>
      <c r="FX20" s="54">
        <v>2</v>
      </c>
      <c r="FY20" s="54">
        <v>2</v>
      </c>
    </row>
    <row r="21" spans="1:181" s="54" customFormat="1" ht="11.25">
      <c r="A21" s="54" t="s">
        <v>444</v>
      </c>
      <c r="B21" s="54">
        <v>5</v>
      </c>
      <c r="C21" s="54">
        <v>5</v>
      </c>
      <c r="D21" s="54">
        <v>5</v>
      </c>
      <c r="E21" s="54">
        <v>5</v>
      </c>
      <c r="F21" s="54">
        <v>5</v>
      </c>
      <c r="G21" s="54">
        <v>5</v>
      </c>
      <c r="H21" s="54">
        <v>5</v>
      </c>
      <c r="I21" s="54">
        <v>5</v>
      </c>
      <c r="J21" s="54">
        <v>5</v>
      </c>
      <c r="K21" s="54">
        <v>5</v>
      </c>
      <c r="L21" s="54">
        <v>5</v>
      </c>
      <c r="M21" s="54">
        <v>5</v>
      </c>
      <c r="N21" s="54">
        <v>4.5</v>
      </c>
      <c r="O21" s="54">
        <v>4.5</v>
      </c>
      <c r="P21" s="54">
        <v>4.5</v>
      </c>
      <c r="Q21" s="54">
        <v>4.5</v>
      </c>
      <c r="R21" s="54">
        <v>4.5</v>
      </c>
      <c r="S21" s="54">
        <v>4.5</v>
      </c>
      <c r="T21" s="54">
        <v>4.5</v>
      </c>
      <c r="U21" s="54">
        <v>4.5</v>
      </c>
      <c r="V21" s="54">
        <v>4.5</v>
      </c>
      <c r="W21" s="54">
        <v>4.5</v>
      </c>
      <c r="X21" s="54">
        <v>4.5</v>
      </c>
      <c r="Y21" s="54">
        <v>4.5</v>
      </c>
      <c r="Z21" s="54">
        <v>4</v>
      </c>
      <c r="AA21" s="54">
        <v>4</v>
      </c>
      <c r="AB21" s="54">
        <v>4</v>
      </c>
      <c r="AC21" s="54">
        <v>4</v>
      </c>
      <c r="AD21" s="54">
        <v>4</v>
      </c>
      <c r="AE21" s="54">
        <v>4</v>
      </c>
      <c r="AF21" s="54">
        <v>4</v>
      </c>
      <c r="AG21" s="54">
        <v>4</v>
      </c>
      <c r="AH21" s="54">
        <v>4</v>
      </c>
      <c r="AI21" s="54">
        <v>4</v>
      </c>
      <c r="AJ21" s="54">
        <v>4</v>
      </c>
      <c r="AK21" s="54">
        <v>4</v>
      </c>
      <c r="AL21" s="54">
        <v>3.5</v>
      </c>
      <c r="AM21" s="54">
        <v>3.5</v>
      </c>
      <c r="AN21" s="54">
        <v>3.5</v>
      </c>
      <c r="AO21" s="54">
        <v>3.5</v>
      </c>
      <c r="AP21" s="54">
        <v>3.5</v>
      </c>
      <c r="AQ21" s="54">
        <v>3.5</v>
      </c>
      <c r="AR21" s="54">
        <v>3.5</v>
      </c>
      <c r="AS21" s="54">
        <v>3.5</v>
      </c>
      <c r="AT21" s="54">
        <v>3.5</v>
      </c>
      <c r="AU21" s="54">
        <v>3.5</v>
      </c>
      <c r="AV21" s="54">
        <v>3.5</v>
      </c>
      <c r="AW21" s="54">
        <v>3.5</v>
      </c>
      <c r="AX21" s="55">
        <v>3.5</v>
      </c>
      <c r="AY21" s="54">
        <v>3.5</v>
      </c>
      <c r="AZ21" s="54">
        <v>3.5</v>
      </c>
      <c r="BA21" s="54">
        <v>3.5</v>
      </c>
      <c r="BB21" s="54">
        <v>3.5</v>
      </c>
      <c r="BC21" s="54">
        <v>3.5</v>
      </c>
      <c r="BD21" s="54">
        <v>3.5</v>
      </c>
      <c r="BE21" s="54">
        <v>3.5</v>
      </c>
      <c r="BF21" s="54">
        <v>3.5</v>
      </c>
      <c r="BG21" s="54">
        <v>3.5</v>
      </c>
      <c r="BH21" s="54">
        <v>3.5</v>
      </c>
      <c r="BI21" s="54">
        <v>3.5</v>
      </c>
      <c r="BJ21" s="55">
        <v>4.5</v>
      </c>
      <c r="BK21" s="54">
        <v>4.5</v>
      </c>
      <c r="BL21" s="54">
        <v>4.5</v>
      </c>
      <c r="BM21" s="54">
        <v>4.5</v>
      </c>
      <c r="BN21" s="54">
        <v>4.5</v>
      </c>
      <c r="BO21" s="54">
        <v>4.5</v>
      </c>
      <c r="BP21" s="54">
        <v>4.5</v>
      </c>
      <c r="BQ21" s="54">
        <v>4.5</v>
      </c>
      <c r="BR21" s="54">
        <v>4.5</v>
      </c>
      <c r="BS21" s="54">
        <v>4.5</v>
      </c>
      <c r="BT21" s="54">
        <v>4.5</v>
      </c>
      <c r="BU21" s="54">
        <v>4.5</v>
      </c>
      <c r="BV21" s="55">
        <v>2</v>
      </c>
      <c r="BW21" s="54">
        <v>2</v>
      </c>
      <c r="BX21" s="54">
        <v>2</v>
      </c>
      <c r="BY21" s="54">
        <v>2</v>
      </c>
      <c r="BZ21" s="54">
        <v>2</v>
      </c>
      <c r="CA21" s="54">
        <v>2</v>
      </c>
      <c r="CB21" s="54">
        <v>2</v>
      </c>
      <c r="CC21" s="54">
        <v>2</v>
      </c>
      <c r="CD21" s="54">
        <v>2</v>
      </c>
      <c r="CE21" s="54">
        <v>2</v>
      </c>
      <c r="CF21" s="54">
        <v>2</v>
      </c>
      <c r="CG21" s="54">
        <v>2</v>
      </c>
      <c r="CH21" s="55">
        <v>2</v>
      </c>
      <c r="CI21" s="54">
        <v>2</v>
      </c>
      <c r="CJ21" s="54">
        <v>2</v>
      </c>
      <c r="CK21" s="54">
        <v>2</v>
      </c>
      <c r="CL21" s="54">
        <v>2</v>
      </c>
      <c r="CM21" s="54">
        <v>2</v>
      </c>
      <c r="CN21" s="54">
        <v>2</v>
      </c>
      <c r="CO21" s="54">
        <v>2</v>
      </c>
      <c r="CP21" s="54">
        <v>2</v>
      </c>
      <c r="CQ21" s="54">
        <v>2</v>
      </c>
      <c r="CR21" s="54">
        <v>2</v>
      </c>
      <c r="CS21" s="54">
        <v>2</v>
      </c>
      <c r="CT21" s="55">
        <v>2</v>
      </c>
      <c r="CU21" s="54">
        <v>2</v>
      </c>
      <c r="CV21" s="54">
        <v>2</v>
      </c>
      <c r="CW21" s="54">
        <v>2</v>
      </c>
      <c r="CX21" s="54">
        <v>2</v>
      </c>
      <c r="CY21" s="54">
        <v>2</v>
      </c>
      <c r="CZ21" s="54">
        <v>2</v>
      </c>
      <c r="DA21" s="54">
        <v>2</v>
      </c>
      <c r="DB21" s="54">
        <v>2</v>
      </c>
      <c r="DC21" s="54">
        <v>2</v>
      </c>
      <c r="DD21" s="54">
        <v>2</v>
      </c>
      <c r="DE21" s="54">
        <v>2</v>
      </c>
      <c r="DF21" s="55">
        <v>2</v>
      </c>
      <c r="DG21" s="56">
        <v>2</v>
      </c>
      <c r="DH21" s="54">
        <v>2</v>
      </c>
      <c r="DI21" s="54">
        <v>2</v>
      </c>
      <c r="DJ21" s="54">
        <v>2</v>
      </c>
      <c r="DK21" s="54">
        <v>2</v>
      </c>
      <c r="DL21" s="54">
        <v>2</v>
      </c>
      <c r="DM21" s="54">
        <v>2</v>
      </c>
      <c r="DN21" s="54">
        <v>2</v>
      </c>
      <c r="DO21" s="54">
        <v>2</v>
      </c>
      <c r="DP21" s="54">
        <v>2</v>
      </c>
      <c r="DQ21" s="54">
        <v>2</v>
      </c>
      <c r="DR21" s="55">
        <v>2</v>
      </c>
      <c r="DS21" s="54">
        <v>2</v>
      </c>
      <c r="DT21" s="54">
        <v>2</v>
      </c>
      <c r="DU21" s="54">
        <v>2</v>
      </c>
      <c r="DV21" s="54">
        <v>2</v>
      </c>
      <c r="DW21" s="54">
        <v>2</v>
      </c>
      <c r="DX21" s="54">
        <v>2</v>
      </c>
      <c r="DY21" s="54">
        <v>2</v>
      </c>
      <c r="DZ21" s="54">
        <v>2</v>
      </c>
      <c r="EA21" s="54">
        <v>2</v>
      </c>
      <c r="EB21" s="54">
        <v>2</v>
      </c>
      <c r="EC21" s="54">
        <v>2</v>
      </c>
      <c r="ED21" s="55">
        <v>2</v>
      </c>
      <c r="EE21" s="54">
        <v>2</v>
      </c>
      <c r="EF21" s="54">
        <v>2</v>
      </c>
      <c r="EG21" s="54">
        <v>2</v>
      </c>
      <c r="EH21" s="54">
        <v>2</v>
      </c>
      <c r="EI21" s="54">
        <v>2</v>
      </c>
      <c r="EJ21" s="54">
        <v>2</v>
      </c>
      <c r="EK21" s="54">
        <v>2</v>
      </c>
      <c r="EL21" s="54">
        <v>2</v>
      </c>
      <c r="EM21" s="54">
        <v>2</v>
      </c>
      <c r="EN21" s="54">
        <v>2</v>
      </c>
      <c r="EO21" s="54">
        <v>2</v>
      </c>
      <c r="EP21" s="55">
        <v>2</v>
      </c>
      <c r="EQ21" s="54">
        <v>2</v>
      </c>
      <c r="ER21" s="54">
        <v>2</v>
      </c>
      <c r="ES21" s="54">
        <v>2</v>
      </c>
      <c r="ET21" s="54">
        <v>2</v>
      </c>
      <c r="EU21" s="54">
        <v>2</v>
      </c>
      <c r="EV21" s="54">
        <v>2</v>
      </c>
      <c r="EW21" s="54">
        <v>2</v>
      </c>
      <c r="EX21" s="54">
        <v>2</v>
      </c>
      <c r="EY21" s="54">
        <v>2</v>
      </c>
      <c r="EZ21" s="54">
        <v>2</v>
      </c>
      <c r="FA21" s="54">
        <v>2</v>
      </c>
      <c r="FB21" s="55">
        <v>2</v>
      </c>
      <c r="FC21" s="54">
        <v>2</v>
      </c>
      <c r="FD21" s="54">
        <v>2</v>
      </c>
      <c r="FE21" s="54">
        <v>2</v>
      </c>
      <c r="FF21" s="54">
        <v>2</v>
      </c>
      <c r="FG21" s="54">
        <v>2</v>
      </c>
      <c r="FH21" s="54">
        <v>2</v>
      </c>
      <c r="FI21" s="54">
        <v>2</v>
      </c>
      <c r="FJ21" s="54">
        <v>2</v>
      </c>
      <c r="FK21" s="54">
        <v>2</v>
      </c>
      <c r="FL21" s="54">
        <v>2</v>
      </c>
      <c r="FM21" s="54">
        <v>2</v>
      </c>
      <c r="FN21" s="55"/>
    </row>
    <row r="22" spans="1:181" s="54" customFormat="1" ht="11.25">
      <c r="A22" s="54" t="s">
        <v>445</v>
      </c>
      <c r="AX22" s="55">
        <v>2</v>
      </c>
      <c r="AY22" s="54">
        <v>2</v>
      </c>
      <c r="AZ22" s="54">
        <v>2</v>
      </c>
      <c r="BA22" s="54">
        <v>2</v>
      </c>
      <c r="BB22" s="54">
        <v>2</v>
      </c>
      <c r="BC22" s="54">
        <v>2</v>
      </c>
      <c r="BD22" s="54">
        <v>2</v>
      </c>
      <c r="BE22" s="54">
        <v>2</v>
      </c>
      <c r="BF22" s="54">
        <v>2</v>
      </c>
      <c r="BG22" s="54">
        <v>2</v>
      </c>
      <c r="BH22" s="54">
        <v>2</v>
      </c>
      <c r="BI22" s="54">
        <v>2</v>
      </c>
      <c r="BJ22" s="55">
        <v>2</v>
      </c>
      <c r="BK22" s="54">
        <v>2</v>
      </c>
      <c r="BL22" s="54">
        <v>2</v>
      </c>
      <c r="BM22" s="54">
        <v>2</v>
      </c>
      <c r="BN22" s="54">
        <v>2</v>
      </c>
      <c r="BO22" s="54">
        <v>2</v>
      </c>
      <c r="BP22" s="54">
        <v>2</v>
      </c>
      <c r="BQ22" s="54">
        <v>2</v>
      </c>
      <c r="BR22" s="54">
        <v>2</v>
      </c>
      <c r="BS22" s="54">
        <v>2</v>
      </c>
      <c r="BT22" s="54">
        <v>2</v>
      </c>
      <c r="BU22" s="54">
        <v>2</v>
      </c>
      <c r="BV22" s="55">
        <v>2</v>
      </c>
      <c r="BW22" s="54">
        <v>2</v>
      </c>
      <c r="BX22" s="54">
        <v>2</v>
      </c>
      <c r="BY22" s="54">
        <v>2</v>
      </c>
      <c r="BZ22" s="54">
        <v>2</v>
      </c>
      <c r="CA22" s="54">
        <v>2</v>
      </c>
      <c r="CB22" s="54">
        <v>2</v>
      </c>
      <c r="CC22" s="54">
        <v>2</v>
      </c>
      <c r="CD22" s="54">
        <v>2</v>
      </c>
      <c r="CE22" s="54">
        <v>2</v>
      </c>
      <c r="CF22" s="54">
        <v>2</v>
      </c>
      <c r="CG22" s="54">
        <v>2</v>
      </c>
      <c r="CH22" s="55">
        <v>2</v>
      </c>
      <c r="CI22" s="54">
        <v>2</v>
      </c>
      <c r="CJ22" s="54">
        <v>2</v>
      </c>
      <c r="CK22" s="54">
        <v>2</v>
      </c>
      <c r="CL22" s="54">
        <v>2</v>
      </c>
      <c r="CM22" s="54">
        <v>2</v>
      </c>
      <c r="CN22" s="54">
        <v>2</v>
      </c>
      <c r="CO22" s="54">
        <v>2</v>
      </c>
      <c r="CP22" s="54">
        <v>2</v>
      </c>
      <c r="CQ22" s="54">
        <v>2</v>
      </c>
      <c r="CR22" s="54">
        <v>2</v>
      </c>
      <c r="CS22" s="54">
        <v>2</v>
      </c>
      <c r="CT22" s="55">
        <v>2</v>
      </c>
      <c r="CU22" s="54">
        <v>2</v>
      </c>
      <c r="CV22" s="54">
        <v>2</v>
      </c>
      <c r="CW22" s="54">
        <v>2</v>
      </c>
      <c r="CX22" s="54">
        <v>2</v>
      </c>
      <c r="CY22" s="54">
        <v>2</v>
      </c>
      <c r="CZ22" s="54">
        <v>2</v>
      </c>
      <c r="DA22" s="54">
        <v>2</v>
      </c>
      <c r="DB22" s="54">
        <v>2</v>
      </c>
      <c r="DC22" s="54">
        <v>2</v>
      </c>
      <c r="DD22" s="54">
        <v>2</v>
      </c>
      <c r="DE22" s="54">
        <v>2</v>
      </c>
      <c r="DF22" s="55">
        <v>2</v>
      </c>
      <c r="DG22" s="56">
        <v>2</v>
      </c>
      <c r="DH22" s="54">
        <v>2</v>
      </c>
      <c r="DI22" s="54">
        <v>2</v>
      </c>
      <c r="DJ22" s="54">
        <v>2</v>
      </c>
      <c r="DK22" s="54">
        <v>2</v>
      </c>
      <c r="DL22" s="54">
        <v>2</v>
      </c>
      <c r="DM22" s="54">
        <v>2</v>
      </c>
      <c r="DN22" s="54">
        <v>2</v>
      </c>
      <c r="DO22" s="54">
        <v>2</v>
      </c>
      <c r="DP22" s="54">
        <v>2</v>
      </c>
      <c r="DQ22" s="54">
        <v>2</v>
      </c>
      <c r="DR22" s="55">
        <v>2</v>
      </c>
      <c r="DS22" s="54">
        <v>2</v>
      </c>
      <c r="DT22" s="54">
        <v>2</v>
      </c>
      <c r="DU22" s="54">
        <v>2</v>
      </c>
      <c r="DV22" s="54">
        <v>2</v>
      </c>
      <c r="DW22" s="54">
        <v>2</v>
      </c>
      <c r="DX22" s="54">
        <v>2</v>
      </c>
      <c r="DY22" s="54">
        <v>2</v>
      </c>
      <c r="DZ22" s="54">
        <v>2</v>
      </c>
      <c r="EA22" s="54">
        <v>2</v>
      </c>
      <c r="EB22" s="54">
        <v>2</v>
      </c>
      <c r="EC22" s="54">
        <v>2</v>
      </c>
      <c r="ED22" s="55">
        <v>2</v>
      </c>
      <c r="EE22" s="54">
        <v>2</v>
      </c>
      <c r="EF22" s="54">
        <v>2</v>
      </c>
      <c r="EG22" s="54">
        <v>2</v>
      </c>
      <c r="EH22" s="54">
        <v>2</v>
      </c>
      <c r="EI22" s="54">
        <v>2</v>
      </c>
      <c r="EJ22" s="54">
        <v>2</v>
      </c>
      <c r="EK22" s="54">
        <v>2</v>
      </c>
      <c r="EL22" s="54">
        <v>2</v>
      </c>
      <c r="EM22" s="54">
        <v>2</v>
      </c>
      <c r="EN22" s="54">
        <v>2</v>
      </c>
      <c r="EO22" s="54">
        <v>2</v>
      </c>
      <c r="EP22" s="55">
        <v>2</v>
      </c>
      <c r="EQ22" s="54">
        <v>2</v>
      </c>
      <c r="ER22" s="54">
        <v>2</v>
      </c>
      <c r="ES22" s="54">
        <v>2</v>
      </c>
      <c r="ET22" s="54">
        <v>2</v>
      </c>
      <c r="EU22" s="54">
        <v>2</v>
      </c>
      <c r="EV22" s="54">
        <v>2</v>
      </c>
      <c r="EW22" s="54">
        <v>2</v>
      </c>
      <c r="EX22" s="54">
        <v>2</v>
      </c>
      <c r="EY22" s="54">
        <v>2</v>
      </c>
      <c r="EZ22" s="54">
        <v>2</v>
      </c>
      <c r="FA22" s="54">
        <v>2</v>
      </c>
      <c r="FB22" s="55">
        <v>2</v>
      </c>
      <c r="FC22" s="54">
        <v>2</v>
      </c>
      <c r="FD22" s="54">
        <v>2</v>
      </c>
      <c r="FE22" s="54">
        <v>2</v>
      </c>
      <c r="FF22" s="54">
        <v>2</v>
      </c>
      <c r="FG22" s="54">
        <v>2</v>
      </c>
      <c r="FH22" s="54">
        <v>2</v>
      </c>
      <c r="FI22" s="54">
        <v>2</v>
      </c>
      <c r="FJ22" s="54">
        <v>2</v>
      </c>
      <c r="FK22" s="54">
        <v>2</v>
      </c>
      <c r="FL22" s="54">
        <v>2</v>
      </c>
      <c r="FM22" s="54">
        <v>2</v>
      </c>
      <c r="FN22" s="55"/>
    </row>
    <row r="23" spans="1:181" s="54" customFormat="1" ht="11.25">
      <c r="A23" s="54" t="s">
        <v>446</v>
      </c>
      <c r="B23" s="54">
        <v>1.5</v>
      </c>
      <c r="C23" s="54">
        <v>1.5</v>
      </c>
      <c r="D23" s="54">
        <v>1.5</v>
      </c>
      <c r="E23" s="54">
        <v>1.5</v>
      </c>
      <c r="F23" s="54">
        <v>1.5</v>
      </c>
      <c r="G23" s="54">
        <v>1.5</v>
      </c>
      <c r="H23" s="54">
        <v>1.5</v>
      </c>
      <c r="I23" s="54">
        <v>1.5</v>
      </c>
      <c r="J23" s="54">
        <v>1.5</v>
      </c>
      <c r="K23" s="54">
        <v>1.5</v>
      </c>
      <c r="L23" s="54">
        <v>1.5</v>
      </c>
      <c r="M23" s="54">
        <v>1.5</v>
      </c>
      <c r="N23" s="54">
        <v>1.5</v>
      </c>
      <c r="O23" s="54">
        <v>1.5</v>
      </c>
      <c r="P23" s="54">
        <v>1.5</v>
      </c>
      <c r="Q23" s="54">
        <v>1.5</v>
      </c>
      <c r="R23" s="54">
        <v>1.5</v>
      </c>
      <c r="S23" s="54">
        <v>1.5</v>
      </c>
      <c r="T23" s="54">
        <v>1.5</v>
      </c>
      <c r="U23" s="54">
        <v>1.5</v>
      </c>
      <c r="V23" s="54">
        <v>1.5</v>
      </c>
      <c r="W23" s="54">
        <v>1.5</v>
      </c>
      <c r="X23" s="54">
        <v>1.5</v>
      </c>
      <c r="Y23" s="54">
        <v>1.5</v>
      </c>
      <c r="Z23" s="54">
        <v>1.5</v>
      </c>
      <c r="AA23" s="54">
        <v>1.5</v>
      </c>
      <c r="AB23" s="54">
        <v>1.5</v>
      </c>
      <c r="AC23" s="54">
        <v>1.5</v>
      </c>
      <c r="AD23" s="54">
        <v>1.5</v>
      </c>
      <c r="AE23" s="54">
        <v>1.5</v>
      </c>
      <c r="AF23" s="54">
        <v>1.5</v>
      </c>
      <c r="AG23" s="54">
        <v>1.5</v>
      </c>
      <c r="AH23" s="54">
        <v>1.5</v>
      </c>
      <c r="AI23" s="54">
        <v>1.5</v>
      </c>
      <c r="AJ23" s="54">
        <v>1.5</v>
      </c>
      <c r="AK23" s="54">
        <v>1.5</v>
      </c>
      <c r="AL23" s="54">
        <v>1</v>
      </c>
      <c r="AM23" s="54">
        <v>1</v>
      </c>
      <c r="AN23" s="54">
        <v>1</v>
      </c>
      <c r="AO23" s="54">
        <v>1</v>
      </c>
      <c r="AP23" s="54">
        <v>1</v>
      </c>
      <c r="AQ23" s="54">
        <v>1</v>
      </c>
      <c r="AR23" s="54">
        <v>1</v>
      </c>
      <c r="AS23" s="54">
        <v>1</v>
      </c>
      <c r="AT23" s="54">
        <v>1</v>
      </c>
      <c r="AU23" s="54">
        <v>1</v>
      </c>
      <c r="AV23" s="54">
        <v>1</v>
      </c>
      <c r="AW23" s="54">
        <v>1</v>
      </c>
      <c r="AX23" s="55">
        <v>1</v>
      </c>
      <c r="AY23" s="54">
        <v>1</v>
      </c>
      <c r="AZ23" s="54">
        <v>1</v>
      </c>
      <c r="BA23" s="54">
        <v>1</v>
      </c>
      <c r="BB23" s="54">
        <v>1</v>
      </c>
      <c r="BC23" s="54">
        <v>1</v>
      </c>
      <c r="BD23" s="54">
        <v>1</v>
      </c>
      <c r="BE23" s="54">
        <v>1</v>
      </c>
      <c r="BF23" s="54">
        <v>1</v>
      </c>
      <c r="BG23" s="54">
        <v>1</v>
      </c>
      <c r="BH23" s="54">
        <v>1</v>
      </c>
      <c r="BI23" s="54">
        <v>1</v>
      </c>
      <c r="BJ23" s="55">
        <v>1</v>
      </c>
      <c r="BK23" s="54">
        <v>1</v>
      </c>
      <c r="BL23" s="54">
        <v>1</v>
      </c>
      <c r="BM23" s="54">
        <v>1</v>
      </c>
      <c r="BN23" s="54">
        <v>1</v>
      </c>
      <c r="BO23" s="54">
        <v>1</v>
      </c>
      <c r="BP23" s="54">
        <v>1</v>
      </c>
      <c r="BQ23" s="54">
        <v>1</v>
      </c>
      <c r="BR23" s="54">
        <v>1</v>
      </c>
      <c r="BS23" s="54">
        <v>1</v>
      </c>
      <c r="BT23" s="54">
        <v>1</v>
      </c>
      <c r="BU23" s="54">
        <v>1</v>
      </c>
      <c r="BV23" s="55">
        <v>1</v>
      </c>
      <c r="BW23" s="54">
        <v>1</v>
      </c>
      <c r="BX23" s="54">
        <v>1</v>
      </c>
      <c r="BY23" s="54">
        <v>1</v>
      </c>
      <c r="BZ23" s="54">
        <v>1</v>
      </c>
      <c r="CA23" s="54">
        <v>1</v>
      </c>
      <c r="CB23" s="54">
        <v>1</v>
      </c>
      <c r="CC23" s="54">
        <v>1</v>
      </c>
      <c r="CD23" s="54">
        <v>1</v>
      </c>
      <c r="CE23" s="54">
        <v>1</v>
      </c>
      <c r="CF23" s="54">
        <v>1</v>
      </c>
      <c r="CG23" s="54">
        <v>1</v>
      </c>
      <c r="CH23" s="55">
        <v>1</v>
      </c>
      <c r="CI23" s="54">
        <v>1</v>
      </c>
      <c r="CJ23" s="54">
        <v>1</v>
      </c>
      <c r="CK23" s="54">
        <v>1</v>
      </c>
      <c r="CL23" s="54">
        <v>1</v>
      </c>
      <c r="CM23" s="54">
        <v>1</v>
      </c>
      <c r="CN23" s="54">
        <v>1</v>
      </c>
      <c r="CO23" s="54">
        <v>1</v>
      </c>
      <c r="CP23" s="54">
        <v>1</v>
      </c>
      <c r="CQ23" s="54">
        <v>1</v>
      </c>
      <c r="CR23" s="54">
        <v>1</v>
      </c>
      <c r="CS23" s="54">
        <v>1</v>
      </c>
      <c r="CT23" s="55">
        <v>1</v>
      </c>
      <c r="CU23" s="54">
        <v>1</v>
      </c>
      <c r="CV23" s="54">
        <v>1</v>
      </c>
      <c r="CW23" s="54">
        <v>1</v>
      </c>
      <c r="CX23" s="54">
        <v>1</v>
      </c>
      <c r="CY23" s="54">
        <v>1</v>
      </c>
      <c r="CZ23" s="54">
        <v>1</v>
      </c>
      <c r="DA23" s="54">
        <v>1</v>
      </c>
      <c r="DB23" s="54">
        <v>1</v>
      </c>
      <c r="DC23" s="54">
        <v>1</v>
      </c>
      <c r="DD23" s="54">
        <v>1</v>
      </c>
      <c r="DE23" s="54">
        <v>1</v>
      </c>
      <c r="DF23" s="55">
        <v>1</v>
      </c>
      <c r="DG23" s="56">
        <v>1</v>
      </c>
      <c r="DH23" s="54">
        <v>1</v>
      </c>
      <c r="DI23" s="54">
        <v>1</v>
      </c>
      <c r="DJ23" s="54">
        <v>1</v>
      </c>
      <c r="DK23" s="54">
        <v>1</v>
      </c>
      <c r="DL23" s="54">
        <v>1</v>
      </c>
      <c r="DM23" s="54">
        <v>1</v>
      </c>
      <c r="DN23" s="54">
        <v>1</v>
      </c>
      <c r="DO23" s="54">
        <v>1</v>
      </c>
      <c r="DP23" s="54">
        <v>1</v>
      </c>
      <c r="DQ23" s="54">
        <v>1</v>
      </c>
      <c r="DR23" s="55">
        <v>1</v>
      </c>
      <c r="DS23" s="54">
        <v>1</v>
      </c>
      <c r="DT23" s="54">
        <v>1</v>
      </c>
      <c r="DU23" s="54">
        <v>1</v>
      </c>
      <c r="DV23" s="54">
        <v>1</v>
      </c>
      <c r="DW23" s="54">
        <v>1</v>
      </c>
      <c r="DX23" s="54">
        <v>1</v>
      </c>
      <c r="DY23" s="54">
        <v>1</v>
      </c>
      <c r="DZ23" s="54">
        <v>1</v>
      </c>
      <c r="EA23" s="54">
        <v>1</v>
      </c>
      <c r="EB23" s="54">
        <v>1</v>
      </c>
      <c r="EC23" s="54">
        <v>1</v>
      </c>
      <c r="ED23" s="55">
        <v>1</v>
      </c>
      <c r="EE23" s="54">
        <v>1</v>
      </c>
      <c r="EF23" s="54">
        <v>1</v>
      </c>
      <c r="EG23" s="54">
        <v>1</v>
      </c>
      <c r="EH23" s="54">
        <v>1</v>
      </c>
      <c r="EI23" s="54">
        <v>1</v>
      </c>
      <c r="EJ23" s="54">
        <v>1</v>
      </c>
      <c r="EK23" s="54">
        <v>1</v>
      </c>
      <c r="EL23" s="54">
        <v>1</v>
      </c>
      <c r="EM23" s="54">
        <v>1</v>
      </c>
      <c r="EN23" s="54">
        <v>1</v>
      </c>
      <c r="EO23" s="54">
        <v>1</v>
      </c>
      <c r="EP23" s="55">
        <v>1</v>
      </c>
      <c r="EQ23" s="54">
        <v>1</v>
      </c>
      <c r="ER23" s="54">
        <v>1</v>
      </c>
      <c r="ES23" s="54">
        <v>1</v>
      </c>
      <c r="ET23" s="54">
        <v>1</v>
      </c>
      <c r="EU23" s="54">
        <v>1</v>
      </c>
      <c r="EV23" s="54">
        <v>1</v>
      </c>
      <c r="EW23" s="54">
        <v>1</v>
      </c>
      <c r="EX23" s="54">
        <v>1</v>
      </c>
      <c r="EY23" s="54">
        <v>1</v>
      </c>
      <c r="EZ23" s="54">
        <v>1</v>
      </c>
      <c r="FA23" s="54">
        <v>1</v>
      </c>
      <c r="FB23" s="54">
        <v>1</v>
      </c>
      <c r="FC23" s="54">
        <v>1</v>
      </c>
      <c r="FD23" s="54">
        <v>1</v>
      </c>
      <c r="FE23" s="54">
        <v>1</v>
      </c>
      <c r="FF23" s="54">
        <v>1</v>
      </c>
      <c r="FG23" s="54">
        <v>1</v>
      </c>
      <c r="FH23" s="54">
        <v>1</v>
      </c>
      <c r="FI23" s="54">
        <v>1</v>
      </c>
      <c r="FJ23" s="54">
        <v>1</v>
      </c>
      <c r="FK23" s="54">
        <v>1</v>
      </c>
      <c r="FL23" s="54">
        <v>1</v>
      </c>
      <c r="FM23" s="54">
        <v>1</v>
      </c>
      <c r="FN23" s="5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W329"/>
  <sheetViews>
    <sheetView workbookViewId="0">
      <pane xSplit="2" ySplit="3" topLeftCell="C283" activePane="bottomRight" state="frozen"/>
      <selection pane="topRight" activeCell="C1" sqref="C1"/>
      <selection pane="bottomLeft" activeCell="A4" sqref="A4"/>
      <selection pane="bottomRight" activeCell="EE1" sqref="C1:GR1"/>
    </sheetView>
  </sheetViews>
  <sheetFormatPr defaultColWidth="9.140625" defaultRowHeight="11.25"/>
  <cols>
    <col min="1" max="1" width="14.7109375" style="86" customWidth="1"/>
    <col min="2" max="2" width="7.85546875" style="93" bestFit="1" customWidth="1"/>
    <col min="3" max="3" width="9.42578125" style="127" bestFit="1" customWidth="1"/>
    <col min="4" max="7" width="9.85546875" style="93" bestFit="1" customWidth="1"/>
    <col min="8" max="8" width="11.42578125" style="93" customWidth="1"/>
    <col min="9" max="9" width="9.85546875" style="127" bestFit="1" customWidth="1"/>
    <col min="10" max="10" width="15" style="128" bestFit="1" customWidth="1"/>
    <col min="11" max="12" width="9.7109375" style="128" bestFit="1" customWidth="1"/>
    <col min="13" max="13" width="9.85546875" style="128" bestFit="1" customWidth="1"/>
    <col min="14" max="14" width="13.28515625" style="128" bestFit="1" customWidth="1"/>
    <col min="15" max="15" width="9.85546875" style="127" bestFit="1" customWidth="1"/>
    <col min="16" max="19" width="9.85546875" style="128" bestFit="1" customWidth="1"/>
    <col min="20" max="20" width="9.7109375" style="128" bestFit="1" customWidth="1"/>
    <col min="21" max="21" width="9.85546875" style="127" bestFit="1" customWidth="1"/>
    <col min="22" max="25" width="9.85546875" style="128" bestFit="1" customWidth="1"/>
    <col min="26" max="26" width="9.7109375" style="128" bestFit="1" customWidth="1"/>
    <col min="27" max="27" width="10" style="127" bestFit="1" customWidth="1"/>
    <col min="28" max="29" width="10.5703125" style="128" bestFit="1" customWidth="1"/>
    <col min="30" max="31" width="10" style="128" bestFit="1" customWidth="1"/>
    <col min="32" max="32" width="9.7109375" style="128" bestFit="1" customWidth="1"/>
    <col min="33" max="33" width="9.85546875" style="127" bestFit="1" customWidth="1"/>
    <col min="34" max="35" width="9.85546875" style="128" bestFit="1" customWidth="1"/>
    <col min="36" max="36" width="9.7109375" style="128" bestFit="1" customWidth="1"/>
    <col min="37" max="37" width="9.85546875" style="128" bestFit="1" customWidth="1"/>
    <col min="38" max="38" width="9.7109375" style="128" bestFit="1" customWidth="1"/>
    <col min="39" max="39" width="9.85546875" style="127" bestFit="1" customWidth="1"/>
    <col min="40" max="41" width="9.85546875" style="128" bestFit="1" customWidth="1"/>
    <col min="42" max="42" width="9.7109375" style="128" bestFit="1" customWidth="1"/>
    <col min="43" max="43" width="9.85546875" style="128" bestFit="1" customWidth="1"/>
    <col min="44" max="44" width="9.7109375" style="128" bestFit="1" customWidth="1"/>
    <col min="45" max="45" width="10" style="127" bestFit="1" customWidth="1"/>
    <col min="46" max="47" width="10.7109375" style="128" bestFit="1" customWidth="1"/>
    <col min="48" max="48" width="10" style="128" bestFit="1" customWidth="1"/>
    <col min="49" max="49" width="10.140625" style="128" bestFit="1" customWidth="1"/>
    <col min="50" max="50" width="10" style="128" bestFit="1" customWidth="1"/>
    <col min="51" max="51" width="10" style="127" bestFit="1" customWidth="1"/>
    <col min="52" max="54" width="9.85546875" style="128" bestFit="1" customWidth="1"/>
    <col min="55" max="55" width="10" style="128" bestFit="1" customWidth="1"/>
    <col min="56" max="56" width="9.85546875" style="128" bestFit="1" customWidth="1"/>
    <col min="57" max="57" width="9.85546875" style="127" bestFit="1" customWidth="1"/>
    <col min="58" max="62" width="9.85546875" style="128" bestFit="1" customWidth="1"/>
    <col min="63" max="63" width="9.85546875" style="127" bestFit="1" customWidth="1"/>
    <col min="64" max="68" width="9.85546875" style="128" bestFit="1" customWidth="1"/>
    <col min="69" max="69" width="9.85546875" style="127" bestFit="1" customWidth="1"/>
    <col min="70" max="73" width="9.85546875" style="128" bestFit="1" customWidth="1"/>
    <col min="74" max="74" width="9.7109375" style="128" bestFit="1" customWidth="1"/>
    <col min="75" max="75" width="9.85546875" style="127" bestFit="1" customWidth="1"/>
    <col min="76" max="80" width="9.85546875" style="128" bestFit="1" customWidth="1"/>
    <col min="81" max="81" width="9.85546875" style="127" bestFit="1" customWidth="1"/>
    <col min="82" max="85" width="9.85546875" style="128" bestFit="1" customWidth="1"/>
    <col min="86" max="86" width="9.7109375" style="128" bestFit="1" customWidth="1"/>
    <col min="87" max="87" width="9.85546875" style="127" bestFit="1" customWidth="1"/>
    <col min="88" max="91" width="9.85546875" style="128" bestFit="1" customWidth="1"/>
    <col min="92" max="92" width="9.7109375" style="128" bestFit="1" customWidth="1"/>
    <col min="93" max="93" width="9.85546875" style="127" bestFit="1" customWidth="1"/>
    <col min="94" max="94" width="9.85546875" style="128" bestFit="1" customWidth="1"/>
    <col min="95" max="95" width="10.28515625" style="128" bestFit="1" customWidth="1"/>
    <col min="96" max="98" width="9.85546875" style="128" bestFit="1" customWidth="1"/>
    <col min="99" max="99" width="9.85546875" style="127" bestFit="1" customWidth="1"/>
    <col min="100" max="101" width="10.5703125" style="128" bestFit="1" customWidth="1"/>
    <col min="102" max="102" width="10" style="128" bestFit="1" customWidth="1"/>
    <col min="103" max="103" width="9.85546875" style="128" bestFit="1" customWidth="1"/>
    <col min="104" max="104" width="9.7109375" style="128" bestFit="1" customWidth="1"/>
    <col min="105" max="105" width="9.85546875" style="127" bestFit="1" customWidth="1"/>
    <col min="106" max="106" width="10.5703125" style="128" bestFit="1" customWidth="1"/>
    <col min="107" max="107" width="10.28515625" style="128" bestFit="1" customWidth="1"/>
    <col min="108" max="110" width="9.85546875" style="128" bestFit="1" customWidth="1"/>
    <col min="111" max="111" width="9.85546875" style="127" bestFit="1" customWidth="1"/>
    <col min="112" max="112" width="9.85546875" style="128" bestFit="1" customWidth="1"/>
    <col min="113" max="114" width="9.7109375" style="128" bestFit="1" customWidth="1"/>
    <col min="115" max="116" width="9.85546875" style="128" bestFit="1" customWidth="1"/>
    <col min="117" max="117" width="9.85546875" style="127" bestFit="1" customWidth="1"/>
    <col min="118" max="122" width="9.85546875" style="128" bestFit="1" customWidth="1"/>
    <col min="123" max="123" width="9.85546875" style="127" bestFit="1" customWidth="1"/>
    <col min="124" max="128" width="9.85546875" style="128" bestFit="1" customWidth="1"/>
    <col min="129" max="129" width="9.85546875" style="127" bestFit="1" customWidth="1"/>
    <col min="130" max="130" width="10.140625" style="128" bestFit="1" customWidth="1"/>
    <col min="131" max="133" width="9.85546875" style="128" bestFit="1" customWidth="1"/>
    <col min="134" max="134" width="9.7109375" style="128" bestFit="1" customWidth="1"/>
    <col min="135" max="135" width="9.85546875" style="127" bestFit="1" customWidth="1"/>
    <col min="136" max="140" width="9.85546875" style="128" bestFit="1" customWidth="1"/>
    <col min="141" max="141" width="11.28515625" style="127" bestFit="1" customWidth="1"/>
    <col min="142" max="143" width="10.28515625" style="128" bestFit="1" customWidth="1"/>
    <col min="144" max="144" width="9.85546875" style="128" bestFit="1" customWidth="1"/>
    <col min="145" max="146" width="10.28515625" style="128" bestFit="1" customWidth="1"/>
    <col min="147" max="147" width="9.85546875" style="127" bestFit="1" customWidth="1"/>
    <col min="148" max="152" width="9.85546875" style="128" bestFit="1" customWidth="1"/>
    <col min="153" max="153" width="9.85546875" style="127" bestFit="1" customWidth="1"/>
    <col min="154" max="158" width="9.85546875" style="128" bestFit="1" customWidth="1"/>
    <col min="159" max="159" width="10" style="127" bestFit="1" customWidth="1"/>
    <col min="160" max="160" width="10" style="128" bestFit="1" customWidth="1"/>
    <col min="161" max="161" width="10.5703125" style="128" bestFit="1" customWidth="1"/>
    <col min="162" max="163" width="10" style="128" bestFit="1" customWidth="1"/>
    <col min="164" max="164" width="9.85546875" style="128" bestFit="1" customWidth="1"/>
    <col min="165" max="165" width="10" style="127" bestFit="1" customWidth="1"/>
    <col min="166" max="166" width="10.7109375" style="128" bestFit="1" customWidth="1"/>
    <col min="167" max="169" width="10" style="128" bestFit="1" customWidth="1"/>
    <col min="170" max="170" width="9.85546875" style="128" bestFit="1" customWidth="1"/>
    <col min="171" max="171" width="10" style="127" bestFit="1" customWidth="1"/>
    <col min="172" max="172" width="10" style="128" bestFit="1" customWidth="1"/>
    <col min="173" max="173" width="10.42578125" style="128" bestFit="1" customWidth="1"/>
    <col min="174" max="175" width="10" style="128" bestFit="1" customWidth="1"/>
    <col min="176" max="176" width="9.7109375" style="128" bestFit="1" customWidth="1"/>
    <col min="177" max="177" width="9.85546875" style="127" bestFit="1" customWidth="1"/>
    <col min="178" max="178" width="11" style="128" bestFit="1" customWidth="1"/>
    <col min="179" max="179" width="10.5703125" style="128" bestFit="1" customWidth="1"/>
    <col min="180" max="182" width="9.85546875" style="128" bestFit="1" customWidth="1"/>
    <col min="183" max="183" width="9.85546875" style="127" bestFit="1" customWidth="1"/>
    <col min="184" max="184" width="10.140625" style="128" bestFit="1" customWidth="1"/>
    <col min="185" max="187" width="9.85546875" style="128" bestFit="1" customWidth="1"/>
    <col min="188" max="188" width="9.7109375" style="128" bestFit="1" customWidth="1"/>
    <col min="189" max="189" width="9.85546875" style="127" bestFit="1" customWidth="1"/>
    <col min="190" max="192" width="9.85546875" style="128" bestFit="1" customWidth="1"/>
    <col min="193" max="193" width="9.140625" style="128" customWidth="1"/>
    <col min="194" max="194" width="9.85546875" style="128" bestFit="1" customWidth="1"/>
    <col min="195" max="195" width="9.85546875" style="127" bestFit="1" customWidth="1"/>
    <col min="196" max="197" width="9.85546875" style="128" bestFit="1" customWidth="1"/>
    <col min="198" max="198" width="10.42578125" style="128" bestFit="1" customWidth="1"/>
    <col min="199" max="200" width="9.85546875" style="128" bestFit="1" customWidth="1"/>
    <col min="201" max="201" width="9.140625" style="127"/>
    <col min="202" max="16384" width="9.140625" style="93"/>
  </cols>
  <sheetData>
    <row r="1" spans="1:231" s="68" customFormat="1" ht="13.5" customHeight="1">
      <c r="A1" s="63" t="s">
        <v>449</v>
      </c>
      <c r="B1" s="64"/>
      <c r="C1" s="224" t="s">
        <v>450</v>
      </c>
      <c r="D1" s="224"/>
      <c r="E1" s="224"/>
      <c r="F1" s="224"/>
      <c r="G1" s="224"/>
      <c r="H1" s="224"/>
      <c r="I1" s="225" t="s">
        <v>451</v>
      </c>
      <c r="J1" s="225"/>
      <c r="K1" s="225"/>
      <c r="L1" s="225"/>
      <c r="M1" s="225"/>
      <c r="N1" s="225"/>
      <c r="O1" s="226" t="s">
        <v>452</v>
      </c>
      <c r="P1" s="225"/>
      <c r="Q1" s="225"/>
      <c r="R1" s="225"/>
      <c r="S1" s="225"/>
      <c r="T1" s="225"/>
      <c r="U1" s="226" t="s">
        <v>453</v>
      </c>
      <c r="V1" s="225"/>
      <c r="W1" s="225"/>
      <c r="X1" s="225"/>
      <c r="Y1" s="225"/>
      <c r="Z1" s="225"/>
      <c r="AA1" s="218" t="s">
        <v>454</v>
      </c>
      <c r="AB1" s="219"/>
      <c r="AC1" s="219"/>
      <c r="AD1" s="219"/>
      <c r="AE1" s="219"/>
      <c r="AF1" s="223"/>
      <c r="AG1" s="218" t="s">
        <v>455</v>
      </c>
      <c r="AH1" s="219"/>
      <c r="AI1" s="219"/>
      <c r="AJ1" s="219"/>
      <c r="AK1" s="219"/>
      <c r="AL1" s="223"/>
      <c r="AM1" s="218" t="s">
        <v>456</v>
      </c>
      <c r="AN1" s="219"/>
      <c r="AO1" s="219"/>
      <c r="AP1" s="219"/>
      <c r="AQ1" s="219"/>
      <c r="AR1" s="223"/>
      <c r="AS1" s="219" t="s">
        <v>457</v>
      </c>
      <c r="AT1" s="219"/>
      <c r="AU1" s="219"/>
      <c r="AV1" s="219"/>
      <c r="AW1" s="219"/>
      <c r="AX1" s="219"/>
      <c r="AY1" s="219" t="s">
        <v>458</v>
      </c>
      <c r="AZ1" s="219"/>
      <c r="BA1" s="219"/>
      <c r="BB1" s="219"/>
      <c r="BC1" s="219"/>
      <c r="BD1" s="219"/>
      <c r="BE1" s="219" t="s">
        <v>459</v>
      </c>
      <c r="BF1" s="219"/>
      <c r="BG1" s="219"/>
      <c r="BH1" s="219"/>
      <c r="BI1" s="219"/>
      <c r="BJ1" s="219"/>
      <c r="BK1" s="218" t="s">
        <v>460</v>
      </c>
      <c r="BL1" s="219"/>
      <c r="BM1" s="219"/>
      <c r="BN1" s="219"/>
      <c r="BO1" s="219"/>
      <c r="BP1" s="219"/>
      <c r="BQ1" s="218" t="s">
        <v>461</v>
      </c>
      <c r="BR1" s="219"/>
      <c r="BS1" s="219"/>
      <c r="BT1" s="219"/>
      <c r="BU1" s="219"/>
      <c r="BV1" s="219"/>
      <c r="BW1" s="218" t="s">
        <v>462</v>
      </c>
      <c r="BX1" s="219"/>
      <c r="BY1" s="219"/>
      <c r="BZ1" s="219"/>
      <c r="CA1" s="219"/>
      <c r="CB1" s="219"/>
      <c r="CC1" s="218" t="s">
        <v>463</v>
      </c>
      <c r="CD1" s="219"/>
      <c r="CE1" s="219"/>
      <c r="CF1" s="219"/>
      <c r="CG1" s="219"/>
      <c r="CH1" s="219"/>
      <c r="CI1" s="218" t="s">
        <v>464</v>
      </c>
      <c r="CJ1" s="219"/>
      <c r="CK1" s="219"/>
      <c r="CL1" s="219"/>
      <c r="CM1" s="219"/>
      <c r="CN1" s="219"/>
      <c r="CO1" s="218" t="s">
        <v>465</v>
      </c>
      <c r="CP1" s="219"/>
      <c r="CQ1" s="219"/>
      <c r="CR1" s="219"/>
      <c r="CS1" s="219"/>
      <c r="CT1" s="219"/>
      <c r="CU1" s="218" t="s">
        <v>466</v>
      </c>
      <c r="CV1" s="219"/>
      <c r="CW1" s="219"/>
      <c r="CX1" s="219"/>
      <c r="CY1" s="219"/>
      <c r="CZ1" s="219"/>
      <c r="DA1" s="218" t="s">
        <v>467</v>
      </c>
      <c r="DB1" s="219"/>
      <c r="DC1" s="219"/>
      <c r="DD1" s="219"/>
      <c r="DE1" s="219"/>
      <c r="DF1" s="219"/>
      <c r="DG1" s="220" t="s">
        <v>468</v>
      </c>
      <c r="DH1" s="219"/>
      <c r="DI1" s="219"/>
      <c r="DJ1" s="219"/>
      <c r="DK1" s="219"/>
      <c r="DL1" s="219"/>
      <c r="DM1" s="218" t="s">
        <v>469</v>
      </c>
      <c r="DN1" s="219"/>
      <c r="DO1" s="219"/>
      <c r="DP1" s="219"/>
      <c r="DQ1" s="219"/>
      <c r="DR1" s="219"/>
      <c r="DS1" s="218" t="s">
        <v>470</v>
      </c>
      <c r="DT1" s="219"/>
      <c r="DU1" s="219"/>
      <c r="DV1" s="219"/>
      <c r="DW1" s="219"/>
      <c r="DX1" s="219"/>
      <c r="DY1" s="220" t="s">
        <v>471</v>
      </c>
      <c r="DZ1" s="221"/>
      <c r="EA1" s="221"/>
      <c r="EB1" s="221"/>
      <c r="EC1" s="221"/>
      <c r="ED1" s="221"/>
      <c r="EE1" s="218" t="s">
        <v>472</v>
      </c>
      <c r="EF1" s="219"/>
      <c r="EG1" s="219"/>
      <c r="EH1" s="219"/>
      <c r="EI1" s="219"/>
      <c r="EJ1" s="219"/>
      <c r="EK1" s="218" t="s">
        <v>473</v>
      </c>
      <c r="EL1" s="219"/>
      <c r="EM1" s="219"/>
      <c r="EN1" s="219"/>
      <c r="EO1" s="219"/>
      <c r="EP1" s="219"/>
      <c r="EQ1" s="220" t="s">
        <v>474</v>
      </c>
      <c r="ER1" s="221"/>
      <c r="ES1" s="221"/>
      <c r="ET1" s="221"/>
      <c r="EU1" s="221"/>
      <c r="EV1" s="222"/>
      <c r="EW1" s="220" t="s">
        <v>475</v>
      </c>
      <c r="EX1" s="221"/>
      <c r="EY1" s="221"/>
      <c r="EZ1" s="221"/>
      <c r="FA1" s="221"/>
      <c r="FB1" s="222"/>
      <c r="FC1" s="218" t="s">
        <v>476</v>
      </c>
      <c r="FD1" s="219"/>
      <c r="FE1" s="219"/>
      <c r="FF1" s="219"/>
      <c r="FG1" s="219"/>
      <c r="FH1" s="219"/>
      <c r="FI1" s="218" t="s">
        <v>477</v>
      </c>
      <c r="FJ1" s="219"/>
      <c r="FK1" s="219"/>
      <c r="FL1" s="219"/>
      <c r="FM1" s="219"/>
      <c r="FN1" s="219"/>
      <c r="FO1" s="218" t="s">
        <v>478</v>
      </c>
      <c r="FP1" s="219"/>
      <c r="FQ1" s="219"/>
      <c r="FR1" s="219"/>
      <c r="FS1" s="219"/>
      <c r="FT1" s="219"/>
      <c r="FU1" s="218" t="s">
        <v>479</v>
      </c>
      <c r="FV1" s="219"/>
      <c r="FW1" s="219"/>
      <c r="FX1" s="219"/>
      <c r="FY1" s="219"/>
      <c r="FZ1" s="219"/>
      <c r="GA1" s="218" t="s">
        <v>480</v>
      </c>
      <c r="GB1" s="219"/>
      <c r="GC1" s="219"/>
      <c r="GD1" s="219"/>
      <c r="GE1" s="219"/>
      <c r="GF1" s="219"/>
      <c r="GG1" s="218" t="s">
        <v>481</v>
      </c>
      <c r="GH1" s="219"/>
      <c r="GI1" s="219"/>
      <c r="GJ1" s="219"/>
      <c r="GK1" s="219"/>
      <c r="GL1" s="219"/>
      <c r="GM1" s="218" t="s">
        <v>482</v>
      </c>
      <c r="GN1" s="219"/>
      <c r="GO1" s="219"/>
      <c r="GP1" s="219"/>
      <c r="GQ1" s="219"/>
      <c r="GR1" s="219"/>
      <c r="GS1" s="65"/>
      <c r="GT1" s="66"/>
      <c r="GU1" s="66"/>
      <c r="GV1" s="66"/>
      <c r="GW1" s="66"/>
      <c r="GX1" s="66"/>
      <c r="GY1" s="66"/>
      <c r="GZ1" s="66"/>
      <c r="HA1" s="66"/>
      <c r="HB1" s="66"/>
      <c r="HC1" s="66"/>
      <c r="HD1" s="66"/>
      <c r="HE1" s="66"/>
      <c r="HF1" s="66"/>
      <c r="HG1" s="66"/>
      <c r="HH1" s="66"/>
      <c r="HI1" s="66"/>
      <c r="HJ1" s="66"/>
      <c r="HK1" s="66"/>
      <c r="HL1" s="66"/>
      <c r="HM1" s="66"/>
      <c r="HN1" s="66"/>
      <c r="HO1" s="67"/>
      <c r="HP1" s="67"/>
      <c r="HQ1" s="67"/>
      <c r="HR1" s="67"/>
      <c r="HS1" s="67"/>
      <c r="HT1" s="67"/>
      <c r="HU1" s="67"/>
      <c r="HV1" s="67"/>
      <c r="HW1" s="67"/>
    </row>
    <row r="2" spans="1:231" s="76" customFormat="1" ht="22.5">
      <c r="A2" s="69"/>
      <c r="B2" s="70"/>
      <c r="C2" s="71" t="s">
        <v>483</v>
      </c>
      <c r="D2" s="72" t="s">
        <v>484</v>
      </c>
      <c r="E2" s="73" t="s">
        <v>485</v>
      </c>
      <c r="F2" s="73" t="s">
        <v>486</v>
      </c>
      <c r="G2" s="72" t="s">
        <v>487</v>
      </c>
      <c r="H2" s="72" t="s">
        <v>486</v>
      </c>
      <c r="I2" s="71" t="s">
        <v>488</v>
      </c>
      <c r="J2" s="72" t="s">
        <v>484</v>
      </c>
      <c r="K2" s="73" t="s">
        <v>485</v>
      </c>
      <c r="L2" s="73" t="s">
        <v>486</v>
      </c>
      <c r="M2" s="72" t="s">
        <v>487</v>
      </c>
      <c r="N2" s="72" t="s">
        <v>486</v>
      </c>
      <c r="O2" s="71" t="s">
        <v>488</v>
      </c>
      <c r="P2" s="72" t="s">
        <v>484</v>
      </c>
      <c r="Q2" s="73" t="s">
        <v>485</v>
      </c>
      <c r="R2" s="73" t="s">
        <v>486</v>
      </c>
      <c r="S2" s="72" t="s">
        <v>487</v>
      </c>
      <c r="T2" s="72" t="s">
        <v>486</v>
      </c>
      <c r="U2" s="71" t="s">
        <v>488</v>
      </c>
      <c r="V2" s="72" t="s">
        <v>484</v>
      </c>
      <c r="W2" s="73" t="s">
        <v>485</v>
      </c>
      <c r="X2" s="73" t="s">
        <v>486</v>
      </c>
      <c r="Y2" s="72" t="s">
        <v>487</v>
      </c>
      <c r="Z2" s="72" t="s">
        <v>486</v>
      </c>
      <c r="AA2" s="71" t="s">
        <v>488</v>
      </c>
      <c r="AB2" s="72" t="s">
        <v>484</v>
      </c>
      <c r="AC2" s="73" t="s">
        <v>485</v>
      </c>
      <c r="AD2" s="73" t="s">
        <v>486</v>
      </c>
      <c r="AE2" s="72" t="s">
        <v>487</v>
      </c>
      <c r="AF2" s="72" t="s">
        <v>486</v>
      </c>
      <c r="AG2" s="71" t="s">
        <v>488</v>
      </c>
      <c r="AH2" s="72" t="s">
        <v>484</v>
      </c>
      <c r="AI2" s="73" t="s">
        <v>485</v>
      </c>
      <c r="AJ2" s="73" t="s">
        <v>486</v>
      </c>
      <c r="AK2" s="72" t="s">
        <v>487</v>
      </c>
      <c r="AL2" s="72" t="s">
        <v>486</v>
      </c>
      <c r="AM2" s="71" t="s">
        <v>488</v>
      </c>
      <c r="AN2" s="72" t="s">
        <v>484</v>
      </c>
      <c r="AO2" s="73" t="s">
        <v>485</v>
      </c>
      <c r="AP2" s="73" t="s">
        <v>486</v>
      </c>
      <c r="AQ2" s="72" t="s">
        <v>487</v>
      </c>
      <c r="AR2" s="72" t="s">
        <v>486</v>
      </c>
      <c r="AS2" s="71" t="s">
        <v>488</v>
      </c>
      <c r="AT2" s="72" t="s">
        <v>484</v>
      </c>
      <c r="AU2" s="73" t="s">
        <v>485</v>
      </c>
      <c r="AV2" s="73" t="s">
        <v>486</v>
      </c>
      <c r="AW2" s="72" t="s">
        <v>487</v>
      </c>
      <c r="AX2" s="72" t="s">
        <v>486</v>
      </c>
      <c r="AY2" s="71" t="s">
        <v>488</v>
      </c>
      <c r="AZ2" s="72" t="s">
        <v>484</v>
      </c>
      <c r="BA2" s="73" t="s">
        <v>485</v>
      </c>
      <c r="BB2" s="73" t="s">
        <v>486</v>
      </c>
      <c r="BC2" s="72" t="s">
        <v>487</v>
      </c>
      <c r="BD2" s="72" t="s">
        <v>486</v>
      </c>
      <c r="BE2" s="71" t="s">
        <v>488</v>
      </c>
      <c r="BF2" s="72" t="s">
        <v>484</v>
      </c>
      <c r="BG2" s="73" t="s">
        <v>485</v>
      </c>
      <c r="BH2" s="73" t="s">
        <v>486</v>
      </c>
      <c r="BI2" s="72" t="s">
        <v>487</v>
      </c>
      <c r="BJ2" s="72" t="s">
        <v>486</v>
      </c>
      <c r="BK2" s="71" t="s">
        <v>488</v>
      </c>
      <c r="BL2" s="72" t="s">
        <v>484</v>
      </c>
      <c r="BM2" s="73" t="s">
        <v>485</v>
      </c>
      <c r="BN2" s="73" t="s">
        <v>486</v>
      </c>
      <c r="BO2" s="72" t="s">
        <v>487</v>
      </c>
      <c r="BP2" s="72" t="s">
        <v>486</v>
      </c>
      <c r="BQ2" s="71" t="s">
        <v>488</v>
      </c>
      <c r="BR2" s="72" t="s">
        <v>484</v>
      </c>
      <c r="BS2" s="73" t="s">
        <v>485</v>
      </c>
      <c r="BT2" s="73" t="s">
        <v>486</v>
      </c>
      <c r="BU2" s="72" t="s">
        <v>487</v>
      </c>
      <c r="BV2" s="72" t="s">
        <v>486</v>
      </c>
      <c r="BW2" s="71" t="s">
        <v>488</v>
      </c>
      <c r="BX2" s="72" t="s">
        <v>484</v>
      </c>
      <c r="BY2" s="73" t="s">
        <v>485</v>
      </c>
      <c r="BZ2" s="73" t="s">
        <v>486</v>
      </c>
      <c r="CA2" s="72" t="s">
        <v>487</v>
      </c>
      <c r="CB2" s="72" t="s">
        <v>486</v>
      </c>
      <c r="CC2" s="71" t="s">
        <v>488</v>
      </c>
      <c r="CD2" s="72" t="s">
        <v>484</v>
      </c>
      <c r="CE2" s="73" t="s">
        <v>485</v>
      </c>
      <c r="CF2" s="73" t="s">
        <v>486</v>
      </c>
      <c r="CG2" s="72" t="s">
        <v>487</v>
      </c>
      <c r="CH2" s="72" t="s">
        <v>486</v>
      </c>
      <c r="CI2" s="71" t="s">
        <v>488</v>
      </c>
      <c r="CJ2" s="72" t="s">
        <v>484</v>
      </c>
      <c r="CK2" s="73" t="s">
        <v>485</v>
      </c>
      <c r="CL2" s="73" t="s">
        <v>486</v>
      </c>
      <c r="CM2" s="72" t="s">
        <v>487</v>
      </c>
      <c r="CN2" s="72" t="s">
        <v>486</v>
      </c>
      <c r="CO2" s="71" t="s">
        <v>488</v>
      </c>
      <c r="CP2" s="72" t="s">
        <v>484</v>
      </c>
      <c r="CQ2" s="73" t="s">
        <v>485</v>
      </c>
      <c r="CR2" s="73" t="s">
        <v>486</v>
      </c>
      <c r="CS2" s="72" t="s">
        <v>487</v>
      </c>
      <c r="CT2" s="72" t="s">
        <v>486</v>
      </c>
      <c r="CU2" s="71" t="s">
        <v>488</v>
      </c>
      <c r="CV2" s="72" t="s">
        <v>484</v>
      </c>
      <c r="CW2" s="73" t="s">
        <v>485</v>
      </c>
      <c r="CX2" s="73" t="s">
        <v>486</v>
      </c>
      <c r="CY2" s="72" t="s">
        <v>487</v>
      </c>
      <c r="CZ2" s="72" t="s">
        <v>486</v>
      </c>
      <c r="DA2" s="71" t="s">
        <v>488</v>
      </c>
      <c r="DB2" s="72" t="s">
        <v>484</v>
      </c>
      <c r="DC2" s="73" t="s">
        <v>485</v>
      </c>
      <c r="DD2" s="73" t="s">
        <v>486</v>
      </c>
      <c r="DE2" s="72" t="s">
        <v>487</v>
      </c>
      <c r="DF2" s="72" t="s">
        <v>486</v>
      </c>
      <c r="DG2" s="71" t="s">
        <v>488</v>
      </c>
      <c r="DH2" s="72" t="s">
        <v>484</v>
      </c>
      <c r="DI2" s="73" t="s">
        <v>485</v>
      </c>
      <c r="DJ2" s="73" t="s">
        <v>486</v>
      </c>
      <c r="DK2" s="72" t="s">
        <v>487</v>
      </c>
      <c r="DL2" s="72" t="s">
        <v>486</v>
      </c>
      <c r="DM2" s="71" t="s">
        <v>488</v>
      </c>
      <c r="DN2" s="72" t="s">
        <v>484</v>
      </c>
      <c r="DO2" s="73" t="s">
        <v>485</v>
      </c>
      <c r="DP2" s="73" t="s">
        <v>486</v>
      </c>
      <c r="DQ2" s="72" t="s">
        <v>487</v>
      </c>
      <c r="DR2" s="72" t="s">
        <v>486</v>
      </c>
      <c r="DS2" s="71" t="s">
        <v>488</v>
      </c>
      <c r="DT2" s="72" t="s">
        <v>484</v>
      </c>
      <c r="DU2" s="73" t="s">
        <v>485</v>
      </c>
      <c r="DV2" s="73" t="s">
        <v>486</v>
      </c>
      <c r="DW2" s="72" t="s">
        <v>487</v>
      </c>
      <c r="DX2" s="72" t="s">
        <v>486</v>
      </c>
      <c r="DY2" s="71"/>
      <c r="DZ2" s="72" t="s">
        <v>484</v>
      </c>
      <c r="EA2" s="73" t="s">
        <v>485</v>
      </c>
      <c r="EB2" s="73" t="s">
        <v>486</v>
      </c>
      <c r="EC2" s="72" t="s">
        <v>487</v>
      </c>
      <c r="ED2" s="72" t="s">
        <v>486</v>
      </c>
      <c r="EE2" s="71" t="s">
        <v>488</v>
      </c>
      <c r="EF2" s="72" t="s">
        <v>484</v>
      </c>
      <c r="EG2" s="73" t="s">
        <v>485</v>
      </c>
      <c r="EH2" s="73" t="s">
        <v>486</v>
      </c>
      <c r="EI2" s="72" t="s">
        <v>487</v>
      </c>
      <c r="EJ2" s="72" t="s">
        <v>486</v>
      </c>
      <c r="EK2" s="71" t="s">
        <v>488</v>
      </c>
      <c r="EL2" s="72" t="s">
        <v>484</v>
      </c>
      <c r="EM2" s="73" t="s">
        <v>485</v>
      </c>
      <c r="EN2" s="73" t="s">
        <v>486</v>
      </c>
      <c r="EO2" s="72" t="s">
        <v>487</v>
      </c>
      <c r="EP2" s="72" t="s">
        <v>486</v>
      </c>
      <c r="EQ2" s="71" t="s">
        <v>488</v>
      </c>
      <c r="ER2" s="72" t="s">
        <v>484</v>
      </c>
      <c r="ES2" s="73" t="s">
        <v>485</v>
      </c>
      <c r="ET2" s="73" t="s">
        <v>486</v>
      </c>
      <c r="EU2" s="72" t="s">
        <v>487</v>
      </c>
      <c r="EV2" s="72" t="s">
        <v>486</v>
      </c>
      <c r="EW2" s="71" t="s">
        <v>488</v>
      </c>
      <c r="EX2" s="72" t="s">
        <v>484</v>
      </c>
      <c r="EY2" s="73" t="s">
        <v>485</v>
      </c>
      <c r="EZ2" s="73" t="s">
        <v>486</v>
      </c>
      <c r="FA2" s="72" t="s">
        <v>487</v>
      </c>
      <c r="FB2" s="72" t="s">
        <v>486</v>
      </c>
      <c r="FC2" s="71" t="s">
        <v>488</v>
      </c>
      <c r="FD2" s="72" t="s">
        <v>484</v>
      </c>
      <c r="FE2" s="73" t="s">
        <v>485</v>
      </c>
      <c r="FF2" s="73" t="s">
        <v>486</v>
      </c>
      <c r="FG2" s="72" t="s">
        <v>487</v>
      </c>
      <c r="FH2" s="72" t="s">
        <v>486</v>
      </c>
      <c r="FI2" s="71" t="s">
        <v>488</v>
      </c>
      <c r="FJ2" s="72" t="s">
        <v>484</v>
      </c>
      <c r="FK2" s="73" t="s">
        <v>485</v>
      </c>
      <c r="FL2" s="73" t="s">
        <v>486</v>
      </c>
      <c r="FM2" s="72" t="s">
        <v>487</v>
      </c>
      <c r="FN2" s="72" t="s">
        <v>486</v>
      </c>
      <c r="FO2" s="71" t="s">
        <v>488</v>
      </c>
      <c r="FP2" s="72" t="s">
        <v>484</v>
      </c>
      <c r="FQ2" s="73" t="s">
        <v>485</v>
      </c>
      <c r="FR2" s="73" t="s">
        <v>486</v>
      </c>
      <c r="FS2" s="72" t="s">
        <v>487</v>
      </c>
      <c r="FT2" s="72" t="s">
        <v>486</v>
      </c>
      <c r="FU2" s="71" t="s">
        <v>488</v>
      </c>
      <c r="FV2" s="72" t="s">
        <v>484</v>
      </c>
      <c r="FW2" s="73" t="s">
        <v>485</v>
      </c>
      <c r="FX2" s="73" t="s">
        <v>486</v>
      </c>
      <c r="FY2" s="72" t="s">
        <v>487</v>
      </c>
      <c r="FZ2" s="72" t="s">
        <v>486</v>
      </c>
      <c r="GA2" s="71"/>
      <c r="GB2" s="72" t="s">
        <v>484</v>
      </c>
      <c r="GC2" s="73" t="s">
        <v>485</v>
      </c>
      <c r="GD2" s="73" t="s">
        <v>486</v>
      </c>
      <c r="GE2" s="72" t="s">
        <v>487</v>
      </c>
      <c r="GF2" s="72" t="s">
        <v>486</v>
      </c>
      <c r="GG2" s="71" t="s">
        <v>488</v>
      </c>
      <c r="GH2" s="72" t="s">
        <v>484</v>
      </c>
      <c r="GI2" s="73" t="s">
        <v>485</v>
      </c>
      <c r="GJ2" s="73" t="s">
        <v>486</v>
      </c>
      <c r="GK2" s="72" t="s">
        <v>487</v>
      </c>
      <c r="GL2" s="72" t="s">
        <v>486</v>
      </c>
      <c r="GM2" s="71" t="s">
        <v>488</v>
      </c>
      <c r="GN2" s="72" t="s">
        <v>484</v>
      </c>
      <c r="GO2" s="73" t="s">
        <v>485</v>
      </c>
      <c r="GP2" s="73" t="s">
        <v>486</v>
      </c>
      <c r="GQ2" s="72" t="s">
        <v>487</v>
      </c>
      <c r="GR2" s="72" t="s">
        <v>486</v>
      </c>
      <c r="GS2" s="74"/>
      <c r="GT2" s="75"/>
      <c r="GU2" s="75"/>
      <c r="GV2" s="75"/>
      <c r="GW2" s="75"/>
      <c r="GX2" s="75"/>
      <c r="GY2" s="75"/>
      <c r="GZ2" s="74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4"/>
      <c r="HM2" s="73"/>
      <c r="HN2" s="73"/>
      <c r="HO2" s="73"/>
      <c r="HP2" s="75"/>
      <c r="HQ2" s="75"/>
      <c r="HR2" s="75"/>
      <c r="HS2" s="75"/>
      <c r="HT2" s="75"/>
      <c r="HU2" s="75"/>
      <c r="HV2" s="75"/>
      <c r="HW2" s="75"/>
    </row>
    <row r="3" spans="1:231" s="85" customFormat="1" ht="13.5" customHeight="1" thickBot="1">
      <c r="A3" s="77"/>
      <c r="B3" s="78"/>
      <c r="C3" s="79"/>
      <c r="D3" s="80"/>
      <c r="E3" s="80"/>
      <c r="F3" s="80"/>
      <c r="G3" s="80"/>
      <c r="H3" s="80"/>
      <c r="I3" s="81"/>
      <c r="J3" s="80"/>
      <c r="K3" s="80"/>
      <c r="L3" s="80"/>
      <c r="M3" s="80"/>
      <c r="N3" s="80"/>
      <c r="O3" s="82"/>
      <c r="P3" s="83"/>
      <c r="Q3" s="83"/>
      <c r="R3" s="83"/>
      <c r="S3" s="83"/>
      <c r="T3" s="83"/>
      <c r="U3" s="84"/>
      <c r="V3" s="83"/>
      <c r="W3" s="83"/>
      <c r="X3" s="83"/>
      <c r="Y3" s="83"/>
      <c r="Z3" s="83"/>
      <c r="AA3" s="84"/>
      <c r="AB3" s="83"/>
      <c r="AC3" s="83"/>
      <c r="AD3" s="83"/>
      <c r="AE3" s="83"/>
      <c r="AF3" s="83"/>
      <c r="AG3" s="84"/>
      <c r="AH3" s="83"/>
      <c r="AI3" s="83"/>
      <c r="AJ3" s="83"/>
      <c r="AK3" s="83"/>
      <c r="AL3" s="83"/>
      <c r="AM3" s="84"/>
      <c r="AN3" s="83"/>
      <c r="AO3" s="83"/>
      <c r="AP3" s="83"/>
      <c r="AQ3" s="83"/>
      <c r="AR3" s="83"/>
      <c r="AS3" s="84"/>
      <c r="AT3" s="83"/>
      <c r="AU3" s="83"/>
      <c r="AV3" s="83"/>
      <c r="AW3" s="83"/>
      <c r="AX3" s="83"/>
      <c r="AY3" s="84"/>
      <c r="AZ3" s="83"/>
      <c r="BA3" s="83"/>
      <c r="BB3" s="83"/>
      <c r="BC3" s="83"/>
      <c r="BD3" s="83"/>
      <c r="BE3" s="84"/>
      <c r="BF3" s="83"/>
      <c r="BG3" s="83"/>
      <c r="BH3" s="83"/>
      <c r="BI3" s="83"/>
      <c r="BJ3" s="83"/>
      <c r="BK3" s="84"/>
      <c r="BL3" s="83"/>
      <c r="BM3" s="83"/>
      <c r="BN3" s="83"/>
      <c r="BO3" s="83"/>
      <c r="BP3" s="83"/>
      <c r="BQ3" s="84"/>
      <c r="BR3" s="83"/>
      <c r="BS3" s="83"/>
      <c r="BT3" s="83"/>
      <c r="BU3" s="83"/>
      <c r="BV3" s="83"/>
      <c r="BW3" s="84"/>
      <c r="BX3" s="83"/>
      <c r="BY3" s="83"/>
      <c r="BZ3" s="83"/>
      <c r="CA3" s="83"/>
      <c r="CB3" s="83"/>
      <c r="CC3" s="84"/>
      <c r="CD3" s="83"/>
      <c r="CE3" s="83"/>
      <c r="CF3" s="83"/>
      <c r="CG3" s="83"/>
      <c r="CH3" s="83"/>
      <c r="CI3" s="84"/>
      <c r="CJ3" s="83"/>
      <c r="CK3" s="83"/>
      <c r="CL3" s="83"/>
      <c r="CM3" s="83"/>
      <c r="CN3" s="83"/>
      <c r="CO3" s="84"/>
      <c r="CP3" s="83"/>
      <c r="CQ3" s="83"/>
      <c r="CR3" s="83"/>
      <c r="CS3" s="83"/>
      <c r="CT3" s="83"/>
      <c r="CU3" s="84"/>
      <c r="CV3" s="83"/>
      <c r="CW3" s="83"/>
      <c r="CX3" s="83"/>
      <c r="CY3" s="83"/>
      <c r="CZ3" s="83"/>
      <c r="DA3" s="84"/>
      <c r="DB3" s="83"/>
      <c r="DC3" s="83"/>
      <c r="DD3" s="83"/>
      <c r="DE3" s="83"/>
      <c r="DF3" s="83"/>
      <c r="DG3" s="84"/>
      <c r="DH3" s="83"/>
      <c r="DI3" s="83"/>
      <c r="DJ3" s="83"/>
      <c r="DK3" s="83"/>
      <c r="DL3" s="83"/>
      <c r="DM3" s="84"/>
      <c r="DN3" s="83"/>
      <c r="DO3" s="83"/>
      <c r="DP3" s="83"/>
      <c r="DQ3" s="83"/>
      <c r="DR3" s="83"/>
      <c r="DS3" s="84"/>
      <c r="DT3" s="83"/>
      <c r="DU3" s="83"/>
      <c r="DV3" s="83"/>
      <c r="DW3" s="83"/>
      <c r="DX3" s="83"/>
      <c r="DY3" s="84"/>
      <c r="DZ3" s="83"/>
      <c r="EA3" s="83"/>
      <c r="EB3" s="83"/>
      <c r="EC3" s="83"/>
      <c r="ED3" s="83"/>
      <c r="EE3" s="84"/>
      <c r="EF3" s="83"/>
      <c r="EG3" s="83"/>
      <c r="EH3" s="83"/>
      <c r="EI3" s="83"/>
      <c r="EJ3" s="83"/>
      <c r="EK3" s="84"/>
      <c r="EL3" s="83"/>
      <c r="EM3" s="83"/>
      <c r="EN3" s="83"/>
      <c r="EO3" s="83"/>
      <c r="EP3" s="83"/>
      <c r="EQ3" s="84"/>
      <c r="ER3" s="83"/>
      <c r="ES3" s="83"/>
      <c r="ET3" s="83"/>
      <c r="EU3" s="83"/>
      <c r="EV3" s="83"/>
      <c r="EW3" s="84"/>
      <c r="EX3" s="83"/>
      <c r="EY3" s="83"/>
      <c r="EZ3" s="83"/>
      <c r="FA3" s="83"/>
      <c r="FB3" s="83"/>
      <c r="FC3" s="84"/>
      <c r="FD3" s="83"/>
      <c r="FE3" s="83"/>
      <c r="FF3" s="83"/>
      <c r="FG3" s="83"/>
      <c r="FH3" s="83"/>
      <c r="FI3" s="84"/>
      <c r="FJ3" s="83"/>
      <c r="FK3" s="83"/>
      <c r="FL3" s="83"/>
      <c r="FM3" s="83"/>
      <c r="FN3" s="83"/>
      <c r="FO3" s="84"/>
      <c r="FP3" s="83"/>
      <c r="FQ3" s="83"/>
      <c r="FR3" s="83"/>
      <c r="FS3" s="83"/>
      <c r="FT3" s="83"/>
      <c r="FU3" s="84"/>
      <c r="FV3" s="83"/>
      <c r="FW3" s="83"/>
      <c r="FX3" s="83"/>
      <c r="FY3" s="83"/>
      <c r="FZ3" s="83"/>
      <c r="GA3" s="84"/>
      <c r="GB3" s="83"/>
      <c r="GC3" s="83"/>
      <c r="GD3" s="83"/>
      <c r="GE3" s="83"/>
      <c r="GF3" s="83"/>
      <c r="GG3" s="84"/>
      <c r="GH3" s="83"/>
      <c r="GI3" s="83"/>
      <c r="GJ3" s="83"/>
      <c r="GK3" s="83"/>
      <c r="GL3" s="83"/>
      <c r="GM3" s="84"/>
      <c r="GN3" s="83"/>
      <c r="GO3" s="83"/>
      <c r="GP3" s="83"/>
      <c r="GQ3" s="83"/>
      <c r="GR3" s="83"/>
      <c r="GS3" s="81"/>
      <c r="GT3" s="80"/>
      <c r="GU3" s="80"/>
      <c r="GV3" s="80"/>
      <c r="GW3" s="80"/>
      <c r="GX3" s="80"/>
      <c r="GY3" s="80"/>
      <c r="GZ3" s="80"/>
      <c r="HA3" s="80"/>
      <c r="HB3" s="80"/>
      <c r="HC3" s="80"/>
      <c r="HD3" s="80"/>
      <c r="HE3" s="80"/>
      <c r="HF3" s="80"/>
      <c r="HG3" s="80"/>
      <c r="HH3" s="80"/>
      <c r="HI3" s="80"/>
      <c r="HJ3" s="80"/>
      <c r="HK3" s="80"/>
      <c r="HL3" s="80"/>
      <c r="HM3" s="80"/>
      <c r="HN3" s="80"/>
      <c r="HO3" s="80"/>
      <c r="HP3" s="80"/>
      <c r="HQ3" s="80"/>
      <c r="HR3" s="80"/>
      <c r="HS3" s="80"/>
      <c r="HT3" s="80"/>
      <c r="HU3" s="80"/>
      <c r="HV3" s="80"/>
      <c r="HW3" s="80"/>
    </row>
    <row r="4" spans="1:231" ht="13.5" customHeight="1">
      <c r="A4" s="86">
        <v>1990</v>
      </c>
      <c r="B4" s="87" t="s">
        <v>489</v>
      </c>
      <c r="C4" s="88"/>
      <c r="D4" s="87"/>
      <c r="E4" s="87"/>
      <c r="F4" s="87"/>
      <c r="G4" s="87"/>
      <c r="H4" s="87"/>
      <c r="I4" s="88">
        <v>3839.6080000000002</v>
      </c>
      <c r="J4" s="89">
        <v>3847.654</v>
      </c>
      <c r="K4" s="89"/>
      <c r="L4" s="89"/>
      <c r="M4" s="89">
        <v>1564.115</v>
      </c>
      <c r="N4" s="89">
        <v>-1572.1610000000001</v>
      </c>
      <c r="O4" s="90"/>
      <c r="P4" s="91"/>
      <c r="Q4" s="91"/>
      <c r="R4" s="91"/>
      <c r="S4" s="91"/>
      <c r="T4" s="91"/>
      <c r="U4" s="90"/>
      <c r="V4" s="91"/>
      <c r="W4" s="91"/>
      <c r="X4" s="91"/>
      <c r="Y4" s="91"/>
      <c r="Z4" s="91"/>
      <c r="AA4" s="88">
        <v>253.37799999999999</v>
      </c>
      <c r="AB4" s="89">
        <f>AC4+AD4</f>
        <v>18.255000000000003</v>
      </c>
      <c r="AC4" s="89">
        <v>5.5890000000000004</v>
      </c>
      <c r="AD4" s="89">
        <v>12.666</v>
      </c>
      <c r="AE4" s="89">
        <v>235.12299999999999</v>
      </c>
      <c r="AF4" s="89"/>
      <c r="AG4" s="88"/>
      <c r="AH4" s="89"/>
      <c r="AI4" s="89"/>
      <c r="AJ4" s="89"/>
      <c r="AK4" s="89"/>
      <c r="AL4" s="89"/>
      <c r="AM4" s="88"/>
      <c r="AN4" s="89"/>
      <c r="AO4" s="89"/>
      <c r="AP4" s="89"/>
      <c r="AQ4" s="89"/>
      <c r="AR4" s="89"/>
      <c r="AS4" s="88"/>
      <c r="AT4" s="89"/>
      <c r="AU4" s="89"/>
      <c r="AV4" s="89"/>
      <c r="AW4" s="89"/>
      <c r="AX4" s="89"/>
      <c r="AY4" s="88"/>
      <c r="AZ4" s="89"/>
      <c r="BA4" s="89"/>
      <c r="BB4" s="89"/>
      <c r="BC4" s="89"/>
      <c r="BD4" s="89"/>
      <c r="BE4" s="88"/>
      <c r="BF4" s="89"/>
      <c r="BG4" s="89"/>
      <c r="BH4" s="89"/>
      <c r="BI4" s="89"/>
      <c r="BJ4" s="89"/>
      <c r="BK4" s="88"/>
      <c r="BL4" s="89"/>
      <c r="BM4" s="89"/>
      <c r="BN4" s="89"/>
      <c r="BO4" s="89"/>
      <c r="BP4" s="89"/>
      <c r="BQ4" s="88"/>
      <c r="BR4" s="89"/>
      <c r="BS4" s="89"/>
      <c r="BT4" s="89"/>
      <c r="BU4" s="89"/>
      <c r="BV4" s="89"/>
      <c r="BW4" s="88"/>
      <c r="BX4" s="89"/>
      <c r="BY4" s="89"/>
      <c r="BZ4" s="89"/>
      <c r="CA4" s="89"/>
      <c r="CB4" s="89"/>
      <c r="CC4" s="88"/>
      <c r="CD4" s="89"/>
      <c r="CE4" s="89"/>
      <c r="CF4" s="89"/>
      <c r="CG4" s="89"/>
      <c r="CH4" s="89"/>
      <c r="CI4" s="88"/>
      <c r="CJ4" s="89"/>
      <c r="CK4" s="89"/>
      <c r="CL4" s="89"/>
      <c r="CM4" s="89"/>
      <c r="CN4" s="89"/>
      <c r="CO4" s="88"/>
      <c r="CP4" s="89"/>
      <c r="CQ4" s="89"/>
      <c r="CR4" s="89"/>
      <c r="CS4" s="89"/>
      <c r="CT4" s="89"/>
      <c r="CU4" s="88">
        <f>CV4+CY4</f>
        <v>5242.2453999999998</v>
      </c>
      <c r="CV4" s="89">
        <v>3379.3420999999998</v>
      </c>
      <c r="CW4" s="89">
        <v>3236.4867999999997</v>
      </c>
      <c r="CX4" s="89">
        <v>142.8553</v>
      </c>
      <c r="CY4" s="89">
        <v>1862.9032999999999</v>
      </c>
      <c r="CZ4" s="89"/>
      <c r="DA4" s="88"/>
      <c r="DB4" s="89"/>
      <c r="DC4" s="89"/>
      <c r="DD4" s="89"/>
      <c r="DE4" s="89"/>
      <c r="DF4" s="89"/>
      <c r="DG4" s="88">
        <v>8267.1</v>
      </c>
      <c r="DH4" s="89">
        <v>1911</v>
      </c>
      <c r="DI4" s="89"/>
      <c r="DJ4" s="89"/>
      <c r="DK4" s="89">
        <v>6393.9</v>
      </c>
      <c r="DL4" s="89">
        <v>37.799999999999997</v>
      </c>
      <c r="DM4" s="88"/>
      <c r="DN4" s="89"/>
      <c r="DO4" s="89"/>
      <c r="DP4" s="89"/>
      <c r="DQ4" s="89"/>
      <c r="DR4" s="89"/>
      <c r="DS4" s="88"/>
      <c r="DT4" s="89"/>
      <c r="DU4" s="89"/>
      <c r="DV4" s="89"/>
      <c r="DW4" s="89"/>
      <c r="DX4" s="89"/>
      <c r="DY4" s="88"/>
      <c r="DZ4" s="89"/>
      <c r="EA4" s="89"/>
      <c r="EB4" s="89"/>
      <c r="EC4" s="89"/>
      <c r="ED4" s="89"/>
      <c r="EE4" s="88"/>
      <c r="EF4" s="89"/>
      <c r="EG4" s="89"/>
      <c r="EH4" s="89"/>
      <c r="EI4" s="89"/>
      <c r="EJ4" s="89"/>
      <c r="EK4" s="88"/>
      <c r="EL4" s="89"/>
      <c r="EM4" s="89"/>
      <c r="EN4" s="89"/>
      <c r="EO4" s="89"/>
      <c r="EP4" s="89"/>
      <c r="EQ4" s="88"/>
      <c r="ER4" s="89"/>
      <c r="ES4" s="89"/>
      <c r="ET4" s="89"/>
      <c r="EU4" s="89"/>
      <c r="EV4" s="89"/>
      <c r="EW4" s="88"/>
      <c r="EX4" s="89"/>
      <c r="EY4" s="89"/>
      <c r="EZ4" s="89"/>
      <c r="FA4" s="89"/>
      <c r="FB4" s="89"/>
      <c r="FC4" s="88"/>
      <c r="FD4" s="89"/>
      <c r="FE4" s="89"/>
      <c r="FF4" s="89"/>
      <c r="FG4" s="89"/>
      <c r="FH4" s="89"/>
      <c r="FI4" s="88"/>
      <c r="FJ4" s="89"/>
      <c r="FK4" s="89"/>
      <c r="FL4" s="89"/>
      <c r="FM4" s="89"/>
      <c r="FN4" s="89"/>
      <c r="FO4" s="88"/>
      <c r="FP4" s="89"/>
      <c r="FQ4" s="89"/>
      <c r="FR4" s="89"/>
      <c r="FS4" s="89"/>
      <c r="FT4" s="89"/>
      <c r="FU4" s="88"/>
      <c r="FV4" s="89"/>
      <c r="FW4" s="89"/>
      <c r="FX4" s="89"/>
      <c r="FY4" s="89"/>
      <c r="FZ4" s="89"/>
      <c r="GA4" s="88"/>
      <c r="GB4" s="89"/>
      <c r="GC4" s="89"/>
      <c r="GD4" s="89"/>
      <c r="GE4" s="89"/>
      <c r="GF4" s="89"/>
      <c r="GG4" s="88"/>
      <c r="GH4" s="89"/>
      <c r="GI4" s="89"/>
      <c r="GJ4" s="89"/>
      <c r="GK4" s="89"/>
      <c r="GL4" s="89"/>
      <c r="GM4" s="88"/>
      <c r="GN4" s="89"/>
      <c r="GO4" s="89"/>
      <c r="GP4" s="89"/>
      <c r="GQ4" s="89"/>
      <c r="GR4" s="89"/>
      <c r="GS4" s="88"/>
      <c r="GT4" s="87"/>
      <c r="GU4" s="87"/>
      <c r="GV4" s="87"/>
      <c r="GW4" s="87"/>
      <c r="GX4" s="87"/>
      <c r="GY4" s="87"/>
      <c r="GZ4" s="88"/>
      <c r="HA4" s="87"/>
      <c r="HB4" s="87"/>
      <c r="HC4" s="87"/>
      <c r="HD4" s="87"/>
      <c r="HE4" s="87"/>
      <c r="HF4" s="87"/>
      <c r="HG4" s="87"/>
      <c r="HH4" s="87"/>
      <c r="HI4" s="87"/>
      <c r="HJ4" s="87"/>
      <c r="HK4" s="87"/>
      <c r="HL4" s="88"/>
      <c r="HM4" s="87"/>
      <c r="HN4" s="87"/>
      <c r="HO4" s="87"/>
      <c r="HP4" s="87"/>
      <c r="HQ4" s="87"/>
      <c r="HR4" s="87"/>
      <c r="HS4" s="87"/>
    </row>
    <row r="5" spans="1:231" ht="13.5" customHeight="1">
      <c r="A5" s="69"/>
      <c r="B5" s="94" t="s">
        <v>490</v>
      </c>
      <c r="C5" s="95"/>
      <c r="D5" s="92"/>
      <c r="E5" s="92"/>
      <c r="F5" s="92"/>
      <c r="G5" s="92"/>
      <c r="H5" s="92"/>
      <c r="I5" s="96">
        <v>9274.6700000000019</v>
      </c>
      <c r="J5" s="94">
        <v>8489.0930000000008</v>
      </c>
      <c r="K5" s="94"/>
      <c r="L5" s="94"/>
      <c r="M5" s="94">
        <v>3631.8069999999998</v>
      </c>
      <c r="N5" s="94">
        <v>-2846.23</v>
      </c>
      <c r="O5" s="96"/>
      <c r="P5" s="94"/>
      <c r="Q5" s="94"/>
      <c r="R5" s="94"/>
      <c r="S5" s="94"/>
      <c r="T5" s="94"/>
      <c r="U5" s="96"/>
      <c r="V5" s="94"/>
      <c r="W5" s="94"/>
      <c r="X5" s="94"/>
      <c r="Y5" s="94"/>
      <c r="Z5" s="94"/>
      <c r="AA5" s="96">
        <v>248.79599999999999</v>
      </c>
      <c r="AB5" s="94">
        <f t="shared" ref="AB5:AB68" si="0">AC5+AD5</f>
        <v>10.911</v>
      </c>
      <c r="AC5" s="94">
        <v>-1.736</v>
      </c>
      <c r="AD5" s="94">
        <v>12.647</v>
      </c>
      <c r="AE5" s="94">
        <v>237.88499999999999</v>
      </c>
      <c r="AF5" s="94"/>
      <c r="AG5" s="96"/>
      <c r="AH5" s="94"/>
      <c r="AI5" s="94"/>
      <c r="AJ5" s="94"/>
      <c r="AK5" s="94"/>
      <c r="AL5" s="94"/>
      <c r="AM5" s="96"/>
      <c r="AN5" s="94"/>
      <c r="AO5" s="94"/>
      <c r="AP5" s="94"/>
      <c r="AQ5" s="94"/>
      <c r="AR5" s="94"/>
      <c r="AS5" s="96"/>
      <c r="AT5" s="94"/>
      <c r="AU5" s="94"/>
      <c r="AV5" s="94"/>
      <c r="AW5" s="94"/>
      <c r="AX5" s="94"/>
      <c r="AY5" s="96"/>
      <c r="AZ5" s="94"/>
      <c r="BA5" s="94"/>
      <c r="BB5" s="94"/>
      <c r="BC5" s="94"/>
      <c r="BD5" s="94"/>
      <c r="BE5" s="96"/>
      <c r="BF5" s="94"/>
      <c r="BG5" s="94"/>
      <c r="BH5" s="94"/>
      <c r="BI5" s="94"/>
      <c r="BJ5" s="94"/>
      <c r="BK5" s="96"/>
      <c r="BL5" s="94"/>
      <c r="BM5" s="94"/>
      <c r="BN5" s="94"/>
      <c r="BO5" s="94"/>
      <c r="BP5" s="94"/>
      <c r="BQ5" s="96"/>
      <c r="BR5" s="94"/>
      <c r="BS5" s="94"/>
      <c r="BT5" s="94"/>
      <c r="BU5" s="94"/>
      <c r="BV5" s="94"/>
      <c r="BW5" s="96"/>
      <c r="BX5" s="94"/>
      <c r="BY5" s="94"/>
      <c r="BZ5" s="94"/>
      <c r="CA5" s="94"/>
      <c r="CB5" s="94"/>
      <c r="CC5" s="96"/>
      <c r="CD5" s="94"/>
      <c r="CE5" s="94"/>
      <c r="CF5" s="94"/>
      <c r="CG5" s="94"/>
      <c r="CH5" s="94"/>
      <c r="CI5" s="96"/>
      <c r="CJ5" s="94"/>
      <c r="CK5" s="94"/>
      <c r="CL5" s="94"/>
      <c r="CM5" s="94"/>
      <c r="CN5" s="94"/>
      <c r="CO5" s="96"/>
      <c r="CP5" s="94"/>
      <c r="CQ5" s="94"/>
      <c r="CR5" s="94"/>
      <c r="CS5" s="94"/>
      <c r="CT5" s="94"/>
      <c r="CU5" s="96">
        <f t="shared" ref="CU5:CU68" si="1">CV5+CY5</f>
        <v>5269.2330000000002</v>
      </c>
      <c r="CV5" s="94">
        <v>3379.8123999999998</v>
      </c>
      <c r="CW5" s="94">
        <v>3235.326</v>
      </c>
      <c r="CX5" s="94">
        <v>144.4864</v>
      </c>
      <c r="CY5" s="94">
        <v>1889.4206000000001</v>
      </c>
      <c r="CZ5" s="94"/>
      <c r="DA5" s="96"/>
      <c r="DB5" s="94"/>
      <c r="DC5" s="94"/>
      <c r="DD5" s="94"/>
      <c r="DE5" s="94"/>
      <c r="DF5" s="94"/>
      <c r="DG5" s="96">
        <v>8256.2000000000007</v>
      </c>
      <c r="DH5" s="94">
        <v>1856.9</v>
      </c>
      <c r="DI5" s="94"/>
      <c r="DJ5" s="94"/>
      <c r="DK5" s="94">
        <v>6272.4</v>
      </c>
      <c r="DL5" s="94">
        <v>126.9</v>
      </c>
      <c r="DM5" s="96"/>
      <c r="DN5" s="94"/>
      <c r="DO5" s="94"/>
      <c r="DP5" s="94"/>
      <c r="DQ5" s="94"/>
      <c r="DR5" s="94"/>
      <c r="DS5" s="96"/>
      <c r="DT5" s="94"/>
      <c r="DU5" s="94"/>
      <c r="DV5" s="94"/>
      <c r="DW5" s="94"/>
      <c r="DX5" s="94"/>
      <c r="DY5" s="96"/>
      <c r="DZ5" s="94"/>
      <c r="EA5" s="94"/>
      <c r="EB5" s="94"/>
      <c r="EC5" s="94"/>
      <c r="ED5" s="94"/>
      <c r="EE5" s="96"/>
      <c r="EF5" s="94"/>
      <c r="EG5" s="94"/>
      <c r="EH5" s="94"/>
      <c r="EI5" s="94"/>
      <c r="EJ5" s="94"/>
      <c r="EK5" s="96"/>
      <c r="EL5" s="94"/>
      <c r="EM5" s="94"/>
      <c r="EN5" s="94"/>
      <c r="EO5" s="94"/>
      <c r="EP5" s="94"/>
      <c r="EQ5" s="96"/>
      <c r="ER5" s="94"/>
      <c r="ES5" s="94"/>
      <c r="ET5" s="94"/>
      <c r="EU5" s="94"/>
      <c r="EV5" s="94"/>
      <c r="EW5" s="96"/>
      <c r="EX5" s="94"/>
      <c r="EY5" s="94"/>
      <c r="EZ5" s="94"/>
      <c r="FA5" s="94"/>
      <c r="FB5" s="94"/>
      <c r="FC5" s="96"/>
      <c r="FD5" s="94"/>
      <c r="FE5" s="94"/>
      <c r="FF5" s="94"/>
      <c r="FG5" s="94"/>
      <c r="FH5" s="94"/>
      <c r="FI5" s="96"/>
      <c r="FJ5" s="94"/>
      <c r="FK5" s="94"/>
      <c r="FL5" s="94"/>
      <c r="FM5" s="94"/>
      <c r="FN5" s="94"/>
      <c r="FO5" s="96"/>
      <c r="FP5" s="94"/>
      <c r="FQ5" s="94"/>
      <c r="FR5" s="94"/>
      <c r="FS5" s="94"/>
      <c r="FT5" s="94"/>
      <c r="FU5" s="96"/>
      <c r="FV5" s="94"/>
      <c r="FW5" s="94"/>
      <c r="FX5" s="94"/>
      <c r="FY5" s="94"/>
      <c r="FZ5" s="94"/>
      <c r="GA5" s="96"/>
      <c r="GB5" s="94"/>
      <c r="GC5" s="94"/>
      <c r="GD5" s="94"/>
      <c r="GE5" s="94"/>
      <c r="GF5" s="94"/>
      <c r="GG5" s="96"/>
      <c r="GH5" s="94"/>
      <c r="GI5" s="94"/>
      <c r="GJ5" s="94"/>
      <c r="GK5" s="94"/>
      <c r="GL5" s="94"/>
      <c r="GM5" s="96"/>
      <c r="GN5" s="94"/>
      <c r="GO5" s="94"/>
      <c r="GP5" s="94"/>
      <c r="GQ5" s="94"/>
      <c r="GR5" s="94"/>
      <c r="GS5" s="96"/>
      <c r="GT5" s="92"/>
      <c r="GU5" s="92"/>
      <c r="GV5" s="92"/>
      <c r="GW5" s="92"/>
      <c r="GX5" s="92"/>
      <c r="GY5" s="92"/>
      <c r="GZ5" s="95"/>
      <c r="HA5" s="92"/>
      <c r="HB5" s="92"/>
      <c r="HC5" s="92"/>
      <c r="HD5" s="92"/>
      <c r="HE5" s="92"/>
      <c r="HF5" s="92"/>
      <c r="HG5" s="92"/>
      <c r="HH5" s="92"/>
      <c r="HI5" s="92"/>
      <c r="HJ5" s="92"/>
      <c r="HK5" s="92"/>
      <c r="HL5" s="95"/>
      <c r="HM5" s="92"/>
      <c r="HN5" s="92"/>
      <c r="HO5" s="92"/>
      <c r="HP5" s="92"/>
      <c r="HQ5" s="92"/>
      <c r="HR5" s="92"/>
      <c r="HS5" s="92"/>
      <c r="HT5" s="97"/>
      <c r="HU5" s="97"/>
      <c r="HV5" s="97"/>
      <c r="HW5" s="97"/>
    </row>
    <row r="6" spans="1:231" ht="13.5" customHeight="1">
      <c r="A6" s="69"/>
      <c r="B6" s="92" t="s">
        <v>491</v>
      </c>
      <c r="C6" s="95"/>
      <c r="D6" s="92"/>
      <c r="E6" s="92"/>
      <c r="F6" s="92"/>
      <c r="G6" s="92"/>
      <c r="H6" s="92"/>
      <c r="I6" s="95">
        <v>7771.7839999999997</v>
      </c>
      <c r="J6" s="98">
        <v>7757.7650000000003</v>
      </c>
      <c r="K6" s="98"/>
      <c r="L6" s="98"/>
      <c r="M6" s="98">
        <v>3925.9139999999998</v>
      </c>
      <c r="N6" s="98">
        <v>-3911.895</v>
      </c>
      <c r="O6" s="99"/>
      <c r="P6" s="100"/>
      <c r="Q6" s="100"/>
      <c r="R6" s="100"/>
      <c r="S6" s="100"/>
      <c r="T6" s="100"/>
      <c r="U6" s="99"/>
      <c r="V6" s="100"/>
      <c r="W6" s="100"/>
      <c r="X6" s="100"/>
      <c r="Y6" s="100"/>
      <c r="Z6" s="100"/>
      <c r="AA6" s="95">
        <v>250.63399999999999</v>
      </c>
      <c r="AB6" s="98">
        <f t="shared" si="0"/>
        <v>6.3100000000000005</v>
      </c>
      <c r="AC6" s="98">
        <v>-6.15</v>
      </c>
      <c r="AD6" s="98">
        <v>12.46</v>
      </c>
      <c r="AE6" s="98">
        <v>244.32400000000001</v>
      </c>
      <c r="AF6" s="98"/>
      <c r="AG6" s="95"/>
      <c r="AH6" s="98"/>
      <c r="AI6" s="98"/>
      <c r="AJ6" s="98"/>
      <c r="AK6" s="98"/>
      <c r="AL6" s="98"/>
      <c r="AM6" s="95"/>
      <c r="AN6" s="98"/>
      <c r="AO6" s="98"/>
      <c r="AP6" s="98"/>
      <c r="AQ6" s="98"/>
      <c r="AR6" s="98"/>
      <c r="AS6" s="95"/>
      <c r="AT6" s="98"/>
      <c r="AU6" s="98"/>
      <c r="AV6" s="98"/>
      <c r="AW6" s="98"/>
      <c r="AX6" s="98"/>
      <c r="AY6" s="95"/>
      <c r="AZ6" s="98"/>
      <c r="BA6" s="98"/>
      <c r="BB6" s="98"/>
      <c r="BC6" s="98"/>
      <c r="BD6" s="98"/>
      <c r="BE6" s="95"/>
      <c r="BF6" s="98"/>
      <c r="BG6" s="98"/>
      <c r="BH6" s="98"/>
      <c r="BI6" s="98"/>
      <c r="BJ6" s="98"/>
      <c r="BK6" s="95"/>
      <c r="BL6" s="98"/>
      <c r="BM6" s="98"/>
      <c r="BN6" s="98"/>
      <c r="BO6" s="98"/>
      <c r="BP6" s="98"/>
      <c r="BQ6" s="95"/>
      <c r="BR6" s="98"/>
      <c r="BS6" s="98"/>
      <c r="BT6" s="98"/>
      <c r="BU6" s="98"/>
      <c r="BV6" s="98"/>
      <c r="BW6" s="95"/>
      <c r="BX6" s="98"/>
      <c r="BY6" s="98"/>
      <c r="BZ6" s="98"/>
      <c r="CA6" s="98"/>
      <c r="CB6" s="98"/>
      <c r="CC6" s="95"/>
      <c r="CD6" s="98"/>
      <c r="CE6" s="98"/>
      <c r="CF6" s="98"/>
      <c r="CG6" s="98"/>
      <c r="CH6" s="98"/>
      <c r="CI6" s="95"/>
      <c r="CJ6" s="98"/>
      <c r="CK6" s="98"/>
      <c r="CL6" s="98"/>
      <c r="CM6" s="98"/>
      <c r="CN6" s="98"/>
      <c r="CO6" s="95"/>
      <c r="CP6" s="98"/>
      <c r="CQ6" s="98"/>
      <c r="CR6" s="98"/>
      <c r="CS6" s="98"/>
      <c r="CT6" s="98"/>
      <c r="CU6" s="95">
        <f t="shared" si="1"/>
        <v>5281.8126000000002</v>
      </c>
      <c r="CV6" s="98">
        <v>3407.1125999999999</v>
      </c>
      <c r="CW6" s="98">
        <v>3259.3798999999999</v>
      </c>
      <c r="CX6" s="98">
        <v>147.73270000000002</v>
      </c>
      <c r="CY6" s="98">
        <v>1874.7</v>
      </c>
      <c r="CZ6" s="98"/>
      <c r="DA6" s="95"/>
      <c r="DB6" s="98"/>
      <c r="DC6" s="98"/>
      <c r="DD6" s="98"/>
      <c r="DE6" s="98"/>
      <c r="DF6" s="98"/>
      <c r="DG6" s="95">
        <v>8139.2</v>
      </c>
      <c r="DH6" s="98">
        <v>1711</v>
      </c>
      <c r="DI6" s="98"/>
      <c r="DJ6" s="98"/>
      <c r="DK6" s="98">
        <v>6500.4</v>
      </c>
      <c r="DL6" s="98">
        <v>72.2</v>
      </c>
      <c r="DM6" s="95"/>
      <c r="DN6" s="98"/>
      <c r="DO6" s="98"/>
      <c r="DP6" s="98"/>
      <c r="DQ6" s="98"/>
      <c r="DR6" s="98"/>
      <c r="DS6" s="95"/>
      <c r="DT6" s="98"/>
      <c r="DU6" s="98"/>
      <c r="DV6" s="98"/>
      <c r="DW6" s="98"/>
      <c r="DX6" s="98"/>
      <c r="DY6" s="95"/>
      <c r="DZ6" s="98"/>
      <c r="EA6" s="98"/>
      <c r="EB6" s="98"/>
      <c r="EC6" s="98"/>
      <c r="ED6" s="98"/>
      <c r="EE6" s="95"/>
      <c r="EF6" s="98"/>
      <c r="EG6" s="98"/>
      <c r="EH6" s="98"/>
      <c r="EI6" s="98"/>
      <c r="EJ6" s="98"/>
      <c r="EK6" s="95"/>
      <c r="EL6" s="98"/>
      <c r="EM6" s="98"/>
      <c r="EN6" s="98"/>
      <c r="EO6" s="98"/>
      <c r="EP6" s="98"/>
      <c r="EQ6" s="95"/>
      <c r="ER6" s="98"/>
      <c r="ES6" s="98"/>
      <c r="ET6" s="98"/>
      <c r="EU6" s="98"/>
      <c r="EV6" s="98"/>
      <c r="EW6" s="95"/>
      <c r="EX6" s="98"/>
      <c r="EY6" s="98"/>
      <c r="EZ6" s="98"/>
      <c r="FA6" s="98"/>
      <c r="FB6" s="98"/>
      <c r="FC6" s="95"/>
      <c r="FD6" s="98"/>
      <c r="FE6" s="98"/>
      <c r="FF6" s="98"/>
      <c r="FG6" s="98"/>
      <c r="FH6" s="98"/>
      <c r="FI6" s="95"/>
      <c r="FJ6" s="98"/>
      <c r="FK6" s="98"/>
      <c r="FL6" s="98"/>
      <c r="FM6" s="98"/>
      <c r="FN6" s="98"/>
      <c r="FO6" s="95"/>
      <c r="FP6" s="98"/>
      <c r="FQ6" s="98"/>
      <c r="FR6" s="98"/>
      <c r="FS6" s="98"/>
      <c r="FT6" s="98"/>
      <c r="FU6" s="95"/>
      <c r="FV6" s="98"/>
      <c r="FW6" s="98"/>
      <c r="FX6" s="98"/>
      <c r="FY6" s="98"/>
      <c r="FZ6" s="98"/>
      <c r="GA6" s="95"/>
      <c r="GB6" s="98"/>
      <c r="GC6" s="98"/>
      <c r="GD6" s="98"/>
      <c r="GE6" s="98"/>
      <c r="GF6" s="98"/>
      <c r="GG6" s="95"/>
      <c r="GH6" s="98"/>
      <c r="GI6" s="98"/>
      <c r="GJ6" s="98"/>
      <c r="GK6" s="98"/>
      <c r="GL6" s="98"/>
      <c r="GM6" s="95"/>
      <c r="GN6" s="87"/>
      <c r="GO6" s="98"/>
      <c r="GP6" s="98"/>
      <c r="GQ6" s="98"/>
      <c r="GR6" s="98"/>
      <c r="GS6" s="95"/>
      <c r="GT6" s="92"/>
      <c r="GU6" s="92"/>
      <c r="GV6" s="92"/>
      <c r="GW6" s="92"/>
      <c r="GX6" s="92"/>
      <c r="GY6" s="92"/>
      <c r="GZ6" s="95"/>
      <c r="HA6" s="92"/>
      <c r="HB6" s="92"/>
      <c r="HC6" s="92"/>
      <c r="HD6" s="92"/>
      <c r="HE6" s="92"/>
      <c r="HF6" s="92"/>
      <c r="HG6" s="92"/>
      <c r="HH6" s="92"/>
      <c r="HI6" s="92"/>
      <c r="HJ6" s="92"/>
      <c r="HK6" s="92"/>
      <c r="HL6" s="95"/>
      <c r="HM6" s="92"/>
      <c r="HN6" s="92"/>
      <c r="HO6" s="92"/>
      <c r="HP6" s="92"/>
      <c r="HQ6" s="92"/>
      <c r="HR6" s="92"/>
      <c r="HS6" s="92"/>
      <c r="HT6" s="97"/>
      <c r="HU6" s="97"/>
      <c r="HV6" s="97"/>
      <c r="HW6" s="97"/>
    </row>
    <row r="7" spans="1:231" ht="13.5" customHeight="1">
      <c r="A7" s="69"/>
      <c r="B7" s="92" t="s">
        <v>492</v>
      </c>
      <c r="C7" s="95"/>
      <c r="D7" s="92"/>
      <c r="E7" s="92"/>
      <c r="F7" s="92"/>
      <c r="G7" s="92"/>
      <c r="H7" s="92"/>
      <c r="I7" s="95">
        <v>8394.4299999999985</v>
      </c>
      <c r="J7" s="98">
        <v>8364.1569999999992</v>
      </c>
      <c r="K7" s="98"/>
      <c r="L7" s="98"/>
      <c r="M7" s="98">
        <v>4832.8519999999999</v>
      </c>
      <c r="N7" s="100">
        <v>-4802.5789999999997</v>
      </c>
      <c r="O7" s="99"/>
      <c r="P7" s="100"/>
      <c r="Q7" s="100"/>
      <c r="R7" s="100"/>
      <c r="S7" s="100"/>
      <c r="T7" s="100"/>
      <c r="U7" s="99"/>
      <c r="V7" s="100"/>
      <c r="W7" s="100"/>
      <c r="X7" s="100"/>
      <c r="Y7" s="100"/>
      <c r="Z7" s="100"/>
      <c r="AA7" s="95">
        <v>246.78100000000001</v>
      </c>
      <c r="AB7" s="98">
        <f t="shared" si="0"/>
        <v>5.471000000000001</v>
      </c>
      <c r="AC7" s="98">
        <v>-7.2389999999999999</v>
      </c>
      <c r="AD7" s="98">
        <v>12.71</v>
      </c>
      <c r="AE7" s="98">
        <v>241.31</v>
      </c>
      <c r="AF7" s="98"/>
      <c r="AG7" s="95"/>
      <c r="AH7" s="98"/>
      <c r="AI7" s="98"/>
      <c r="AJ7" s="98"/>
      <c r="AK7" s="98"/>
      <c r="AL7" s="98"/>
      <c r="AM7" s="95"/>
      <c r="AN7" s="98"/>
      <c r="AO7" s="98"/>
      <c r="AP7" s="98"/>
      <c r="AQ7" s="98"/>
      <c r="AR7" s="98"/>
      <c r="AS7" s="95"/>
      <c r="AT7" s="98"/>
      <c r="AU7" s="98"/>
      <c r="AV7" s="98"/>
      <c r="AW7" s="98"/>
      <c r="AX7" s="98"/>
      <c r="AY7" s="95"/>
      <c r="AZ7" s="98"/>
      <c r="BA7" s="98"/>
      <c r="BB7" s="98"/>
      <c r="BC7" s="98"/>
      <c r="BD7" s="98"/>
      <c r="BE7" s="95"/>
      <c r="BF7" s="98"/>
      <c r="BG7" s="98"/>
      <c r="BH7" s="98"/>
      <c r="BI7" s="98"/>
      <c r="BJ7" s="98"/>
      <c r="BK7" s="95"/>
      <c r="BL7" s="98"/>
      <c r="BM7" s="98"/>
      <c r="BN7" s="98"/>
      <c r="BO7" s="98"/>
      <c r="BP7" s="98"/>
      <c r="BQ7" s="95"/>
      <c r="BR7" s="98"/>
      <c r="BS7" s="98"/>
      <c r="BT7" s="98"/>
      <c r="BU7" s="98"/>
      <c r="BV7" s="98"/>
      <c r="BW7" s="95"/>
      <c r="BX7" s="98"/>
      <c r="BY7" s="98"/>
      <c r="BZ7" s="98"/>
      <c r="CA7" s="98"/>
      <c r="CB7" s="98"/>
      <c r="CC7" s="95"/>
      <c r="CD7" s="98"/>
      <c r="CE7" s="98"/>
      <c r="CF7" s="98"/>
      <c r="CG7" s="98"/>
      <c r="CH7" s="98"/>
      <c r="CI7" s="95"/>
      <c r="CJ7" s="98"/>
      <c r="CK7" s="98"/>
      <c r="CL7" s="98"/>
      <c r="CM7" s="98"/>
      <c r="CN7" s="98"/>
      <c r="CO7" s="95"/>
      <c r="CP7" s="98"/>
      <c r="CQ7" s="98"/>
      <c r="CR7" s="98"/>
      <c r="CS7" s="98"/>
      <c r="CT7" s="98"/>
      <c r="CU7" s="95">
        <f t="shared" si="1"/>
        <v>5321.7613000000001</v>
      </c>
      <c r="CV7" s="98">
        <v>3425.5839999999998</v>
      </c>
      <c r="CW7" s="98">
        <v>3246.3867999999998</v>
      </c>
      <c r="CX7" s="98">
        <v>179.19720000000001</v>
      </c>
      <c r="CY7" s="98">
        <v>1896.1773000000001</v>
      </c>
      <c r="CZ7" s="98"/>
      <c r="DA7" s="95"/>
      <c r="DB7" s="98"/>
      <c r="DC7" s="98"/>
      <c r="DD7" s="98"/>
      <c r="DE7" s="98"/>
      <c r="DF7" s="98"/>
      <c r="DG7" s="95">
        <v>8830.2000000000007</v>
      </c>
      <c r="DH7" s="98">
        <v>2387.1</v>
      </c>
      <c r="DI7" s="98"/>
      <c r="DJ7" s="98"/>
      <c r="DK7" s="98">
        <v>6513</v>
      </c>
      <c r="DL7" s="98">
        <v>69.900000000000006</v>
      </c>
      <c r="DM7" s="95"/>
      <c r="DN7" s="98"/>
      <c r="DO7" s="98"/>
      <c r="DP7" s="98"/>
      <c r="DQ7" s="98"/>
      <c r="DR7" s="98"/>
      <c r="DS7" s="95"/>
      <c r="DT7" s="98"/>
      <c r="DU7" s="98"/>
      <c r="DV7" s="98"/>
      <c r="DW7" s="98"/>
      <c r="DX7" s="98"/>
      <c r="DY7" s="95"/>
      <c r="DZ7" s="98"/>
      <c r="EA7" s="98"/>
      <c r="EB7" s="98"/>
      <c r="EC7" s="98"/>
      <c r="ED7" s="98"/>
      <c r="EE7" s="95"/>
      <c r="EF7" s="98"/>
      <c r="EG7" s="98"/>
      <c r="EH7" s="98"/>
      <c r="EI7" s="98"/>
      <c r="EJ7" s="98"/>
      <c r="EK7" s="95"/>
      <c r="EL7" s="98"/>
      <c r="EM7" s="98"/>
      <c r="EN7" s="98"/>
      <c r="EO7" s="98"/>
      <c r="EP7" s="98"/>
      <c r="EQ7" s="95"/>
      <c r="ER7" s="98"/>
      <c r="ES7" s="98"/>
      <c r="ET7" s="98"/>
      <c r="EU7" s="98"/>
      <c r="EV7" s="98"/>
      <c r="EW7" s="95"/>
      <c r="EX7" s="98"/>
      <c r="EY7" s="98"/>
      <c r="EZ7" s="98"/>
      <c r="FA7" s="98"/>
      <c r="FB7" s="98"/>
      <c r="FC7" s="95"/>
      <c r="FD7" s="98"/>
      <c r="FE7" s="98"/>
      <c r="FF7" s="98"/>
      <c r="FG7" s="98"/>
      <c r="FH7" s="98"/>
      <c r="FI7" s="95"/>
      <c r="FJ7" s="98"/>
      <c r="FK7" s="98"/>
      <c r="FL7" s="98"/>
      <c r="FM7" s="98"/>
      <c r="FN7" s="98"/>
      <c r="FO7" s="95"/>
      <c r="FP7" s="98"/>
      <c r="FQ7" s="98"/>
      <c r="FR7" s="98"/>
      <c r="FS7" s="98"/>
      <c r="FT7" s="98"/>
      <c r="FU7" s="95"/>
      <c r="FV7" s="98"/>
      <c r="FW7" s="98"/>
      <c r="FX7" s="98"/>
      <c r="FY7" s="98"/>
      <c r="FZ7" s="98"/>
      <c r="GA7" s="95"/>
      <c r="GB7" s="98"/>
      <c r="GC7" s="98"/>
      <c r="GD7" s="98"/>
      <c r="GE7" s="98"/>
      <c r="GF7" s="98"/>
      <c r="GG7" s="95"/>
      <c r="GH7" s="98"/>
      <c r="GI7" s="98"/>
      <c r="GJ7" s="98"/>
      <c r="GK7" s="98"/>
      <c r="GL7" s="98"/>
      <c r="GM7" s="95"/>
      <c r="GN7" s="98"/>
      <c r="GO7" s="98"/>
      <c r="GP7" s="98"/>
      <c r="GQ7" s="98"/>
      <c r="GR7" s="98"/>
      <c r="GS7" s="95"/>
      <c r="GT7" s="92"/>
      <c r="GU7" s="92"/>
      <c r="GV7" s="92"/>
      <c r="GW7" s="92"/>
      <c r="GX7" s="92"/>
      <c r="GY7" s="92"/>
      <c r="GZ7" s="95"/>
      <c r="HA7" s="92"/>
      <c r="HB7" s="92"/>
      <c r="HC7" s="92"/>
      <c r="HD7" s="92"/>
      <c r="HE7" s="92"/>
      <c r="HF7" s="92"/>
      <c r="HG7" s="92"/>
      <c r="HH7" s="92"/>
      <c r="HI7" s="92"/>
      <c r="HJ7" s="92"/>
      <c r="HK7" s="92"/>
      <c r="HL7" s="95"/>
      <c r="HM7" s="92"/>
      <c r="HN7" s="92"/>
      <c r="HO7" s="92"/>
      <c r="HP7" s="92"/>
      <c r="HQ7" s="92"/>
      <c r="HR7" s="92"/>
      <c r="HS7" s="92"/>
      <c r="HT7" s="97"/>
      <c r="HU7" s="97"/>
      <c r="HV7" s="97"/>
      <c r="HW7" s="97"/>
    </row>
    <row r="8" spans="1:231" ht="13.5" customHeight="1">
      <c r="A8" s="69"/>
      <c r="B8" s="92" t="s">
        <v>493</v>
      </c>
      <c r="C8" s="95"/>
      <c r="D8" s="92"/>
      <c r="E8" s="92"/>
      <c r="F8" s="92"/>
      <c r="G8" s="92"/>
      <c r="H8" s="92"/>
      <c r="I8" s="95">
        <v>8991.7710000000006</v>
      </c>
      <c r="J8" s="98">
        <v>8464.973</v>
      </c>
      <c r="K8" s="98"/>
      <c r="L8" s="98"/>
      <c r="M8" s="98">
        <v>5564.8150000000005</v>
      </c>
      <c r="N8" s="98">
        <v>-5038.0169999999998</v>
      </c>
      <c r="O8" s="95"/>
      <c r="P8" s="98"/>
      <c r="Q8" s="98"/>
      <c r="R8" s="98"/>
      <c r="S8" s="98"/>
      <c r="T8" s="98"/>
      <c r="U8" s="99"/>
      <c r="V8" s="100"/>
      <c r="W8" s="100"/>
      <c r="X8" s="100"/>
      <c r="Y8" s="100"/>
      <c r="Z8" s="100"/>
      <c r="AA8" s="95">
        <v>240.54499999999999</v>
      </c>
      <c r="AB8" s="98">
        <f t="shared" si="0"/>
        <v>5.3689999999999998</v>
      </c>
      <c r="AC8" s="98">
        <v>-9.5869999999999997</v>
      </c>
      <c r="AD8" s="98">
        <v>14.956</v>
      </c>
      <c r="AE8" s="98">
        <v>235.17599999999999</v>
      </c>
      <c r="AF8" s="98"/>
      <c r="AG8" s="95"/>
      <c r="AH8" s="98"/>
      <c r="AI8" s="98"/>
      <c r="AJ8" s="98"/>
      <c r="AK8" s="98"/>
      <c r="AL8" s="98"/>
      <c r="AM8" s="95"/>
      <c r="AN8" s="98"/>
      <c r="AO8" s="98"/>
      <c r="AP8" s="98"/>
      <c r="AQ8" s="98"/>
      <c r="AR8" s="98"/>
      <c r="AS8" s="95"/>
      <c r="AT8" s="98"/>
      <c r="AU8" s="98"/>
      <c r="AV8" s="98"/>
      <c r="AW8" s="98"/>
      <c r="AX8" s="98"/>
      <c r="AY8" s="95"/>
      <c r="AZ8" s="98"/>
      <c r="BA8" s="98"/>
      <c r="BB8" s="98"/>
      <c r="BC8" s="98"/>
      <c r="BD8" s="98"/>
      <c r="BE8" s="95"/>
      <c r="BF8" s="98"/>
      <c r="BG8" s="98"/>
      <c r="BH8" s="98"/>
      <c r="BI8" s="98"/>
      <c r="BJ8" s="98"/>
      <c r="BK8" s="95"/>
      <c r="BL8" s="98"/>
      <c r="BM8" s="98"/>
      <c r="BN8" s="98"/>
      <c r="BO8" s="98"/>
      <c r="BP8" s="98"/>
      <c r="BQ8" s="95"/>
      <c r="BR8" s="98"/>
      <c r="BS8" s="98"/>
      <c r="BT8" s="98"/>
      <c r="BU8" s="98"/>
      <c r="BV8" s="98"/>
      <c r="BW8" s="95"/>
      <c r="BX8" s="98"/>
      <c r="BY8" s="98"/>
      <c r="BZ8" s="98"/>
      <c r="CA8" s="98"/>
      <c r="CB8" s="98"/>
      <c r="CC8" s="95"/>
      <c r="CD8" s="98"/>
      <c r="CE8" s="98"/>
      <c r="CF8" s="98"/>
      <c r="CG8" s="98"/>
      <c r="CH8" s="98"/>
      <c r="CI8" s="95"/>
      <c r="CJ8" s="98"/>
      <c r="CK8" s="98"/>
      <c r="CL8" s="98"/>
      <c r="CM8" s="98"/>
      <c r="CN8" s="98"/>
      <c r="CO8" s="95"/>
      <c r="CP8" s="98"/>
      <c r="CQ8" s="98"/>
      <c r="CR8" s="98"/>
      <c r="CS8" s="98"/>
      <c r="CT8" s="98"/>
      <c r="CU8" s="95">
        <f t="shared" si="1"/>
        <v>5359.3217999999997</v>
      </c>
      <c r="CV8" s="98">
        <v>3501.8622999999998</v>
      </c>
      <c r="CW8" s="98">
        <v>3278.5679</v>
      </c>
      <c r="CX8" s="98">
        <v>223.2944</v>
      </c>
      <c r="CY8" s="98">
        <v>1857.4594999999999</v>
      </c>
      <c r="CZ8" s="98"/>
      <c r="DA8" s="95"/>
      <c r="DB8" s="98"/>
      <c r="DC8" s="98"/>
      <c r="DD8" s="98"/>
      <c r="DE8" s="98"/>
      <c r="DF8" s="98"/>
      <c r="DG8" s="95">
        <v>8742.5</v>
      </c>
      <c r="DH8" s="98">
        <v>2348.6999999999998</v>
      </c>
      <c r="DI8" s="98"/>
      <c r="DJ8" s="98"/>
      <c r="DK8" s="98">
        <v>6505.3</v>
      </c>
      <c r="DL8" s="98">
        <v>111.5</v>
      </c>
      <c r="DM8" s="95"/>
      <c r="DN8" s="98"/>
      <c r="DO8" s="98"/>
      <c r="DP8" s="98"/>
      <c r="DQ8" s="98"/>
      <c r="DR8" s="98"/>
      <c r="DS8" s="95"/>
      <c r="DT8" s="98"/>
      <c r="DU8" s="98"/>
      <c r="DV8" s="98"/>
      <c r="DW8" s="98"/>
      <c r="DX8" s="98"/>
      <c r="DY8" s="95"/>
      <c r="DZ8" s="98"/>
      <c r="EA8" s="98"/>
      <c r="EB8" s="98"/>
      <c r="EC8" s="98"/>
      <c r="ED8" s="98"/>
      <c r="EE8" s="95"/>
      <c r="EF8" s="98"/>
      <c r="EG8" s="98"/>
      <c r="EH8" s="98"/>
      <c r="EI8" s="98"/>
      <c r="EJ8" s="98"/>
      <c r="EK8" s="95"/>
      <c r="EL8" s="98"/>
      <c r="EM8" s="98"/>
      <c r="EN8" s="98"/>
      <c r="EO8" s="98"/>
      <c r="EP8" s="98"/>
      <c r="EQ8" s="95"/>
      <c r="ER8" s="98"/>
      <c r="ES8" s="98"/>
      <c r="ET8" s="98"/>
      <c r="EU8" s="98"/>
      <c r="EV8" s="98"/>
      <c r="EW8" s="95"/>
      <c r="EX8" s="98"/>
      <c r="EY8" s="98"/>
      <c r="EZ8" s="98"/>
      <c r="FA8" s="98"/>
      <c r="FB8" s="98"/>
      <c r="FC8" s="95"/>
      <c r="FD8" s="98"/>
      <c r="FE8" s="98"/>
      <c r="FF8" s="98"/>
      <c r="FG8" s="98"/>
      <c r="FH8" s="98"/>
      <c r="FI8" s="95"/>
      <c r="FJ8" s="98"/>
      <c r="FK8" s="98"/>
      <c r="FL8" s="98"/>
      <c r="FM8" s="98"/>
      <c r="FN8" s="98"/>
      <c r="FO8" s="95"/>
      <c r="FP8" s="98"/>
      <c r="FQ8" s="98"/>
      <c r="FR8" s="98"/>
      <c r="FS8" s="98"/>
      <c r="FT8" s="98"/>
      <c r="FU8" s="95"/>
      <c r="FV8" s="98"/>
      <c r="FW8" s="98"/>
      <c r="FX8" s="98"/>
      <c r="FY8" s="98"/>
      <c r="FZ8" s="98"/>
      <c r="GA8" s="95"/>
      <c r="GB8" s="98"/>
      <c r="GC8" s="98"/>
      <c r="GD8" s="98"/>
      <c r="GE8" s="98"/>
      <c r="GF8" s="98"/>
      <c r="GG8" s="95"/>
      <c r="GH8" s="98"/>
      <c r="GI8" s="98"/>
      <c r="GJ8" s="98"/>
      <c r="GK8" s="98"/>
      <c r="GL8" s="98"/>
      <c r="GM8" s="95"/>
      <c r="GN8" s="98"/>
      <c r="GO8" s="98"/>
      <c r="GP8" s="98"/>
      <c r="GQ8" s="98"/>
      <c r="GR8" s="98"/>
      <c r="GS8" s="95"/>
      <c r="GT8" s="92"/>
      <c r="GU8" s="92"/>
      <c r="GV8" s="92"/>
      <c r="GW8" s="92"/>
      <c r="GX8" s="92"/>
      <c r="GY8" s="92"/>
      <c r="GZ8" s="95"/>
      <c r="HA8" s="92"/>
      <c r="HB8" s="92"/>
      <c r="HC8" s="92"/>
      <c r="HD8" s="92"/>
      <c r="HE8" s="92"/>
      <c r="HF8" s="92"/>
      <c r="HG8" s="92"/>
      <c r="HH8" s="92"/>
      <c r="HI8" s="92"/>
      <c r="HJ8" s="92"/>
      <c r="HK8" s="92"/>
      <c r="HL8" s="95"/>
      <c r="HM8" s="92"/>
      <c r="HN8" s="92"/>
      <c r="HO8" s="92"/>
      <c r="HP8" s="92"/>
      <c r="HQ8" s="92"/>
      <c r="HR8" s="92"/>
      <c r="HS8" s="92"/>
      <c r="HT8" s="97"/>
      <c r="HU8" s="97"/>
      <c r="HV8" s="97"/>
      <c r="HW8" s="97"/>
    </row>
    <row r="9" spans="1:231" ht="13.5" customHeight="1">
      <c r="A9" s="69"/>
      <c r="B9" s="92" t="s">
        <v>494</v>
      </c>
      <c r="C9" s="95"/>
      <c r="D9" s="92"/>
      <c r="E9" s="92"/>
      <c r="F9" s="92"/>
      <c r="G9" s="92"/>
      <c r="H9" s="92"/>
      <c r="I9" s="95">
        <v>9646.9</v>
      </c>
      <c r="J9" s="98">
        <v>8933.5550000000003</v>
      </c>
      <c r="K9" s="98"/>
      <c r="L9" s="98"/>
      <c r="M9" s="98">
        <v>6253.8909999999996</v>
      </c>
      <c r="N9" s="98">
        <v>-5540.5460000000003</v>
      </c>
      <c r="O9" s="95"/>
      <c r="P9" s="98"/>
      <c r="Q9" s="98"/>
      <c r="R9" s="98"/>
      <c r="S9" s="98"/>
      <c r="T9" s="98"/>
      <c r="U9" s="99"/>
      <c r="V9" s="100"/>
      <c r="W9" s="100"/>
      <c r="X9" s="100"/>
      <c r="Y9" s="100"/>
      <c r="Z9" s="100"/>
      <c r="AA9" s="95">
        <v>248.506</v>
      </c>
      <c r="AB9" s="98">
        <f t="shared" si="0"/>
        <v>6.1020000000000003</v>
      </c>
      <c r="AC9" s="98">
        <v>-8.8940000000000001</v>
      </c>
      <c r="AD9" s="98">
        <v>14.996</v>
      </c>
      <c r="AE9" s="98">
        <v>242.404</v>
      </c>
      <c r="AF9" s="98"/>
      <c r="AG9" s="95"/>
      <c r="AH9" s="98"/>
      <c r="AI9" s="98"/>
      <c r="AJ9" s="98"/>
      <c r="AK9" s="98"/>
      <c r="AL9" s="98"/>
      <c r="AM9" s="95"/>
      <c r="AN9" s="98"/>
      <c r="AO9" s="98"/>
      <c r="AP9" s="98"/>
      <c r="AQ9" s="98"/>
      <c r="AR9" s="98"/>
      <c r="AS9" s="95"/>
      <c r="AT9" s="98"/>
      <c r="AU9" s="98"/>
      <c r="AV9" s="98"/>
      <c r="AW9" s="98"/>
      <c r="AX9" s="98"/>
      <c r="AY9" s="95"/>
      <c r="AZ9" s="98"/>
      <c r="BA9" s="98"/>
      <c r="BB9" s="98"/>
      <c r="BC9" s="98"/>
      <c r="BD9" s="98"/>
      <c r="BE9" s="95"/>
      <c r="BF9" s="98"/>
      <c r="BG9" s="98"/>
      <c r="BH9" s="98"/>
      <c r="BI9" s="98"/>
      <c r="BJ9" s="98"/>
      <c r="BK9" s="95"/>
      <c r="BL9" s="98"/>
      <c r="BM9" s="98"/>
      <c r="BN9" s="98"/>
      <c r="BO9" s="98"/>
      <c r="BP9" s="98"/>
      <c r="BQ9" s="95"/>
      <c r="BR9" s="98"/>
      <c r="BS9" s="98"/>
      <c r="BT9" s="98"/>
      <c r="BU9" s="98"/>
      <c r="BV9" s="98"/>
      <c r="BW9" s="95"/>
      <c r="BX9" s="98"/>
      <c r="BY9" s="98"/>
      <c r="BZ9" s="98"/>
      <c r="CA9" s="98"/>
      <c r="CB9" s="98"/>
      <c r="CC9" s="95"/>
      <c r="CD9" s="98"/>
      <c r="CE9" s="98"/>
      <c r="CF9" s="98"/>
      <c r="CG9" s="98"/>
      <c r="CH9" s="98"/>
      <c r="CI9" s="95"/>
      <c r="CJ9" s="98"/>
      <c r="CK9" s="98"/>
      <c r="CL9" s="98"/>
      <c r="CM9" s="98"/>
      <c r="CN9" s="98"/>
      <c r="CO9" s="95"/>
      <c r="CP9" s="98"/>
      <c r="CQ9" s="98"/>
      <c r="CR9" s="98"/>
      <c r="CS9" s="98"/>
      <c r="CT9" s="98"/>
      <c r="CU9" s="95">
        <f t="shared" si="1"/>
        <v>5366.0950999999995</v>
      </c>
      <c r="CV9" s="98">
        <v>3533.6603999999998</v>
      </c>
      <c r="CW9" s="98">
        <v>3318.2269999999999</v>
      </c>
      <c r="CX9" s="98">
        <v>215.43340000000001</v>
      </c>
      <c r="CY9" s="98">
        <v>1832.4347</v>
      </c>
      <c r="CZ9" s="98"/>
      <c r="DA9" s="95"/>
      <c r="DB9" s="98"/>
      <c r="DC9" s="98"/>
      <c r="DD9" s="98"/>
      <c r="DE9" s="98"/>
      <c r="DF9" s="98"/>
      <c r="DG9" s="95">
        <v>8259.7000000000007</v>
      </c>
      <c r="DH9" s="98">
        <v>1626.5</v>
      </c>
      <c r="DI9" s="98"/>
      <c r="DJ9" s="98"/>
      <c r="DK9" s="98">
        <v>6683.8</v>
      </c>
      <c r="DL9" s="98">
        <v>50.6</v>
      </c>
      <c r="DM9" s="95"/>
      <c r="DN9" s="98"/>
      <c r="DO9" s="98"/>
      <c r="DP9" s="98"/>
      <c r="DQ9" s="98"/>
      <c r="DR9" s="98"/>
      <c r="DS9" s="95"/>
      <c r="DT9" s="98"/>
      <c r="DU9" s="98"/>
      <c r="DV9" s="98"/>
      <c r="DW9" s="98"/>
      <c r="DX9" s="98"/>
      <c r="DY9" s="95"/>
      <c r="DZ9" s="98"/>
      <c r="EA9" s="98"/>
      <c r="EB9" s="98"/>
      <c r="EC9" s="98"/>
      <c r="ED9" s="98"/>
      <c r="EE9" s="95"/>
      <c r="EF9" s="98"/>
      <c r="EG9" s="98"/>
      <c r="EH9" s="98"/>
      <c r="EI9" s="98"/>
      <c r="EJ9" s="98"/>
      <c r="EK9" s="95"/>
      <c r="EL9" s="98"/>
      <c r="EM9" s="98"/>
      <c r="EN9" s="98"/>
      <c r="EO9" s="98"/>
      <c r="EP9" s="98"/>
      <c r="EQ9" s="95"/>
      <c r="ER9" s="98"/>
      <c r="ES9" s="98"/>
      <c r="ET9" s="98"/>
      <c r="EU9" s="98"/>
      <c r="EV9" s="98"/>
      <c r="EW9" s="95"/>
      <c r="EX9" s="98"/>
      <c r="EY9" s="98"/>
      <c r="EZ9" s="98"/>
      <c r="FA9" s="98"/>
      <c r="FB9" s="98"/>
      <c r="FC9" s="95"/>
      <c r="FD9" s="98"/>
      <c r="FE9" s="98"/>
      <c r="FF9" s="98"/>
      <c r="FG9" s="98"/>
      <c r="FH9" s="98"/>
      <c r="FI9" s="95"/>
      <c r="FJ9" s="98"/>
      <c r="FK9" s="98"/>
      <c r="FL9" s="98"/>
      <c r="FM9" s="98"/>
      <c r="FN9" s="98"/>
      <c r="FO9" s="95"/>
      <c r="FP9" s="98"/>
      <c r="FQ9" s="98"/>
      <c r="FR9" s="98"/>
      <c r="FS9" s="98"/>
      <c r="FT9" s="98"/>
      <c r="FU9" s="95"/>
      <c r="FV9" s="98"/>
      <c r="FW9" s="98"/>
      <c r="FX9" s="98"/>
      <c r="FY9" s="98"/>
      <c r="FZ9" s="98"/>
      <c r="GA9" s="95"/>
      <c r="GB9" s="98"/>
      <c r="GC9" s="98"/>
      <c r="GD9" s="98"/>
      <c r="GE9" s="98"/>
      <c r="GF9" s="98"/>
      <c r="GG9" s="95"/>
      <c r="GH9" s="98"/>
      <c r="GI9" s="98"/>
      <c r="GJ9" s="98"/>
      <c r="GK9" s="98"/>
      <c r="GL9" s="98"/>
      <c r="GM9" s="95"/>
      <c r="GN9" s="98"/>
      <c r="GO9" s="98"/>
      <c r="GP9" s="98"/>
      <c r="GQ9" s="98"/>
      <c r="GR9" s="98"/>
      <c r="GS9" s="95"/>
      <c r="GT9" s="92"/>
      <c r="GU9" s="92"/>
      <c r="GV9" s="92"/>
      <c r="GW9" s="92"/>
      <c r="GX9" s="92"/>
      <c r="GY9" s="92"/>
      <c r="GZ9" s="95"/>
      <c r="HA9" s="92"/>
      <c r="HB9" s="92"/>
      <c r="HC9" s="92"/>
      <c r="HD9" s="92"/>
      <c r="HE9" s="92"/>
      <c r="HF9" s="92"/>
      <c r="HG9" s="92"/>
      <c r="HH9" s="92"/>
      <c r="HI9" s="92"/>
      <c r="HJ9" s="92"/>
      <c r="HK9" s="92"/>
      <c r="HL9" s="95"/>
      <c r="HM9" s="92"/>
      <c r="HN9" s="92"/>
      <c r="HO9" s="92"/>
      <c r="HP9" s="92"/>
      <c r="HQ9" s="92"/>
      <c r="HR9" s="92"/>
      <c r="HS9" s="92"/>
      <c r="HT9" s="97"/>
      <c r="HU9" s="97"/>
      <c r="HV9" s="97"/>
      <c r="HW9" s="97"/>
    </row>
    <row r="10" spans="1:231" ht="13.5" customHeight="1">
      <c r="A10" s="69"/>
      <c r="B10" s="92" t="s">
        <v>495</v>
      </c>
      <c r="C10" s="95"/>
      <c r="D10" s="92"/>
      <c r="E10" s="92"/>
      <c r="F10" s="92"/>
      <c r="G10" s="92"/>
      <c r="H10" s="92"/>
      <c r="I10" s="95">
        <v>10298.834000000001</v>
      </c>
      <c r="J10" s="98">
        <v>9427.0069999999996</v>
      </c>
      <c r="K10" s="98"/>
      <c r="L10" s="98"/>
      <c r="M10" s="98">
        <v>7238.2470000000003</v>
      </c>
      <c r="N10" s="98">
        <v>-6366.42</v>
      </c>
      <c r="O10" s="99"/>
      <c r="P10" s="100"/>
      <c r="Q10" s="100"/>
      <c r="R10" s="100"/>
      <c r="S10" s="100"/>
      <c r="T10" s="100"/>
      <c r="U10" s="99"/>
      <c r="V10" s="100"/>
      <c r="W10" s="100"/>
      <c r="X10" s="100"/>
      <c r="Y10" s="100"/>
      <c r="Z10" s="100"/>
      <c r="AA10" s="95">
        <v>243.62</v>
      </c>
      <c r="AB10" s="98">
        <f t="shared" si="0"/>
        <v>0.29199999999999982</v>
      </c>
      <c r="AC10" s="98">
        <v>-14.404999999999999</v>
      </c>
      <c r="AD10" s="98">
        <v>14.696999999999999</v>
      </c>
      <c r="AE10" s="98">
        <v>243.328</v>
      </c>
      <c r="AF10" s="98"/>
      <c r="AG10" s="95"/>
      <c r="AH10" s="98"/>
      <c r="AI10" s="98"/>
      <c r="AJ10" s="98"/>
      <c r="AK10" s="98"/>
      <c r="AL10" s="98"/>
      <c r="AM10" s="95"/>
      <c r="AN10" s="98"/>
      <c r="AO10" s="98"/>
      <c r="AP10" s="98"/>
      <c r="AQ10" s="98"/>
      <c r="AR10" s="98"/>
      <c r="AS10" s="95"/>
      <c r="AT10" s="98"/>
      <c r="AU10" s="98"/>
      <c r="AV10" s="98"/>
      <c r="AW10" s="98"/>
      <c r="AX10" s="98"/>
      <c r="AY10" s="95"/>
      <c r="AZ10" s="98"/>
      <c r="BA10" s="98"/>
      <c r="BB10" s="98"/>
      <c r="BC10" s="98"/>
      <c r="BD10" s="98"/>
      <c r="BE10" s="95"/>
      <c r="BF10" s="98"/>
      <c r="BG10" s="98"/>
      <c r="BH10" s="98"/>
      <c r="BI10" s="98"/>
      <c r="BJ10" s="98"/>
      <c r="BK10" s="95"/>
      <c r="BL10" s="98"/>
      <c r="BM10" s="98"/>
      <c r="BN10" s="98"/>
      <c r="BO10" s="98"/>
      <c r="BP10" s="98"/>
      <c r="BQ10" s="95"/>
      <c r="BR10" s="98"/>
      <c r="BS10" s="98"/>
      <c r="BT10" s="98"/>
      <c r="BU10" s="98"/>
      <c r="BV10" s="98"/>
      <c r="BW10" s="95"/>
      <c r="BX10" s="98"/>
      <c r="BY10" s="98"/>
      <c r="BZ10" s="98"/>
      <c r="CA10" s="98"/>
      <c r="CB10" s="98"/>
      <c r="CC10" s="95"/>
      <c r="CD10" s="98"/>
      <c r="CE10" s="98"/>
      <c r="CF10" s="98"/>
      <c r="CG10" s="98"/>
      <c r="CH10" s="98"/>
      <c r="CI10" s="95"/>
      <c r="CJ10" s="98"/>
      <c r="CK10" s="98"/>
      <c r="CL10" s="98"/>
      <c r="CM10" s="98"/>
      <c r="CN10" s="98"/>
      <c r="CO10" s="95"/>
      <c r="CP10" s="98"/>
      <c r="CQ10" s="98"/>
      <c r="CR10" s="98"/>
      <c r="CS10" s="98"/>
      <c r="CT10" s="98"/>
      <c r="CU10" s="95">
        <f t="shared" si="1"/>
        <v>5376.7613000000001</v>
      </c>
      <c r="CV10" s="98">
        <v>3558.0552000000002</v>
      </c>
      <c r="CW10" s="98">
        <v>3344.82</v>
      </c>
      <c r="CX10" s="98">
        <v>213.23520000000002</v>
      </c>
      <c r="CY10" s="98">
        <v>1818.7061000000001</v>
      </c>
      <c r="CZ10" s="98"/>
      <c r="DA10" s="95"/>
      <c r="DB10" s="98"/>
      <c r="DC10" s="98"/>
      <c r="DD10" s="98"/>
      <c r="DE10" s="98"/>
      <c r="DF10" s="98"/>
      <c r="DG10" s="95">
        <v>8376.5</v>
      </c>
      <c r="DH10" s="98">
        <v>1766.1</v>
      </c>
      <c r="DI10" s="98"/>
      <c r="DJ10" s="98"/>
      <c r="DK10" s="98">
        <v>6781.9</v>
      </c>
      <c r="DL10" s="98">
        <v>171.5</v>
      </c>
      <c r="DM10" s="95"/>
      <c r="DN10" s="98"/>
      <c r="DO10" s="98"/>
      <c r="DP10" s="98"/>
      <c r="DQ10" s="98"/>
      <c r="DR10" s="98"/>
      <c r="DS10" s="95"/>
      <c r="DT10" s="98"/>
      <c r="DU10" s="98"/>
      <c r="DV10" s="98"/>
      <c r="DW10" s="98"/>
      <c r="DX10" s="98"/>
      <c r="DY10" s="95"/>
      <c r="DZ10" s="98"/>
      <c r="EA10" s="98"/>
      <c r="EB10" s="98"/>
      <c r="EC10" s="98"/>
      <c r="ED10" s="98"/>
      <c r="EE10" s="95"/>
      <c r="EF10" s="98"/>
      <c r="EG10" s="98"/>
      <c r="EH10" s="98"/>
      <c r="EI10" s="98"/>
      <c r="EJ10" s="98"/>
      <c r="EK10" s="95"/>
      <c r="EL10" s="98"/>
      <c r="EM10" s="98"/>
      <c r="EN10" s="98"/>
      <c r="EO10" s="98"/>
      <c r="EP10" s="98"/>
      <c r="EQ10" s="95"/>
      <c r="ER10" s="98"/>
      <c r="ES10" s="98"/>
      <c r="ET10" s="98"/>
      <c r="EU10" s="98"/>
      <c r="EV10" s="98"/>
      <c r="EW10" s="95"/>
      <c r="EX10" s="98"/>
      <c r="EY10" s="98"/>
      <c r="EZ10" s="98"/>
      <c r="FA10" s="98"/>
      <c r="FB10" s="98"/>
      <c r="FC10" s="95"/>
      <c r="FD10" s="98"/>
      <c r="FE10" s="98"/>
      <c r="FF10" s="98"/>
      <c r="FG10" s="98"/>
      <c r="FH10" s="98"/>
      <c r="FI10" s="95"/>
      <c r="FJ10" s="98"/>
      <c r="FK10" s="98"/>
      <c r="FL10" s="98"/>
      <c r="FM10" s="98"/>
      <c r="FN10" s="98"/>
      <c r="FO10" s="95"/>
      <c r="FP10" s="98"/>
      <c r="FQ10" s="98"/>
      <c r="FR10" s="98"/>
      <c r="FS10" s="98"/>
      <c r="FT10" s="98"/>
      <c r="FU10" s="95"/>
      <c r="FV10" s="98"/>
      <c r="FW10" s="98"/>
      <c r="FX10" s="98"/>
      <c r="FY10" s="98"/>
      <c r="FZ10" s="98"/>
      <c r="GA10" s="95"/>
      <c r="GB10" s="98"/>
      <c r="GC10" s="98"/>
      <c r="GD10" s="98"/>
      <c r="GE10" s="98"/>
      <c r="GF10" s="98"/>
      <c r="GG10" s="95"/>
      <c r="GH10" s="98"/>
      <c r="GI10" s="98"/>
      <c r="GJ10" s="98"/>
      <c r="GK10" s="100"/>
      <c r="GL10" s="100"/>
      <c r="GM10" s="99"/>
      <c r="GN10" s="100"/>
      <c r="GO10" s="100"/>
      <c r="GP10" s="100"/>
      <c r="GQ10" s="98"/>
      <c r="GR10" s="98"/>
      <c r="GS10" s="95"/>
      <c r="GT10" s="92"/>
      <c r="GU10" s="92"/>
      <c r="GV10" s="92"/>
      <c r="GW10" s="92"/>
      <c r="GX10" s="92"/>
      <c r="GY10" s="92"/>
      <c r="GZ10" s="95"/>
      <c r="HA10" s="92"/>
      <c r="HB10" s="92"/>
      <c r="HC10" s="92"/>
      <c r="HD10" s="92"/>
      <c r="HE10" s="92"/>
      <c r="HF10" s="92"/>
      <c r="HG10" s="92"/>
      <c r="HH10" s="92"/>
      <c r="HI10" s="92"/>
      <c r="HJ10" s="92"/>
      <c r="HK10" s="92"/>
      <c r="HL10" s="95"/>
      <c r="HM10" s="92"/>
      <c r="HN10" s="92"/>
      <c r="HO10" s="92"/>
      <c r="HP10" s="92"/>
      <c r="HQ10" s="92"/>
      <c r="HR10" s="92"/>
      <c r="HS10" s="92"/>
      <c r="HT10" s="97"/>
      <c r="HU10" s="97"/>
      <c r="HV10" s="97"/>
      <c r="HW10" s="97"/>
    </row>
    <row r="11" spans="1:231" ht="13.5" customHeight="1">
      <c r="A11" s="69"/>
      <c r="B11" s="92" t="s">
        <v>496</v>
      </c>
      <c r="C11" s="88"/>
      <c r="D11" s="87"/>
      <c r="E11" s="87"/>
      <c r="F11" s="87"/>
      <c r="G11" s="87"/>
      <c r="H11" s="87"/>
      <c r="I11" s="95">
        <v>11768.816999999997</v>
      </c>
      <c r="J11" s="98">
        <v>10361.800999999999</v>
      </c>
      <c r="K11" s="98"/>
      <c r="L11" s="98"/>
      <c r="M11" s="98">
        <v>8273.134</v>
      </c>
      <c r="N11" s="100">
        <v>-6866.1180000000004</v>
      </c>
      <c r="O11" s="99"/>
      <c r="P11" s="100"/>
      <c r="Q11" s="100"/>
      <c r="R11" s="100"/>
      <c r="S11" s="100"/>
      <c r="T11" s="100"/>
      <c r="U11" s="99"/>
      <c r="V11" s="100"/>
      <c r="W11" s="100"/>
      <c r="X11" s="100"/>
      <c r="Y11" s="100"/>
      <c r="Z11" s="100"/>
      <c r="AA11" s="95">
        <v>246.029</v>
      </c>
      <c r="AB11" s="98">
        <f t="shared" si="0"/>
        <v>-2.1070000000000011</v>
      </c>
      <c r="AC11" s="98">
        <v>-16.047000000000001</v>
      </c>
      <c r="AD11" s="98">
        <v>13.94</v>
      </c>
      <c r="AE11" s="98">
        <v>248.136</v>
      </c>
      <c r="AF11" s="98"/>
      <c r="AG11" s="95"/>
      <c r="AH11" s="98"/>
      <c r="AI11" s="98"/>
      <c r="AJ11" s="98"/>
      <c r="AK11" s="98"/>
      <c r="AL11" s="98"/>
      <c r="AM11" s="95"/>
      <c r="AN11" s="98"/>
      <c r="AO11" s="98"/>
      <c r="AP11" s="98"/>
      <c r="AQ11" s="98"/>
      <c r="AR11" s="98"/>
      <c r="AS11" s="95"/>
      <c r="AT11" s="98"/>
      <c r="AU11" s="98"/>
      <c r="AV11" s="98"/>
      <c r="AW11" s="98"/>
      <c r="AX11" s="98"/>
      <c r="AY11" s="95"/>
      <c r="AZ11" s="98"/>
      <c r="BA11" s="98"/>
      <c r="BB11" s="98"/>
      <c r="BC11" s="98"/>
      <c r="BD11" s="98"/>
      <c r="BE11" s="95"/>
      <c r="BF11" s="98"/>
      <c r="BG11" s="98"/>
      <c r="BH11" s="98"/>
      <c r="BI11" s="98"/>
      <c r="BJ11" s="98"/>
      <c r="BK11" s="95"/>
      <c r="BL11" s="98"/>
      <c r="BM11" s="98"/>
      <c r="BN11" s="98"/>
      <c r="BO11" s="98"/>
      <c r="BP11" s="98"/>
      <c r="BQ11" s="95"/>
      <c r="BR11" s="98"/>
      <c r="BS11" s="98"/>
      <c r="BT11" s="98"/>
      <c r="BU11" s="98"/>
      <c r="BV11" s="98"/>
      <c r="BW11" s="95"/>
      <c r="BX11" s="98"/>
      <c r="BY11" s="98"/>
      <c r="BZ11" s="98"/>
      <c r="CA11" s="98"/>
      <c r="CB11" s="98"/>
      <c r="CC11" s="95"/>
      <c r="CD11" s="98"/>
      <c r="CE11" s="98"/>
      <c r="CF11" s="98"/>
      <c r="CG11" s="98"/>
      <c r="CH11" s="98"/>
      <c r="CI11" s="95"/>
      <c r="CJ11" s="98"/>
      <c r="CK11" s="98"/>
      <c r="CL11" s="98"/>
      <c r="CM11" s="98"/>
      <c r="CN11" s="98"/>
      <c r="CO11" s="95"/>
      <c r="CP11" s="98"/>
      <c r="CQ11" s="98"/>
      <c r="CR11" s="98"/>
      <c r="CS11" s="98"/>
      <c r="CT11" s="98"/>
      <c r="CU11" s="95">
        <f t="shared" si="1"/>
        <v>5387.1543000000001</v>
      </c>
      <c r="CV11" s="98">
        <v>3568.3663999999999</v>
      </c>
      <c r="CW11" s="98">
        <v>3381.0504000000001</v>
      </c>
      <c r="CX11" s="98">
        <v>187.316</v>
      </c>
      <c r="CY11" s="98">
        <v>1818.7878999999998</v>
      </c>
      <c r="CZ11" s="98"/>
      <c r="DA11" s="95"/>
      <c r="DB11" s="98"/>
      <c r="DC11" s="98"/>
      <c r="DD11" s="98"/>
      <c r="DE11" s="98"/>
      <c r="DF11" s="98"/>
      <c r="DG11" s="95">
        <v>8928.5</v>
      </c>
      <c r="DH11" s="98">
        <v>2192.6</v>
      </c>
      <c r="DI11" s="98"/>
      <c r="DJ11" s="98"/>
      <c r="DK11" s="98">
        <v>6877</v>
      </c>
      <c r="DL11" s="98">
        <v>141.1</v>
      </c>
      <c r="DM11" s="95"/>
      <c r="DN11" s="98"/>
      <c r="DO11" s="98"/>
      <c r="DP11" s="98"/>
      <c r="DQ11" s="98"/>
      <c r="DR11" s="98"/>
      <c r="DS11" s="95"/>
      <c r="DT11" s="98"/>
      <c r="DU11" s="98"/>
      <c r="DV11" s="98"/>
      <c r="DW11" s="98"/>
      <c r="DX11" s="98"/>
      <c r="DY11" s="95"/>
      <c r="DZ11" s="98"/>
      <c r="EA11" s="98"/>
      <c r="EB11" s="98"/>
      <c r="EC11" s="98"/>
      <c r="ED11" s="98"/>
      <c r="EE11" s="95"/>
      <c r="EF11" s="98"/>
      <c r="EG11" s="98"/>
      <c r="EH11" s="98"/>
      <c r="EI11" s="98"/>
      <c r="EJ11" s="98"/>
      <c r="EK11" s="95"/>
      <c r="EL11" s="98"/>
      <c r="EM11" s="98"/>
      <c r="EN11" s="98"/>
      <c r="EO11" s="98"/>
      <c r="EP11" s="98"/>
      <c r="EQ11" s="95"/>
      <c r="ER11" s="98"/>
      <c r="ES11" s="98"/>
      <c r="ET11" s="98"/>
      <c r="EU11" s="98"/>
      <c r="EV11" s="98"/>
      <c r="EW11" s="95"/>
      <c r="EX11" s="98"/>
      <c r="EY11" s="98"/>
      <c r="EZ11" s="98"/>
      <c r="FA11" s="98"/>
      <c r="FB11" s="98"/>
      <c r="FC11" s="95"/>
      <c r="FD11" s="98"/>
      <c r="FE11" s="98"/>
      <c r="FF11" s="98"/>
      <c r="FG11" s="98"/>
      <c r="FH11" s="98"/>
      <c r="FI11" s="95"/>
      <c r="FJ11" s="98"/>
      <c r="FK11" s="98"/>
      <c r="FL11" s="98"/>
      <c r="FM11" s="98"/>
      <c r="FN11" s="98"/>
      <c r="FO11" s="95"/>
      <c r="FP11" s="98"/>
      <c r="FQ11" s="98"/>
      <c r="FR11" s="98"/>
      <c r="FS11" s="98"/>
      <c r="FT11" s="98"/>
      <c r="FU11" s="95"/>
      <c r="FV11" s="98"/>
      <c r="FW11" s="98"/>
      <c r="FX11" s="98"/>
      <c r="FY11" s="98"/>
      <c r="FZ11" s="98"/>
      <c r="GA11" s="95"/>
      <c r="GB11" s="98"/>
      <c r="GC11" s="98"/>
      <c r="GD11" s="98"/>
      <c r="GE11" s="98"/>
      <c r="GF11" s="98"/>
      <c r="GG11" s="95"/>
      <c r="GH11" s="98"/>
      <c r="GI11" s="98"/>
      <c r="GJ11" s="98"/>
      <c r="GK11" s="100"/>
      <c r="GL11" s="100"/>
      <c r="GM11" s="99"/>
      <c r="GN11" s="100"/>
      <c r="GO11" s="100"/>
      <c r="GP11" s="100"/>
      <c r="GQ11" s="98"/>
      <c r="GR11" s="98"/>
      <c r="GS11" s="95"/>
      <c r="GT11" s="87"/>
      <c r="GU11" s="87"/>
      <c r="GV11" s="87"/>
      <c r="GW11" s="87"/>
      <c r="GX11" s="87"/>
      <c r="GY11" s="87"/>
      <c r="GZ11" s="88"/>
      <c r="HA11" s="87"/>
      <c r="HB11" s="87"/>
      <c r="HC11" s="87"/>
      <c r="HD11" s="87"/>
      <c r="HE11" s="87"/>
      <c r="HF11" s="87"/>
      <c r="HG11" s="87"/>
      <c r="HH11" s="87"/>
      <c r="HI11" s="87"/>
      <c r="HJ11" s="87"/>
      <c r="HK11" s="87"/>
      <c r="HL11" s="88"/>
      <c r="HM11" s="87"/>
      <c r="HN11" s="87"/>
      <c r="HO11" s="87"/>
      <c r="HP11" s="87"/>
      <c r="HQ11" s="87"/>
      <c r="HR11" s="87"/>
      <c r="HS11" s="87"/>
    </row>
    <row r="12" spans="1:231" ht="13.5" customHeight="1">
      <c r="A12" s="69"/>
      <c r="B12" s="87" t="s">
        <v>497</v>
      </c>
      <c r="C12" s="88"/>
      <c r="D12" s="87"/>
      <c r="E12" s="87"/>
      <c r="F12" s="87"/>
      <c r="G12" s="87"/>
      <c r="H12" s="87"/>
      <c r="I12" s="88">
        <v>11425.242999999999</v>
      </c>
      <c r="J12" s="89">
        <v>10543.906999999999</v>
      </c>
      <c r="K12" s="89"/>
      <c r="L12" s="89"/>
      <c r="M12" s="89">
        <v>8523.0709999999999</v>
      </c>
      <c r="N12" s="89">
        <v>-7641.7349999999997</v>
      </c>
      <c r="O12" s="88"/>
      <c r="P12" s="89"/>
      <c r="Q12" s="89"/>
      <c r="R12" s="89"/>
      <c r="S12" s="89"/>
      <c r="T12" s="89"/>
      <c r="U12" s="88"/>
      <c r="V12" s="89"/>
      <c r="W12" s="89"/>
      <c r="X12" s="89"/>
      <c r="Y12" s="89"/>
      <c r="Z12" s="89"/>
      <c r="AA12" s="88">
        <v>263.59699999999998</v>
      </c>
      <c r="AB12" s="89">
        <f t="shared" si="0"/>
        <v>1.25</v>
      </c>
      <c r="AC12" s="89">
        <v>-15.957000000000001</v>
      </c>
      <c r="AD12" s="89">
        <v>17.207000000000001</v>
      </c>
      <c r="AE12" s="89">
        <v>262.34699999999998</v>
      </c>
      <c r="AF12" s="89"/>
      <c r="AG12" s="88"/>
      <c r="AH12" s="89"/>
      <c r="AI12" s="89"/>
      <c r="AJ12" s="89"/>
      <c r="AK12" s="89"/>
      <c r="AL12" s="89"/>
      <c r="AM12" s="88"/>
      <c r="AN12" s="89"/>
      <c r="AO12" s="89"/>
      <c r="AP12" s="89"/>
      <c r="AQ12" s="89"/>
      <c r="AR12" s="89"/>
      <c r="AS12" s="88"/>
      <c r="AT12" s="89"/>
      <c r="AU12" s="89"/>
      <c r="AV12" s="89"/>
      <c r="AW12" s="89"/>
      <c r="AX12" s="89"/>
      <c r="AY12" s="88"/>
      <c r="AZ12" s="89"/>
      <c r="BA12" s="89"/>
      <c r="BB12" s="89"/>
      <c r="BC12" s="89"/>
      <c r="BD12" s="89"/>
      <c r="BE12" s="88"/>
      <c r="BF12" s="89"/>
      <c r="BG12" s="89"/>
      <c r="BH12" s="89"/>
      <c r="BI12" s="89"/>
      <c r="BJ12" s="89"/>
      <c r="BK12" s="88"/>
      <c r="BL12" s="89"/>
      <c r="BM12" s="89"/>
      <c r="BN12" s="89"/>
      <c r="BO12" s="89"/>
      <c r="BP12" s="89"/>
      <c r="BQ12" s="88"/>
      <c r="BR12" s="89"/>
      <c r="BS12" s="89"/>
      <c r="BT12" s="89"/>
      <c r="BU12" s="89"/>
      <c r="BV12" s="89"/>
      <c r="BW12" s="88"/>
      <c r="BX12" s="89"/>
      <c r="BY12" s="89"/>
      <c r="BZ12" s="89"/>
      <c r="CA12" s="89"/>
      <c r="CB12" s="89"/>
      <c r="CC12" s="88"/>
      <c r="CD12" s="89"/>
      <c r="CE12" s="89"/>
      <c r="CF12" s="89"/>
      <c r="CG12" s="89"/>
      <c r="CH12" s="89"/>
      <c r="CI12" s="88"/>
      <c r="CJ12" s="89"/>
      <c r="CK12" s="89"/>
      <c r="CL12" s="89"/>
      <c r="CM12" s="89"/>
      <c r="CN12" s="89"/>
      <c r="CO12" s="88"/>
      <c r="CP12" s="89"/>
      <c r="CQ12" s="89"/>
      <c r="CR12" s="89"/>
      <c r="CS12" s="89"/>
      <c r="CT12" s="89"/>
      <c r="CU12" s="88">
        <f t="shared" si="1"/>
        <v>4843.0623000000005</v>
      </c>
      <c r="CV12" s="89">
        <v>2897.9092000000005</v>
      </c>
      <c r="CW12" s="89">
        <v>2784.9712000000004</v>
      </c>
      <c r="CX12" s="89">
        <v>112.938</v>
      </c>
      <c r="CY12" s="89">
        <v>1945.1531</v>
      </c>
      <c r="CZ12" s="89"/>
      <c r="DA12" s="88"/>
      <c r="DB12" s="89"/>
      <c r="DC12" s="89"/>
      <c r="DD12" s="89"/>
      <c r="DE12" s="89"/>
      <c r="DF12" s="89"/>
      <c r="DG12" s="88">
        <v>8788.7000000000007</v>
      </c>
      <c r="DH12" s="89">
        <v>1782.8</v>
      </c>
      <c r="DI12" s="89"/>
      <c r="DJ12" s="89"/>
      <c r="DK12" s="89">
        <v>7072</v>
      </c>
      <c r="DL12" s="89">
        <v>66.099999999999994</v>
      </c>
      <c r="DM12" s="88"/>
      <c r="DN12" s="89"/>
      <c r="DO12" s="89"/>
      <c r="DP12" s="89"/>
      <c r="DQ12" s="89"/>
      <c r="DR12" s="89"/>
      <c r="DS12" s="88"/>
      <c r="DT12" s="89"/>
      <c r="DU12" s="89"/>
      <c r="DV12" s="89"/>
      <c r="DW12" s="89"/>
      <c r="DX12" s="89"/>
      <c r="DY12" s="88"/>
      <c r="DZ12" s="89"/>
      <c r="EA12" s="89"/>
      <c r="EB12" s="89"/>
      <c r="EC12" s="89"/>
      <c r="ED12" s="89"/>
      <c r="EE12" s="88"/>
      <c r="EF12" s="89"/>
      <c r="EG12" s="89"/>
      <c r="EH12" s="89"/>
      <c r="EI12" s="89"/>
      <c r="EJ12" s="89"/>
      <c r="EK12" s="88"/>
      <c r="EL12" s="89"/>
      <c r="EM12" s="89"/>
      <c r="EN12" s="89"/>
      <c r="EO12" s="89"/>
      <c r="EP12" s="89"/>
      <c r="EQ12" s="88"/>
      <c r="ER12" s="89"/>
      <c r="ES12" s="89"/>
      <c r="ET12" s="89"/>
      <c r="EU12" s="89"/>
      <c r="EV12" s="89"/>
      <c r="EW12" s="88"/>
      <c r="EX12" s="89"/>
      <c r="EY12" s="89"/>
      <c r="EZ12" s="89"/>
      <c r="FA12" s="89"/>
      <c r="FB12" s="89"/>
      <c r="FC12" s="88"/>
      <c r="FD12" s="89"/>
      <c r="FE12" s="89"/>
      <c r="FF12" s="89"/>
      <c r="FG12" s="89"/>
      <c r="FH12" s="89"/>
      <c r="FI12" s="88"/>
      <c r="FJ12" s="89"/>
      <c r="FK12" s="89"/>
      <c r="FL12" s="89"/>
      <c r="FM12" s="89"/>
      <c r="FN12" s="89"/>
      <c r="FO12" s="88"/>
      <c r="FP12" s="89"/>
      <c r="FQ12" s="89"/>
      <c r="FR12" s="89"/>
      <c r="FS12" s="89"/>
      <c r="FT12" s="89"/>
      <c r="FU12" s="88"/>
      <c r="FV12" s="89"/>
      <c r="FW12" s="89"/>
      <c r="FX12" s="89"/>
      <c r="FY12" s="89"/>
      <c r="FZ12" s="89"/>
      <c r="GA12" s="88"/>
      <c r="GB12" s="89"/>
      <c r="GC12" s="89"/>
      <c r="GD12" s="89"/>
      <c r="GE12" s="89"/>
      <c r="GF12" s="89"/>
      <c r="GG12" s="88"/>
      <c r="GH12" s="89"/>
      <c r="GI12" s="89"/>
      <c r="GJ12" s="89"/>
      <c r="GK12" s="89"/>
      <c r="GL12" s="89"/>
      <c r="GM12" s="88"/>
      <c r="GN12" s="89"/>
      <c r="GO12" s="89"/>
      <c r="GP12" s="89"/>
      <c r="GQ12" s="89"/>
      <c r="GR12" s="89"/>
      <c r="GS12" s="88"/>
      <c r="GT12" s="87"/>
      <c r="GU12" s="87"/>
      <c r="GV12" s="87"/>
      <c r="GW12" s="87"/>
      <c r="GX12" s="87"/>
      <c r="GY12" s="87"/>
      <c r="GZ12" s="88"/>
      <c r="HA12" s="87"/>
      <c r="HB12" s="87"/>
      <c r="HC12" s="87"/>
      <c r="HD12" s="87"/>
      <c r="HE12" s="87"/>
      <c r="HF12" s="87"/>
      <c r="HG12" s="87"/>
      <c r="HH12" s="87"/>
      <c r="HI12" s="87"/>
      <c r="HJ12" s="87"/>
      <c r="HK12" s="87"/>
      <c r="HL12" s="88"/>
      <c r="HM12" s="87"/>
      <c r="HN12" s="87"/>
      <c r="HO12" s="87"/>
      <c r="HP12" s="87"/>
      <c r="HQ12" s="87"/>
      <c r="HR12" s="87"/>
      <c r="HS12" s="87"/>
    </row>
    <row r="13" spans="1:231" ht="13.5" customHeight="1">
      <c r="A13" s="69"/>
      <c r="B13" s="87" t="s">
        <v>498</v>
      </c>
      <c r="C13" s="88"/>
      <c r="D13" s="87"/>
      <c r="E13" s="87"/>
      <c r="F13" s="87"/>
      <c r="G13" s="87"/>
      <c r="H13" s="87"/>
      <c r="I13" s="88">
        <v>11766.938</v>
      </c>
      <c r="J13" s="89">
        <v>11197.403</v>
      </c>
      <c r="K13" s="89"/>
      <c r="L13" s="89"/>
      <c r="M13" s="89">
        <v>9334.7219999999998</v>
      </c>
      <c r="N13" s="89">
        <v>-8765.1869999999999</v>
      </c>
      <c r="O13" s="90"/>
      <c r="P13" s="91"/>
      <c r="Q13" s="91"/>
      <c r="R13" s="91"/>
      <c r="S13" s="91"/>
      <c r="T13" s="91"/>
      <c r="U13" s="90"/>
      <c r="V13" s="91"/>
      <c r="W13" s="91"/>
      <c r="X13" s="91"/>
      <c r="Y13" s="91"/>
      <c r="Z13" s="91"/>
      <c r="AA13" s="88">
        <v>256.40199999999999</v>
      </c>
      <c r="AB13" s="89">
        <f t="shared" si="0"/>
        <v>-6.0719999999999992</v>
      </c>
      <c r="AC13" s="89">
        <v>-23.983000000000001</v>
      </c>
      <c r="AD13" s="89">
        <v>17.911000000000001</v>
      </c>
      <c r="AE13" s="89">
        <v>262.47399999999999</v>
      </c>
      <c r="AF13" s="89"/>
      <c r="AG13" s="88"/>
      <c r="AH13" s="89"/>
      <c r="AI13" s="89"/>
      <c r="AJ13" s="89"/>
      <c r="AK13" s="89"/>
      <c r="AL13" s="89"/>
      <c r="AM13" s="88"/>
      <c r="AN13" s="89"/>
      <c r="AO13" s="89"/>
      <c r="AP13" s="89"/>
      <c r="AQ13" s="89"/>
      <c r="AR13" s="89"/>
      <c r="AS13" s="88"/>
      <c r="AT13" s="89"/>
      <c r="AU13" s="89"/>
      <c r="AV13" s="89"/>
      <c r="AW13" s="89"/>
      <c r="AX13" s="89"/>
      <c r="AY13" s="88"/>
      <c r="AZ13" s="89"/>
      <c r="BA13" s="89"/>
      <c r="BB13" s="89"/>
      <c r="BC13" s="89"/>
      <c r="BD13" s="89"/>
      <c r="BE13" s="88"/>
      <c r="BF13" s="89"/>
      <c r="BG13" s="89"/>
      <c r="BH13" s="89"/>
      <c r="BI13" s="89"/>
      <c r="BJ13" s="89"/>
      <c r="BK13" s="88"/>
      <c r="BL13" s="89"/>
      <c r="BM13" s="89"/>
      <c r="BN13" s="89"/>
      <c r="BO13" s="89"/>
      <c r="BP13" s="89"/>
      <c r="BQ13" s="88"/>
      <c r="BR13" s="89"/>
      <c r="BS13" s="89"/>
      <c r="BT13" s="89"/>
      <c r="BU13" s="89"/>
      <c r="BV13" s="89"/>
      <c r="BW13" s="88"/>
      <c r="BX13" s="89"/>
      <c r="BY13" s="89"/>
      <c r="BZ13" s="89"/>
      <c r="CA13" s="89"/>
      <c r="CB13" s="89"/>
      <c r="CC13" s="88"/>
      <c r="CD13" s="89"/>
      <c r="CE13" s="89"/>
      <c r="CF13" s="89"/>
      <c r="CG13" s="89"/>
      <c r="CH13" s="89"/>
      <c r="CI13" s="88"/>
      <c r="CJ13" s="89"/>
      <c r="CK13" s="89"/>
      <c r="CL13" s="89"/>
      <c r="CM13" s="89"/>
      <c r="CN13" s="89"/>
      <c r="CO13" s="88"/>
      <c r="CP13" s="89"/>
      <c r="CQ13" s="89"/>
      <c r="CR13" s="89"/>
      <c r="CS13" s="89"/>
      <c r="CT13" s="89"/>
      <c r="CU13" s="88">
        <f t="shared" si="1"/>
        <v>4799.5092000000004</v>
      </c>
      <c r="CV13" s="89">
        <v>2817.3649</v>
      </c>
      <c r="CW13" s="89">
        <v>2727.1322</v>
      </c>
      <c r="CX13" s="89">
        <v>90.232700000000008</v>
      </c>
      <c r="CY13" s="89">
        <v>1982.1443000000002</v>
      </c>
      <c r="CZ13" s="89"/>
      <c r="DA13" s="88"/>
      <c r="DB13" s="89"/>
      <c r="DC13" s="89"/>
      <c r="DD13" s="89"/>
      <c r="DE13" s="89"/>
      <c r="DF13" s="89"/>
      <c r="DG13" s="88">
        <v>8978.2999999999993</v>
      </c>
      <c r="DH13" s="89">
        <v>1890.8</v>
      </c>
      <c r="DI13" s="89"/>
      <c r="DJ13" s="89"/>
      <c r="DK13" s="89">
        <v>7131.2</v>
      </c>
      <c r="DL13" s="89">
        <v>43.7</v>
      </c>
      <c r="DM13" s="88"/>
      <c r="DN13" s="89"/>
      <c r="DO13" s="89"/>
      <c r="DP13" s="89"/>
      <c r="DQ13" s="89"/>
      <c r="DR13" s="89"/>
      <c r="DS13" s="88"/>
      <c r="DT13" s="89"/>
      <c r="DU13" s="89"/>
      <c r="DV13" s="89"/>
      <c r="DW13" s="89"/>
      <c r="DX13" s="89"/>
      <c r="DY13" s="88"/>
      <c r="DZ13" s="89"/>
      <c r="EA13" s="89"/>
      <c r="EB13" s="89"/>
      <c r="EC13" s="89"/>
      <c r="ED13" s="89"/>
      <c r="EE13" s="88"/>
      <c r="EF13" s="89"/>
      <c r="EG13" s="89"/>
      <c r="EH13" s="89"/>
      <c r="EI13" s="89"/>
      <c r="EJ13" s="89"/>
      <c r="EK13" s="88"/>
      <c r="EL13" s="89"/>
      <c r="EM13" s="89"/>
      <c r="EN13" s="89"/>
      <c r="EO13" s="89"/>
      <c r="EP13" s="89"/>
      <c r="EQ13" s="88"/>
      <c r="ER13" s="89"/>
      <c r="ES13" s="89"/>
      <c r="ET13" s="89"/>
      <c r="EU13" s="89"/>
      <c r="EV13" s="89"/>
      <c r="EW13" s="88"/>
      <c r="EX13" s="89"/>
      <c r="EY13" s="89"/>
      <c r="EZ13" s="89"/>
      <c r="FA13" s="89"/>
      <c r="FB13" s="89"/>
      <c r="FC13" s="88"/>
      <c r="FD13" s="89"/>
      <c r="FE13" s="89"/>
      <c r="FF13" s="89"/>
      <c r="FG13" s="89"/>
      <c r="FH13" s="89"/>
      <c r="FI13" s="88"/>
      <c r="FJ13" s="89"/>
      <c r="FK13" s="89"/>
      <c r="FL13" s="89"/>
      <c r="FM13" s="89"/>
      <c r="FN13" s="89"/>
      <c r="FO13" s="88"/>
      <c r="FP13" s="89"/>
      <c r="FQ13" s="89"/>
      <c r="FR13" s="89"/>
      <c r="FS13" s="89"/>
      <c r="FT13" s="89"/>
      <c r="FU13" s="88"/>
      <c r="FV13" s="89"/>
      <c r="FW13" s="89"/>
      <c r="FX13" s="89"/>
      <c r="FY13" s="89"/>
      <c r="FZ13" s="89"/>
      <c r="GA13" s="88"/>
      <c r="GB13" s="89"/>
      <c r="GC13" s="89"/>
      <c r="GD13" s="89"/>
      <c r="GE13" s="89"/>
      <c r="GF13" s="89"/>
      <c r="GG13" s="88"/>
      <c r="GH13" s="89"/>
      <c r="GI13" s="89"/>
      <c r="GJ13" s="89"/>
      <c r="GK13" s="89"/>
      <c r="GL13" s="89"/>
      <c r="GM13" s="88"/>
      <c r="GN13" s="89"/>
      <c r="GO13" s="89"/>
      <c r="GP13" s="100"/>
      <c r="GQ13" s="89"/>
      <c r="GR13" s="89"/>
      <c r="GS13" s="88"/>
      <c r="GT13" s="87"/>
      <c r="GU13" s="87"/>
      <c r="GV13" s="87"/>
      <c r="GW13" s="87"/>
      <c r="GX13" s="87"/>
      <c r="GY13" s="87"/>
      <c r="GZ13" s="88"/>
      <c r="HA13" s="87"/>
      <c r="HB13" s="87"/>
      <c r="HC13" s="87"/>
      <c r="HD13" s="87"/>
      <c r="HE13" s="87"/>
      <c r="HF13" s="87"/>
      <c r="HG13" s="87"/>
      <c r="HH13" s="87"/>
      <c r="HI13" s="87"/>
      <c r="HJ13" s="87"/>
      <c r="HK13" s="87"/>
      <c r="HL13" s="88"/>
      <c r="HM13" s="87"/>
      <c r="HN13" s="87"/>
      <c r="HO13" s="87"/>
      <c r="HP13" s="87"/>
      <c r="HQ13" s="87"/>
      <c r="HR13" s="87"/>
      <c r="HS13" s="87"/>
    </row>
    <row r="14" spans="1:231" ht="13.5" customHeight="1">
      <c r="A14" s="69"/>
      <c r="B14" s="89" t="s">
        <v>499</v>
      </c>
      <c r="C14" s="88"/>
      <c r="D14" s="89"/>
      <c r="E14" s="89"/>
      <c r="F14" s="89"/>
      <c r="G14" s="89"/>
      <c r="H14" s="89"/>
      <c r="I14" s="88">
        <v>11592.627999999997</v>
      </c>
      <c r="J14" s="89">
        <v>11274.203</v>
      </c>
      <c r="K14" s="89"/>
      <c r="L14" s="89"/>
      <c r="M14" s="89">
        <v>9720.6959999999999</v>
      </c>
      <c r="N14" s="89">
        <v>-9402.2729999999992</v>
      </c>
      <c r="O14" s="90"/>
      <c r="P14" s="91"/>
      <c r="Q14" s="91"/>
      <c r="R14" s="91"/>
      <c r="S14" s="91"/>
      <c r="T14" s="91"/>
      <c r="U14" s="90"/>
      <c r="V14" s="91"/>
      <c r="W14" s="91"/>
      <c r="X14" s="91"/>
      <c r="Y14" s="91"/>
      <c r="Z14" s="91"/>
      <c r="AA14" s="88">
        <v>267.23500000000001</v>
      </c>
      <c r="AB14" s="89">
        <f t="shared" si="0"/>
        <v>-4.3180000000000014</v>
      </c>
      <c r="AC14" s="89">
        <v>-21.812000000000001</v>
      </c>
      <c r="AD14" s="89">
        <v>17.494</v>
      </c>
      <c r="AE14" s="89">
        <v>271.553</v>
      </c>
      <c r="AF14" s="101"/>
      <c r="AG14" s="88"/>
      <c r="AH14" s="89"/>
      <c r="AI14" s="89"/>
      <c r="AJ14" s="89"/>
      <c r="AK14" s="89"/>
      <c r="AL14" s="89"/>
      <c r="AM14" s="88"/>
      <c r="AN14" s="89"/>
      <c r="AO14" s="89"/>
      <c r="AP14" s="89"/>
      <c r="AQ14" s="89"/>
      <c r="AR14" s="89"/>
      <c r="AS14" s="88"/>
      <c r="AT14" s="89"/>
      <c r="AU14" s="89"/>
      <c r="AV14" s="89"/>
      <c r="AW14" s="89"/>
      <c r="AX14" s="89"/>
      <c r="AY14" s="88"/>
      <c r="AZ14" s="89"/>
      <c r="BA14" s="89"/>
      <c r="BB14" s="89"/>
      <c r="BC14" s="89"/>
      <c r="BD14" s="89"/>
      <c r="BE14" s="88"/>
      <c r="BF14" s="89"/>
      <c r="BG14" s="89"/>
      <c r="BH14" s="89"/>
      <c r="BI14" s="89"/>
      <c r="BJ14" s="89"/>
      <c r="BK14" s="88"/>
      <c r="BL14" s="89"/>
      <c r="BM14" s="89"/>
      <c r="BN14" s="89"/>
      <c r="BO14" s="89"/>
      <c r="BP14" s="89"/>
      <c r="BQ14" s="88"/>
      <c r="BR14" s="89"/>
      <c r="BS14" s="89"/>
      <c r="BT14" s="89"/>
      <c r="BU14" s="89"/>
      <c r="BV14" s="89"/>
      <c r="BW14" s="88"/>
      <c r="BX14" s="89"/>
      <c r="BY14" s="89"/>
      <c r="BZ14" s="89"/>
      <c r="CA14" s="89"/>
      <c r="CB14" s="89"/>
      <c r="CC14" s="88"/>
      <c r="CD14" s="89"/>
      <c r="CE14" s="89"/>
      <c r="CF14" s="89"/>
      <c r="CG14" s="89"/>
      <c r="CH14" s="89"/>
      <c r="CI14" s="88"/>
      <c r="CJ14" s="89"/>
      <c r="CK14" s="89"/>
      <c r="CL14" s="89"/>
      <c r="CM14" s="89"/>
      <c r="CN14" s="89"/>
      <c r="CO14" s="88"/>
      <c r="CP14" s="89"/>
      <c r="CQ14" s="89"/>
      <c r="CR14" s="89"/>
      <c r="CS14" s="89"/>
      <c r="CT14" s="89"/>
      <c r="CU14" s="88">
        <f t="shared" si="1"/>
        <v>4795.8993</v>
      </c>
      <c r="CV14" s="89">
        <v>2829.1401000000001</v>
      </c>
      <c r="CW14" s="89">
        <v>2746.5612000000001</v>
      </c>
      <c r="CX14" s="89">
        <v>82.578900000000004</v>
      </c>
      <c r="CY14" s="89">
        <v>1966.7592</v>
      </c>
      <c r="CZ14" s="89"/>
      <c r="DA14" s="88"/>
      <c r="DB14" s="89"/>
      <c r="DC14" s="89"/>
      <c r="DD14" s="89"/>
      <c r="DE14" s="89"/>
      <c r="DF14" s="89"/>
      <c r="DG14" s="88">
        <v>8752.6</v>
      </c>
      <c r="DH14" s="89">
        <v>1740</v>
      </c>
      <c r="DI14" s="89"/>
      <c r="DJ14" s="89"/>
      <c r="DK14" s="89">
        <v>7214.4</v>
      </c>
      <c r="DL14" s="89">
        <v>201.8</v>
      </c>
      <c r="DM14" s="88"/>
      <c r="DN14" s="89"/>
      <c r="DO14" s="89"/>
      <c r="DP14" s="89"/>
      <c r="DQ14" s="89"/>
      <c r="DR14" s="89"/>
      <c r="DS14" s="88"/>
      <c r="DT14" s="89"/>
      <c r="DU14" s="89"/>
      <c r="DV14" s="89"/>
      <c r="DW14" s="89"/>
      <c r="DX14" s="89"/>
      <c r="DY14" s="88"/>
      <c r="DZ14" s="89"/>
      <c r="EA14" s="89"/>
      <c r="EB14" s="89"/>
      <c r="EC14" s="89"/>
      <c r="ED14" s="89"/>
      <c r="EE14" s="88"/>
      <c r="EF14" s="89"/>
      <c r="EG14" s="89"/>
      <c r="EH14" s="89"/>
      <c r="EI14" s="89"/>
      <c r="EJ14" s="89"/>
      <c r="EK14" s="88"/>
      <c r="EL14" s="89"/>
      <c r="EM14" s="89"/>
      <c r="EN14" s="89"/>
      <c r="EO14" s="89"/>
      <c r="EP14" s="101"/>
      <c r="EQ14" s="88"/>
      <c r="ER14" s="89"/>
      <c r="ES14" s="89"/>
      <c r="ET14" s="89"/>
      <c r="EU14" s="89"/>
      <c r="EV14" s="89"/>
      <c r="EW14" s="88"/>
      <c r="EX14" s="89"/>
      <c r="EY14" s="89"/>
      <c r="EZ14" s="89"/>
      <c r="FA14" s="89"/>
      <c r="FB14" s="89"/>
      <c r="FC14" s="88"/>
      <c r="FD14" s="89"/>
      <c r="FE14" s="89"/>
      <c r="FF14" s="89"/>
      <c r="FG14" s="89"/>
      <c r="FH14" s="89"/>
      <c r="FI14" s="88"/>
      <c r="FJ14" s="89"/>
      <c r="FK14" s="89"/>
      <c r="FL14" s="89"/>
      <c r="FM14" s="89"/>
      <c r="FN14" s="89"/>
      <c r="FO14" s="88"/>
      <c r="FP14" s="89"/>
      <c r="FQ14" s="89"/>
      <c r="FR14" s="89"/>
      <c r="FS14" s="89"/>
      <c r="FT14" s="89"/>
      <c r="FU14" s="88"/>
      <c r="FV14" s="89"/>
      <c r="FW14" s="89"/>
      <c r="FX14" s="89"/>
      <c r="FY14" s="89"/>
      <c r="FZ14" s="89"/>
      <c r="GA14" s="88"/>
      <c r="GB14" s="89"/>
      <c r="GC14" s="89"/>
      <c r="GD14" s="89"/>
      <c r="GE14" s="89"/>
      <c r="GF14" s="89"/>
      <c r="GG14" s="88"/>
      <c r="GH14" s="89"/>
      <c r="GI14" s="89"/>
      <c r="GJ14" s="89"/>
      <c r="GK14" s="89"/>
      <c r="GL14" s="89"/>
      <c r="GM14" s="88"/>
      <c r="GN14" s="89"/>
      <c r="GO14" s="89"/>
      <c r="GP14" s="89"/>
      <c r="GQ14" s="89"/>
      <c r="GR14" s="101"/>
      <c r="GS14" s="88"/>
      <c r="GT14" s="87"/>
      <c r="GU14" s="87"/>
      <c r="GV14" s="87"/>
      <c r="GW14" s="87"/>
      <c r="GX14" s="87"/>
      <c r="GY14" s="87"/>
      <c r="GZ14" s="88"/>
      <c r="HA14" s="87"/>
      <c r="HB14" s="87"/>
      <c r="HC14" s="87"/>
      <c r="HD14" s="87"/>
      <c r="HE14" s="87"/>
      <c r="HF14" s="87"/>
      <c r="HG14" s="87"/>
      <c r="HH14" s="87"/>
      <c r="HI14" s="87"/>
      <c r="HJ14" s="87"/>
      <c r="HK14" s="87"/>
      <c r="HL14" s="88"/>
      <c r="HM14" s="87"/>
      <c r="HN14" s="87"/>
      <c r="HO14" s="87"/>
      <c r="HP14" s="87"/>
      <c r="HQ14" s="87"/>
      <c r="HR14" s="87"/>
      <c r="HS14" s="87"/>
    </row>
    <row r="15" spans="1:231" ht="13.5" customHeight="1" thickBot="1">
      <c r="A15" s="102"/>
      <c r="B15" s="103" t="s">
        <v>500</v>
      </c>
      <c r="C15" s="104"/>
      <c r="D15" s="105"/>
      <c r="E15" s="105"/>
      <c r="F15" s="105"/>
      <c r="G15" s="105"/>
      <c r="H15" s="105"/>
      <c r="I15" s="104">
        <v>12112.997000000001</v>
      </c>
      <c r="J15" s="105">
        <v>12273.959000000001</v>
      </c>
      <c r="K15" s="105"/>
      <c r="L15" s="105"/>
      <c r="M15" s="105">
        <v>10752.995999999999</v>
      </c>
      <c r="N15" s="105">
        <v>-10911.958000000001</v>
      </c>
      <c r="O15" s="106"/>
      <c r="P15" s="107"/>
      <c r="Q15" s="107"/>
      <c r="R15" s="107"/>
      <c r="S15" s="107"/>
      <c r="T15" s="107"/>
      <c r="U15" s="106"/>
      <c r="V15" s="107"/>
      <c r="W15" s="107"/>
      <c r="X15" s="107"/>
      <c r="Y15" s="107"/>
      <c r="Z15" s="107"/>
      <c r="AA15" s="104">
        <v>270.82499999999999</v>
      </c>
      <c r="AB15" s="105">
        <f t="shared" si="0"/>
        <v>-3.4599999999999991</v>
      </c>
      <c r="AC15" s="105">
        <v>-18.710999999999999</v>
      </c>
      <c r="AD15" s="105">
        <v>15.250999999999999</v>
      </c>
      <c r="AE15" s="105">
        <v>274.28500000000003</v>
      </c>
      <c r="AF15" s="103"/>
      <c r="AG15" s="104"/>
      <c r="AH15" s="105"/>
      <c r="AI15" s="105"/>
      <c r="AJ15" s="105"/>
      <c r="AK15" s="105"/>
      <c r="AL15" s="105"/>
      <c r="AM15" s="104"/>
      <c r="AN15" s="105"/>
      <c r="AO15" s="105"/>
      <c r="AP15" s="105"/>
      <c r="AQ15" s="105"/>
      <c r="AR15" s="105"/>
      <c r="AS15" s="104"/>
      <c r="AT15" s="105"/>
      <c r="AU15" s="105"/>
      <c r="AV15" s="105"/>
      <c r="AW15" s="105"/>
      <c r="AX15" s="105"/>
      <c r="AY15" s="104"/>
      <c r="AZ15" s="105"/>
      <c r="BA15" s="105"/>
      <c r="BB15" s="105"/>
      <c r="BC15" s="105"/>
      <c r="BD15" s="103"/>
      <c r="BE15" s="104"/>
      <c r="BF15" s="105"/>
      <c r="BG15" s="105"/>
      <c r="BH15" s="105"/>
      <c r="BI15" s="108"/>
      <c r="BJ15" s="108"/>
      <c r="BK15" s="109"/>
      <c r="BL15" s="108"/>
      <c r="BM15" s="108"/>
      <c r="BN15" s="108"/>
      <c r="BO15" s="108"/>
      <c r="BP15" s="108"/>
      <c r="BQ15" s="109"/>
      <c r="BR15" s="108"/>
      <c r="BS15" s="108"/>
      <c r="BT15" s="108"/>
      <c r="BU15" s="108"/>
      <c r="BV15" s="108"/>
      <c r="BW15" s="104"/>
      <c r="BX15" s="105"/>
      <c r="BY15" s="105"/>
      <c r="BZ15" s="105"/>
      <c r="CA15" s="105"/>
      <c r="CB15" s="105"/>
      <c r="CC15" s="104"/>
      <c r="CD15" s="105"/>
      <c r="CE15" s="105"/>
      <c r="CF15" s="105"/>
      <c r="CG15" s="105"/>
      <c r="CH15" s="105"/>
      <c r="CI15" s="104"/>
      <c r="CJ15" s="105"/>
      <c r="CK15" s="105"/>
      <c r="CL15" s="105"/>
      <c r="CM15" s="105"/>
      <c r="CN15" s="105"/>
      <c r="CO15" s="104"/>
      <c r="CP15" s="105"/>
      <c r="CQ15" s="105"/>
      <c r="CR15" s="105"/>
      <c r="CS15" s="105"/>
      <c r="CT15" s="105"/>
      <c r="CU15" s="104">
        <f t="shared" si="1"/>
        <v>4982.3824999999997</v>
      </c>
      <c r="CV15" s="105">
        <v>3004.6460999999999</v>
      </c>
      <c r="CW15" s="105">
        <v>2870.89</v>
      </c>
      <c r="CX15" s="105">
        <v>133.7561</v>
      </c>
      <c r="CY15" s="105">
        <v>1977.7364</v>
      </c>
      <c r="CZ15" s="105"/>
      <c r="DA15" s="104"/>
      <c r="DB15" s="105"/>
      <c r="DC15" s="105"/>
      <c r="DD15" s="105"/>
      <c r="DE15" s="105"/>
      <c r="DF15" s="105"/>
      <c r="DG15" s="104">
        <v>8550.2000000000007</v>
      </c>
      <c r="DH15" s="105">
        <v>1447.9</v>
      </c>
      <c r="DI15" s="105"/>
      <c r="DJ15" s="105"/>
      <c r="DK15" s="105">
        <v>7341.6</v>
      </c>
      <c r="DL15" s="105">
        <v>239.3</v>
      </c>
      <c r="DM15" s="104"/>
      <c r="DN15" s="105"/>
      <c r="DO15" s="105"/>
      <c r="DP15" s="105"/>
      <c r="DQ15" s="105"/>
      <c r="DR15" s="105"/>
      <c r="DS15" s="104"/>
      <c r="DT15" s="105"/>
      <c r="DU15" s="105"/>
      <c r="DV15" s="105"/>
      <c r="DW15" s="105"/>
      <c r="DX15" s="105"/>
      <c r="DY15" s="104"/>
      <c r="DZ15" s="105"/>
      <c r="EA15" s="105"/>
      <c r="EB15" s="105"/>
      <c r="EC15" s="105"/>
      <c r="ED15" s="105"/>
      <c r="EE15" s="104"/>
      <c r="EF15" s="105"/>
      <c r="EG15" s="105"/>
      <c r="EH15" s="105"/>
      <c r="EI15" s="105"/>
      <c r="EJ15" s="105"/>
      <c r="EK15" s="104"/>
      <c r="EL15" s="105"/>
      <c r="EM15" s="105"/>
      <c r="EN15" s="105"/>
      <c r="EO15" s="105"/>
      <c r="EP15" s="103"/>
      <c r="EQ15" s="109"/>
      <c r="ER15" s="108"/>
      <c r="ES15" s="108"/>
      <c r="ET15" s="108"/>
      <c r="EU15" s="108"/>
      <c r="EV15" s="108"/>
      <c r="EW15" s="109"/>
      <c r="EX15" s="108"/>
      <c r="EY15" s="108"/>
      <c r="EZ15" s="108"/>
      <c r="FA15" s="108"/>
      <c r="FB15" s="108"/>
      <c r="FC15" s="109"/>
      <c r="FD15" s="108"/>
      <c r="FE15" s="108"/>
      <c r="FF15" s="108"/>
      <c r="FG15" s="108"/>
      <c r="FH15" s="108"/>
      <c r="FI15" s="109"/>
      <c r="FJ15" s="108"/>
      <c r="FK15" s="108"/>
      <c r="FL15" s="108"/>
      <c r="FM15" s="108"/>
      <c r="FN15" s="108"/>
      <c r="FO15" s="109"/>
      <c r="FP15" s="108"/>
      <c r="FQ15" s="108"/>
      <c r="FR15" s="108"/>
      <c r="FS15" s="108"/>
      <c r="FT15" s="108"/>
      <c r="FU15" s="109"/>
      <c r="FV15" s="108"/>
      <c r="FW15" s="108"/>
      <c r="FX15" s="108"/>
      <c r="FY15" s="108"/>
      <c r="FZ15" s="108"/>
      <c r="GA15" s="109"/>
      <c r="GB15" s="108"/>
      <c r="GC15" s="108"/>
      <c r="GD15" s="108"/>
      <c r="GE15" s="108"/>
      <c r="GF15" s="108"/>
      <c r="GG15" s="104"/>
      <c r="GH15" s="105"/>
      <c r="GI15" s="105"/>
      <c r="GJ15" s="105"/>
      <c r="GK15" s="105"/>
      <c r="GL15" s="105"/>
      <c r="GM15" s="104"/>
      <c r="GN15" s="105"/>
      <c r="GO15" s="105"/>
      <c r="GP15" s="105"/>
      <c r="GQ15" s="105"/>
      <c r="GR15" s="103"/>
      <c r="GS15" s="88"/>
      <c r="GT15" s="87"/>
      <c r="GU15" s="87"/>
      <c r="GV15" s="87"/>
      <c r="GW15" s="87"/>
      <c r="GX15" s="87"/>
      <c r="GY15" s="87"/>
      <c r="GZ15" s="88"/>
      <c r="HA15" s="87"/>
      <c r="HB15" s="87"/>
      <c r="HC15" s="87"/>
      <c r="HD15" s="87"/>
      <c r="HE15" s="87"/>
      <c r="HF15" s="87"/>
      <c r="HG15" s="87"/>
      <c r="HH15" s="87"/>
      <c r="HI15" s="87"/>
      <c r="HJ15" s="87"/>
      <c r="HK15" s="87"/>
      <c r="HL15" s="88"/>
      <c r="HM15" s="87"/>
      <c r="HN15" s="87"/>
      <c r="HO15" s="87"/>
      <c r="HP15" s="87"/>
      <c r="HQ15" s="87"/>
      <c r="HR15" s="87"/>
      <c r="HS15" s="87"/>
    </row>
    <row r="16" spans="1:231" ht="13.5" customHeight="1">
      <c r="A16" s="86">
        <v>1991</v>
      </c>
      <c r="B16" s="87" t="s">
        <v>489</v>
      </c>
      <c r="C16" s="88"/>
      <c r="D16" s="87"/>
      <c r="E16" s="87"/>
      <c r="F16" s="87"/>
      <c r="G16" s="87"/>
      <c r="H16" s="87"/>
      <c r="I16" s="88">
        <v>18654.964</v>
      </c>
      <c r="J16" s="89">
        <v>16531.867999999999</v>
      </c>
      <c r="K16" s="89"/>
      <c r="L16" s="89"/>
      <c r="M16" s="89">
        <v>14189.327000000001</v>
      </c>
      <c r="N16" s="89">
        <v>-12066.231</v>
      </c>
      <c r="O16" s="90"/>
      <c r="P16" s="91"/>
      <c r="Q16" s="91"/>
      <c r="R16" s="91"/>
      <c r="S16" s="91"/>
      <c r="T16" s="91"/>
      <c r="U16" s="90"/>
      <c r="V16" s="91"/>
      <c r="W16" s="91"/>
      <c r="X16" s="91"/>
      <c r="Y16" s="91"/>
      <c r="Z16" s="91"/>
      <c r="AA16" s="88">
        <v>269.512</v>
      </c>
      <c r="AB16" s="89">
        <f t="shared" si="0"/>
        <v>-8.6940000000000008</v>
      </c>
      <c r="AC16" s="89">
        <v>-24.396000000000001</v>
      </c>
      <c r="AD16" s="89">
        <v>15.702</v>
      </c>
      <c r="AE16" s="89">
        <v>278.20600000000002</v>
      </c>
      <c r="AF16" s="89"/>
      <c r="AG16" s="88"/>
      <c r="AH16" s="89"/>
      <c r="AI16" s="89"/>
      <c r="AJ16" s="89"/>
      <c r="AK16" s="89"/>
      <c r="AL16" s="89"/>
      <c r="AM16" s="88"/>
      <c r="AN16" s="89"/>
      <c r="AO16" s="89"/>
      <c r="AP16" s="89"/>
      <c r="AQ16" s="89"/>
      <c r="AR16" s="89"/>
      <c r="AS16" s="88"/>
      <c r="AT16" s="89"/>
      <c r="AU16" s="89"/>
      <c r="AV16" s="89"/>
      <c r="AW16" s="89"/>
      <c r="AX16" s="89"/>
      <c r="AY16" s="88"/>
      <c r="AZ16" s="89"/>
      <c r="BA16" s="89"/>
      <c r="BB16" s="89"/>
      <c r="BC16" s="89"/>
      <c r="BD16" s="89"/>
      <c r="BE16" s="88"/>
      <c r="BF16" s="89"/>
      <c r="BG16" s="89"/>
      <c r="BH16" s="89"/>
      <c r="BI16" s="89"/>
      <c r="BJ16" s="89"/>
      <c r="BK16" s="88"/>
      <c r="BL16" s="89"/>
      <c r="BM16" s="89"/>
      <c r="BN16" s="89"/>
      <c r="BO16" s="89"/>
      <c r="BP16" s="89"/>
      <c r="BQ16" s="88"/>
      <c r="BR16" s="89"/>
      <c r="BS16" s="89"/>
      <c r="BT16" s="89"/>
      <c r="BU16" s="89"/>
      <c r="BV16" s="89"/>
      <c r="BW16" s="88"/>
      <c r="BX16" s="89"/>
      <c r="BY16" s="89"/>
      <c r="BZ16" s="89"/>
      <c r="CA16" s="89"/>
      <c r="CB16" s="89"/>
      <c r="CC16" s="88"/>
      <c r="CD16" s="89"/>
      <c r="CE16" s="89"/>
      <c r="CF16" s="89"/>
      <c r="CG16" s="89"/>
      <c r="CH16" s="89"/>
      <c r="CI16" s="88"/>
      <c r="CJ16" s="89"/>
      <c r="CK16" s="89"/>
      <c r="CL16" s="89"/>
      <c r="CM16" s="89"/>
      <c r="CN16" s="89"/>
      <c r="CO16" s="88"/>
      <c r="CP16" s="89"/>
      <c r="CQ16" s="89"/>
      <c r="CR16" s="89"/>
      <c r="CS16" s="89"/>
      <c r="CT16" s="89"/>
      <c r="CU16" s="88">
        <f t="shared" si="1"/>
        <v>4994.0653999999995</v>
      </c>
      <c r="CV16" s="89">
        <v>3015.2251999999999</v>
      </c>
      <c r="CW16" s="89">
        <v>2863.3690999999999</v>
      </c>
      <c r="CX16" s="89">
        <v>151.8561</v>
      </c>
      <c r="CY16" s="89">
        <v>1978.8401999999999</v>
      </c>
      <c r="CZ16" s="89"/>
      <c r="DA16" s="88"/>
      <c r="DB16" s="89"/>
      <c r="DC16" s="89"/>
      <c r="DD16" s="89"/>
      <c r="DE16" s="89"/>
      <c r="DF16" s="89"/>
      <c r="DG16" s="88">
        <v>8431.1</v>
      </c>
      <c r="DH16" s="89">
        <v>1273</v>
      </c>
      <c r="DI16" s="89"/>
      <c r="DJ16" s="89"/>
      <c r="DK16" s="89">
        <v>7382.1</v>
      </c>
      <c r="DL16" s="89">
        <v>224</v>
      </c>
      <c r="DM16" s="88"/>
      <c r="DN16" s="89"/>
      <c r="DO16" s="89"/>
      <c r="DP16" s="89"/>
      <c r="DQ16" s="89"/>
      <c r="DR16" s="89"/>
      <c r="DS16" s="88"/>
      <c r="DT16" s="89"/>
      <c r="DU16" s="89"/>
      <c r="DV16" s="89"/>
      <c r="DW16" s="89"/>
      <c r="DX16" s="89"/>
      <c r="DY16" s="88"/>
      <c r="DZ16" s="89"/>
      <c r="EA16" s="89"/>
      <c r="EB16" s="89"/>
      <c r="EC16" s="89"/>
      <c r="ED16" s="89"/>
      <c r="EE16" s="88"/>
      <c r="EF16" s="89"/>
      <c r="EG16" s="89"/>
      <c r="EH16" s="89"/>
      <c r="EI16" s="89"/>
      <c r="EJ16" s="89"/>
      <c r="EK16" s="88"/>
      <c r="EL16" s="89"/>
      <c r="EM16" s="89"/>
      <c r="EN16" s="89"/>
      <c r="EO16" s="89"/>
      <c r="EP16" s="89"/>
      <c r="EQ16" s="88"/>
      <c r="ER16" s="89"/>
      <c r="ES16" s="89"/>
      <c r="ET16" s="89"/>
      <c r="EU16" s="89"/>
      <c r="EV16" s="89"/>
      <c r="EW16" s="88"/>
      <c r="EX16" s="89"/>
      <c r="EY16" s="89"/>
      <c r="EZ16" s="89"/>
      <c r="FA16" s="89"/>
      <c r="FB16" s="89"/>
      <c r="FC16" s="88"/>
      <c r="FD16" s="89"/>
      <c r="FE16" s="89"/>
      <c r="FF16" s="89"/>
      <c r="FG16" s="89"/>
      <c r="FH16" s="89"/>
      <c r="FI16" s="88"/>
      <c r="FJ16" s="89"/>
      <c r="FK16" s="89"/>
      <c r="FL16" s="89"/>
      <c r="FM16" s="89"/>
      <c r="FN16" s="89"/>
      <c r="FO16" s="88"/>
      <c r="FP16" s="89"/>
      <c r="FQ16" s="89"/>
      <c r="FR16" s="89"/>
      <c r="FS16" s="89"/>
      <c r="FT16" s="89"/>
      <c r="FU16" s="88"/>
      <c r="FV16" s="89"/>
      <c r="FW16" s="89"/>
      <c r="FX16" s="89"/>
      <c r="FY16" s="89"/>
      <c r="FZ16" s="89"/>
      <c r="GA16" s="88"/>
      <c r="GB16" s="89"/>
      <c r="GC16" s="89"/>
      <c r="GD16" s="89"/>
      <c r="GE16" s="89"/>
      <c r="GF16" s="89"/>
      <c r="GG16" s="88"/>
      <c r="GH16" s="89"/>
      <c r="GI16" s="89"/>
      <c r="GJ16" s="89"/>
      <c r="GK16" s="89"/>
      <c r="GL16" s="89"/>
      <c r="GM16" s="88"/>
      <c r="GN16" s="89"/>
      <c r="GO16" s="89"/>
      <c r="GP16" s="89"/>
      <c r="GQ16" s="89"/>
      <c r="GR16" s="89"/>
      <c r="GS16" s="88"/>
      <c r="GT16" s="87"/>
      <c r="GU16" s="87"/>
      <c r="GV16" s="87"/>
      <c r="GW16" s="87"/>
      <c r="GX16" s="87"/>
      <c r="GY16" s="87"/>
      <c r="GZ16" s="88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8"/>
      <c r="HM16" s="87"/>
      <c r="HN16" s="87"/>
      <c r="HO16" s="87"/>
      <c r="HP16" s="87"/>
      <c r="HQ16" s="87"/>
      <c r="HR16" s="87"/>
      <c r="HS16" s="87"/>
    </row>
    <row r="17" spans="1:228">
      <c r="A17" s="69"/>
      <c r="B17" s="87" t="s">
        <v>490</v>
      </c>
      <c r="C17" s="88"/>
      <c r="D17" s="87"/>
      <c r="E17" s="87"/>
      <c r="F17" s="87"/>
      <c r="G17" s="87"/>
      <c r="H17" s="87"/>
      <c r="I17" s="88">
        <v>20958.413999999997</v>
      </c>
      <c r="J17" s="89">
        <v>18574.016</v>
      </c>
      <c r="K17" s="89"/>
      <c r="L17" s="89"/>
      <c r="M17" s="89">
        <v>15327.311</v>
      </c>
      <c r="N17" s="89">
        <v>-12942.913</v>
      </c>
      <c r="O17" s="90"/>
      <c r="P17" s="91"/>
      <c r="Q17" s="91"/>
      <c r="R17" s="91"/>
      <c r="S17" s="91"/>
      <c r="T17" s="91"/>
      <c r="U17" s="90"/>
      <c r="V17" s="91"/>
      <c r="W17" s="91"/>
      <c r="X17" s="91"/>
      <c r="Y17" s="91"/>
      <c r="Z17" s="91"/>
      <c r="AA17" s="88">
        <v>268.98399999999998</v>
      </c>
      <c r="AB17" s="89">
        <f t="shared" si="0"/>
        <v>-8.8620000000000019</v>
      </c>
      <c r="AC17" s="89">
        <v>-23.914000000000001</v>
      </c>
      <c r="AD17" s="89">
        <v>15.052</v>
      </c>
      <c r="AE17" s="89">
        <v>277.846</v>
      </c>
      <c r="AF17" s="89"/>
      <c r="AG17" s="88"/>
      <c r="AH17" s="89"/>
      <c r="AI17" s="89"/>
      <c r="AJ17" s="89"/>
      <c r="AK17" s="89"/>
      <c r="AL17" s="89"/>
      <c r="AM17" s="88"/>
      <c r="AN17" s="89"/>
      <c r="AO17" s="89"/>
      <c r="AP17" s="89"/>
      <c r="AQ17" s="89"/>
      <c r="AR17" s="89"/>
      <c r="AS17" s="88"/>
      <c r="AT17" s="89"/>
      <c r="AU17" s="89"/>
      <c r="AV17" s="89"/>
      <c r="AW17" s="89"/>
      <c r="AX17" s="89"/>
      <c r="AY17" s="88"/>
      <c r="AZ17" s="89"/>
      <c r="BA17" s="89"/>
      <c r="BB17" s="89"/>
      <c r="BC17" s="89"/>
      <c r="BD17" s="89"/>
      <c r="BE17" s="88"/>
      <c r="BF17" s="89"/>
      <c r="BG17" s="89"/>
      <c r="BH17" s="89"/>
      <c r="BI17" s="89"/>
      <c r="BJ17" s="89"/>
      <c r="BK17" s="88"/>
      <c r="BL17" s="89"/>
      <c r="BM17" s="89"/>
      <c r="BN17" s="89"/>
      <c r="BO17" s="89"/>
      <c r="BP17" s="89"/>
      <c r="BQ17" s="88"/>
      <c r="BR17" s="89"/>
      <c r="BS17" s="89"/>
      <c r="BT17" s="89"/>
      <c r="BU17" s="89"/>
      <c r="BV17" s="89"/>
      <c r="BW17" s="88"/>
      <c r="BX17" s="89"/>
      <c r="BY17" s="89"/>
      <c r="BZ17" s="89"/>
      <c r="CA17" s="89"/>
      <c r="CB17" s="89"/>
      <c r="CC17" s="88"/>
      <c r="CD17" s="89"/>
      <c r="CE17" s="89"/>
      <c r="CF17" s="89"/>
      <c r="CG17" s="89"/>
      <c r="CH17" s="89"/>
      <c r="CI17" s="88"/>
      <c r="CJ17" s="89"/>
      <c r="CK17" s="89"/>
      <c r="CL17" s="89"/>
      <c r="CM17" s="89"/>
      <c r="CN17" s="89"/>
      <c r="CO17" s="88"/>
      <c r="CP17" s="89"/>
      <c r="CQ17" s="89"/>
      <c r="CR17" s="89"/>
      <c r="CS17" s="89"/>
      <c r="CT17" s="89"/>
      <c r="CU17" s="88">
        <f t="shared" si="1"/>
        <v>4993.6934000000001</v>
      </c>
      <c r="CV17" s="89">
        <v>3023.0953000000004</v>
      </c>
      <c r="CW17" s="89">
        <v>2878.6542000000004</v>
      </c>
      <c r="CX17" s="89">
        <v>144.44110000000001</v>
      </c>
      <c r="CY17" s="89">
        <v>1970.5981000000002</v>
      </c>
      <c r="CZ17" s="89"/>
      <c r="DA17" s="88"/>
      <c r="DB17" s="89"/>
      <c r="DC17" s="89"/>
      <c r="DD17" s="89"/>
      <c r="DE17" s="89"/>
      <c r="DF17" s="89"/>
      <c r="DG17" s="88">
        <v>8885.1</v>
      </c>
      <c r="DH17" s="89">
        <v>1794.6</v>
      </c>
      <c r="DI17" s="89"/>
      <c r="DJ17" s="89"/>
      <c r="DK17" s="89">
        <v>7466</v>
      </c>
      <c r="DL17" s="89">
        <v>375.5</v>
      </c>
      <c r="DM17" s="88"/>
      <c r="DN17" s="89"/>
      <c r="DO17" s="89"/>
      <c r="DP17" s="89"/>
      <c r="DQ17" s="89"/>
      <c r="DR17" s="89"/>
      <c r="DS17" s="88"/>
      <c r="DT17" s="89"/>
      <c r="DU17" s="89"/>
      <c r="DV17" s="89"/>
      <c r="DW17" s="89"/>
      <c r="DX17" s="89"/>
      <c r="DY17" s="88"/>
      <c r="DZ17" s="89"/>
      <c r="EA17" s="89"/>
      <c r="EB17" s="89"/>
      <c r="EC17" s="89"/>
      <c r="ED17" s="89"/>
      <c r="EE17" s="88"/>
      <c r="EF17" s="89"/>
      <c r="EG17" s="89"/>
      <c r="EH17" s="89"/>
      <c r="EI17" s="89"/>
      <c r="EJ17" s="89"/>
      <c r="EK17" s="88"/>
      <c r="EL17" s="89"/>
      <c r="EM17" s="89"/>
      <c r="EN17" s="89"/>
      <c r="EO17" s="89"/>
      <c r="EP17" s="89"/>
      <c r="EQ17" s="88"/>
      <c r="ER17" s="89"/>
      <c r="ES17" s="89"/>
      <c r="ET17" s="89"/>
      <c r="EU17" s="89"/>
      <c r="EV17" s="89"/>
      <c r="EW17" s="88"/>
      <c r="EX17" s="89"/>
      <c r="EY17" s="89"/>
      <c r="EZ17" s="89"/>
      <c r="FA17" s="89"/>
      <c r="FB17" s="89"/>
      <c r="FC17" s="88"/>
      <c r="FD17" s="89"/>
      <c r="FE17" s="89"/>
      <c r="FF17" s="89"/>
      <c r="FG17" s="89"/>
      <c r="FH17" s="89"/>
      <c r="FI17" s="88"/>
      <c r="FJ17" s="89"/>
      <c r="FK17" s="89"/>
      <c r="FL17" s="89"/>
      <c r="FM17" s="89"/>
      <c r="FN17" s="89"/>
      <c r="FO17" s="88"/>
      <c r="FP17" s="89"/>
      <c r="FQ17" s="89"/>
      <c r="FR17" s="89"/>
      <c r="FS17" s="89"/>
      <c r="FT17" s="89"/>
      <c r="FU17" s="88"/>
      <c r="FV17" s="89"/>
      <c r="FW17" s="89"/>
      <c r="FX17" s="89"/>
      <c r="FY17" s="89"/>
      <c r="FZ17" s="89"/>
      <c r="GA17" s="88"/>
      <c r="GB17" s="89"/>
      <c r="GC17" s="89"/>
      <c r="GD17" s="89"/>
      <c r="GE17" s="89"/>
      <c r="GF17" s="89"/>
      <c r="GG17" s="88"/>
      <c r="GH17" s="89"/>
      <c r="GI17" s="89"/>
      <c r="GJ17" s="89"/>
      <c r="GK17" s="89"/>
      <c r="GL17" s="89"/>
      <c r="GM17" s="88"/>
      <c r="GN17" s="89"/>
      <c r="GO17" s="89"/>
      <c r="GP17" s="89"/>
      <c r="GQ17" s="89"/>
      <c r="GR17" s="89"/>
      <c r="GS17" s="88"/>
      <c r="GT17" s="87"/>
      <c r="GU17" s="87"/>
      <c r="GV17" s="87"/>
      <c r="GW17" s="87"/>
      <c r="GX17" s="87"/>
      <c r="GY17" s="87"/>
      <c r="GZ17" s="88"/>
      <c r="HA17" s="88"/>
      <c r="HB17" s="87"/>
      <c r="HC17" s="87"/>
      <c r="HD17" s="110"/>
      <c r="HE17" s="87"/>
      <c r="HF17" s="87"/>
      <c r="HG17" s="87"/>
      <c r="HH17" s="87"/>
      <c r="HI17" s="87"/>
      <c r="HJ17" s="87"/>
      <c r="HK17" s="87"/>
      <c r="HL17" s="88"/>
      <c r="HM17" s="87"/>
      <c r="HN17" s="87"/>
      <c r="HO17" s="110"/>
      <c r="HP17" s="110"/>
      <c r="HQ17" s="87"/>
      <c r="HR17" s="87"/>
      <c r="HS17" s="87"/>
      <c r="HT17" s="111"/>
    </row>
    <row r="18" spans="1:228">
      <c r="A18" s="69"/>
      <c r="B18" s="87" t="s">
        <v>491</v>
      </c>
      <c r="C18" s="88"/>
      <c r="D18" s="87"/>
      <c r="E18" s="87"/>
      <c r="F18" s="87"/>
      <c r="G18" s="87"/>
      <c r="H18" s="87"/>
      <c r="I18" s="88">
        <v>21765.903000000006</v>
      </c>
      <c r="J18" s="89">
        <v>19562.201000000001</v>
      </c>
      <c r="K18" s="89"/>
      <c r="L18" s="89"/>
      <c r="M18" s="89">
        <v>16146.082000000002</v>
      </c>
      <c r="N18" s="89">
        <v>-13942.38</v>
      </c>
      <c r="O18" s="90"/>
      <c r="P18" s="91"/>
      <c r="Q18" s="91"/>
      <c r="R18" s="91"/>
      <c r="S18" s="91"/>
      <c r="T18" s="91"/>
      <c r="U18" s="90"/>
      <c r="V18" s="91"/>
      <c r="W18" s="91"/>
      <c r="X18" s="91"/>
      <c r="Y18" s="91"/>
      <c r="Z18" s="91"/>
      <c r="AA18" s="88">
        <v>280.30700000000002</v>
      </c>
      <c r="AB18" s="89">
        <f t="shared" si="0"/>
        <v>4.1000000000000369E-2</v>
      </c>
      <c r="AC18" s="89">
        <v>-17.54</v>
      </c>
      <c r="AD18" s="89">
        <v>17.581</v>
      </c>
      <c r="AE18" s="89">
        <v>280.26600000000002</v>
      </c>
      <c r="AF18" s="89"/>
      <c r="AG18" s="88"/>
      <c r="AH18" s="89"/>
      <c r="AI18" s="89"/>
      <c r="AJ18" s="89"/>
      <c r="AK18" s="89"/>
      <c r="AL18" s="89"/>
      <c r="AM18" s="88"/>
      <c r="AN18" s="89"/>
      <c r="AO18" s="89"/>
      <c r="AP18" s="89"/>
      <c r="AQ18" s="89"/>
      <c r="AR18" s="89"/>
      <c r="AS18" s="88"/>
      <c r="AT18" s="89"/>
      <c r="AU18" s="89"/>
      <c r="AV18" s="89"/>
      <c r="AW18" s="89"/>
      <c r="AX18" s="89"/>
      <c r="AY18" s="88"/>
      <c r="AZ18" s="89"/>
      <c r="BA18" s="89"/>
      <c r="BB18" s="89"/>
      <c r="BC18" s="89"/>
      <c r="BD18" s="89"/>
      <c r="BE18" s="88"/>
      <c r="BF18" s="89"/>
      <c r="BG18" s="89"/>
      <c r="BH18" s="89"/>
      <c r="BI18" s="89"/>
      <c r="BJ18" s="89"/>
      <c r="BK18" s="88"/>
      <c r="BL18" s="89"/>
      <c r="BM18" s="89"/>
      <c r="BN18" s="89"/>
      <c r="BO18" s="89"/>
      <c r="BP18" s="89"/>
      <c r="BQ18" s="88"/>
      <c r="BR18" s="89"/>
      <c r="BS18" s="89"/>
      <c r="BT18" s="89"/>
      <c r="BU18" s="89"/>
      <c r="BV18" s="89"/>
      <c r="BW18" s="88"/>
      <c r="BX18" s="89"/>
      <c r="BY18" s="89"/>
      <c r="BZ18" s="89"/>
      <c r="CA18" s="89"/>
      <c r="CB18" s="89"/>
      <c r="CC18" s="88"/>
      <c r="CD18" s="89"/>
      <c r="CE18" s="89"/>
      <c r="CF18" s="89"/>
      <c r="CG18" s="89"/>
      <c r="CH18" s="89"/>
      <c r="CI18" s="88"/>
      <c r="CJ18" s="89"/>
      <c r="CK18" s="89"/>
      <c r="CL18" s="89"/>
      <c r="CM18" s="89"/>
      <c r="CN18" s="89"/>
      <c r="CO18" s="88"/>
      <c r="CP18" s="89"/>
      <c r="CQ18" s="89"/>
      <c r="CR18" s="89"/>
      <c r="CS18" s="89"/>
      <c r="CT18" s="89"/>
      <c r="CU18" s="88">
        <f t="shared" si="1"/>
        <v>5026.9898999999996</v>
      </c>
      <c r="CV18" s="89">
        <v>3038.1790999999998</v>
      </c>
      <c r="CW18" s="89">
        <v>2905.2665999999999</v>
      </c>
      <c r="CX18" s="89">
        <v>132.91249999999999</v>
      </c>
      <c r="CY18" s="89">
        <v>1988.8108</v>
      </c>
      <c r="CZ18" s="89"/>
      <c r="DA18" s="88"/>
      <c r="DB18" s="89"/>
      <c r="DC18" s="89"/>
      <c r="DD18" s="89"/>
      <c r="DE18" s="89"/>
      <c r="DF18" s="89"/>
      <c r="DG18" s="88">
        <v>7750.4</v>
      </c>
      <c r="DH18" s="89">
        <v>716.2</v>
      </c>
      <c r="DI18" s="89"/>
      <c r="DJ18" s="89"/>
      <c r="DK18" s="89">
        <v>7678.5</v>
      </c>
      <c r="DL18" s="89">
        <v>644.29999999999995</v>
      </c>
      <c r="DM18" s="88"/>
      <c r="DN18" s="89"/>
      <c r="DO18" s="89"/>
      <c r="DP18" s="89"/>
      <c r="DQ18" s="89"/>
      <c r="DR18" s="89"/>
      <c r="DS18" s="88"/>
      <c r="DT18" s="89"/>
      <c r="DU18" s="89"/>
      <c r="DV18" s="89"/>
      <c r="DW18" s="89"/>
      <c r="DX18" s="89"/>
      <c r="DY18" s="88"/>
      <c r="DZ18" s="89"/>
      <c r="EA18" s="89"/>
      <c r="EB18" s="89"/>
      <c r="EC18" s="89"/>
      <c r="ED18" s="89"/>
      <c r="EE18" s="88"/>
      <c r="EF18" s="89"/>
      <c r="EG18" s="89"/>
      <c r="EH18" s="89"/>
      <c r="EI18" s="89"/>
      <c r="EJ18" s="89"/>
      <c r="EK18" s="88"/>
      <c r="EL18" s="89"/>
      <c r="EM18" s="89"/>
      <c r="EN18" s="89"/>
      <c r="EO18" s="89"/>
      <c r="EP18" s="89"/>
      <c r="EQ18" s="88"/>
      <c r="ER18" s="89"/>
      <c r="ES18" s="89"/>
      <c r="ET18" s="89"/>
      <c r="EU18" s="89"/>
      <c r="EV18" s="89"/>
      <c r="EW18" s="88"/>
      <c r="EX18" s="89"/>
      <c r="EY18" s="89"/>
      <c r="EZ18" s="89"/>
      <c r="FA18" s="89"/>
      <c r="FB18" s="89"/>
      <c r="FC18" s="88"/>
      <c r="FD18" s="89"/>
      <c r="FE18" s="89"/>
      <c r="FF18" s="89"/>
      <c r="FG18" s="89"/>
      <c r="FH18" s="89"/>
      <c r="FI18" s="88"/>
      <c r="FJ18" s="89"/>
      <c r="FK18" s="89"/>
      <c r="FL18" s="89"/>
      <c r="FM18" s="89"/>
      <c r="FN18" s="89"/>
      <c r="FO18" s="88"/>
      <c r="FP18" s="89"/>
      <c r="FQ18" s="89"/>
      <c r="FR18" s="89"/>
      <c r="FS18" s="89"/>
      <c r="FT18" s="89"/>
      <c r="FU18" s="88"/>
      <c r="FV18" s="89"/>
      <c r="FW18" s="89"/>
      <c r="FX18" s="89"/>
      <c r="FY18" s="89"/>
      <c r="FZ18" s="89"/>
      <c r="GA18" s="88"/>
      <c r="GB18" s="89"/>
      <c r="GC18" s="89"/>
      <c r="GD18" s="89"/>
      <c r="GE18" s="89"/>
      <c r="GF18" s="89"/>
      <c r="GG18" s="88"/>
      <c r="GH18" s="89"/>
      <c r="GI18" s="89"/>
      <c r="GJ18" s="89"/>
      <c r="GK18" s="89"/>
      <c r="GL18" s="89"/>
      <c r="GM18" s="88"/>
      <c r="GN18" s="89"/>
      <c r="GO18" s="89"/>
      <c r="GP18" s="89"/>
      <c r="GQ18" s="89"/>
      <c r="GR18" s="89"/>
      <c r="GS18" s="88"/>
      <c r="GT18" s="87"/>
      <c r="GU18" s="87"/>
      <c r="GV18" s="87"/>
      <c r="GW18" s="87"/>
      <c r="GX18" s="87"/>
      <c r="GY18" s="87"/>
      <c r="GZ18" s="88"/>
      <c r="HA18" s="87"/>
      <c r="HB18" s="87"/>
      <c r="HC18" s="87"/>
      <c r="HD18" s="110"/>
      <c r="HE18" s="87"/>
      <c r="HF18" s="87"/>
      <c r="HG18" s="87"/>
      <c r="HH18" s="87"/>
      <c r="HI18" s="87"/>
      <c r="HJ18" s="87"/>
      <c r="HK18" s="87"/>
      <c r="HL18" s="88"/>
      <c r="HM18" s="87"/>
      <c r="HN18" s="87"/>
      <c r="HO18" s="110"/>
      <c r="HP18" s="110"/>
      <c r="HQ18" s="87"/>
      <c r="HR18" s="87"/>
      <c r="HS18" s="87"/>
    </row>
    <row r="19" spans="1:228">
      <c r="A19" s="69"/>
      <c r="B19" s="87" t="s">
        <v>492</v>
      </c>
      <c r="C19" s="88"/>
      <c r="D19" s="87"/>
      <c r="E19" s="87"/>
      <c r="F19" s="87"/>
      <c r="G19" s="87"/>
      <c r="H19" s="87"/>
      <c r="I19" s="88">
        <v>22405.574000000001</v>
      </c>
      <c r="J19" s="89">
        <v>20094.924999999999</v>
      </c>
      <c r="K19" s="89"/>
      <c r="L19" s="89"/>
      <c r="M19" s="89">
        <v>17044.851000000002</v>
      </c>
      <c r="N19" s="89">
        <v>-14734.201999999999</v>
      </c>
      <c r="O19" s="88"/>
      <c r="P19" s="89"/>
      <c r="Q19" s="89"/>
      <c r="R19" s="89"/>
      <c r="S19" s="89"/>
      <c r="T19" s="89"/>
      <c r="U19" s="88"/>
      <c r="V19" s="89"/>
      <c r="W19" s="89"/>
      <c r="X19" s="89"/>
      <c r="Y19" s="89"/>
      <c r="Z19" s="89"/>
      <c r="AA19" s="88">
        <v>285.77300000000002</v>
      </c>
      <c r="AB19" s="89">
        <f t="shared" si="0"/>
        <v>3.6160000000000014</v>
      </c>
      <c r="AC19" s="89">
        <v>-10.930999999999999</v>
      </c>
      <c r="AD19" s="89">
        <v>14.547000000000001</v>
      </c>
      <c r="AE19" s="89">
        <v>282.15699999999998</v>
      </c>
      <c r="AF19" s="89"/>
      <c r="AG19" s="88"/>
      <c r="AH19" s="89"/>
      <c r="AI19" s="89"/>
      <c r="AJ19" s="89"/>
      <c r="AK19" s="89"/>
      <c r="AL19" s="89"/>
      <c r="AM19" s="88"/>
      <c r="AN19" s="89"/>
      <c r="AO19" s="89"/>
      <c r="AP19" s="89"/>
      <c r="AQ19" s="89"/>
      <c r="AR19" s="89"/>
      <c r="AS19" s="88"/>
      <c r="AT19" s="89"/>
      <c r="AU19" s="89"/>
      <c r="AV19" s="89"/>
      <c r="AW19" s="89"/>
      <c r="AX19" s="89"/>
      <c r="AY19" s="88"/>
      <c r="AZ19" s="89"/>
      <c r="BA19" s="89"/>
      <c r="BB19" s="89"/>
      <c r="BC19" s="89"/>
      <c r="BD19" s="89"/>
      <c r="BE19" s="88"/>
      <c r="BF19" s="89"/>
      <c r="BG19" s="89"/>
      <c r="BH19" s="89"/>
      <c r="BI19" s="89"/>
      <c r="BJ19" s="89"/>
      <c r="BK19" s="88"/>
      <c r="BL19" s="89"/>
      <c r="BM19" s="89"/>
      <c r="BN19" s="89"/>
      <c r="BO19" s="89"/>
      <c r="BP19" s="89"/>
      <c r="BQ19" s="88"/>
      <c r="BR19" s="89"/>
      <c r="BS19" s="89"/>
      <c r="BT19" s="89"/>
      <c r="BU19" s="89"/>
      <c r="BV19" s="89"/>
      <c r="BW19" s="88"/>
      <c r="BX19" s="89"/>
      <c r="BY19" s="89"/>
      <c r="BZ19" s="89"/>
      <c r="CA19" s="89"/>
      <c r="CB19" s="89"/>
      <c r="CC19" s="88"/>
      <c r="CD19" s="89"/>
      <c r="CE19" s="89"/>
      <c r="CF19" s="89"/>
      <c r="CG19" s="89"/>
      <c r="CH19" s="89"/>
      <c r="CI19" s="88"/>
      <c r="CJ19" s="89"/>
      <c r="CK19" s="89"/>
      <c r="CL19" s="89"/>
      <c r="CM19" s="89"/>
      <c r="CN19" s="89"/>
      <c r="CO19" s="88"/>
      <c r="CP19" s="89"/>
      <c r="CQ19" s="89"/>
      <c r="CR19" s="89"/>
      <c r="CS19" s="89"/>
      <c r="CT19" s="89"/>
      <c r="CU19" s="88">
        <f t="shared" si="1"/>
        <v>5053.7776999999996</v>
      </c>
      <c r="CV19" s="89">
        <v>3016.4528</v>
      </c>
      <c r="CW19" s="89">
        <v>2883.2017000000001</v>
      </c>
      <c r="CX19" s="89">
        <v>133.25110000000001</v>
      </c>
      <c r="CY19" s="89">
        <v>2037.3248999999998</v>
      </c>
      <c r="CZ19" s="89"/>
      <c r="DA19" s="88"/>
      <c r="DB19" s="89"/>
      <c r="DC19" s="89"/>
      <c r="DD19" s="89"/>
      <c r="DE19" s="89"/>
      <c r="DF19" s="89"/>
      <c r="DG19" s="88">
        <v>8503.4</v>
      </c>
      <c r="DH19" s="89">
        <v>1188.8</v>
      </c>
      <c r="DI19" s="89"/>
      <c r="DJ19" s="89"/>
      <c r="DK19" s="89">
        <v>7576</v>
      </c>
      <c r="DL19" s="89">
        <v>261.39999999999998</v>
      </c>
      <c r="DM19" s="88"/>
      <c r="DN19" s="89"/>
      <c r="DO19" s="89"/>
      <c r="DP19" s="89"/>
      <c r="DQ19" s="89"/>
      <c r="DR19" s="89"/>
      <c r="DS19" s="88"/>
      <c r="DT19" s="89"/>
      <c r="DU19" s="89"/>
      <c r="DV19" s="89"/>
      <c r="DW19" s="89"/>
      <c r="DX19" s="89"/>
      <c r="DY19" s="88"/>
      <c r="DZ19" s="89"/>
      <c r="EA19" s="89"/>
      <c r="EB19" s="89"/>
      <c r="EC19" s="89"/>
      <c r="ED19" s="89"/>
      <c r="EE19" s="88"/>
      <c r="EF19" s="89"/>
      <c r="EG19" s="89"/>
      <c r="EH19" s="89"/>
      <c r="EI19" s="89"/>
      <c r="EJ19" s="89"/>
      <c r="EK19" s="88"/>
      <c r="EL19" s="89"/>
      <c r="EM19" s="89"/>
      <c r="EN19" s="89"/>
      <c r="EO19" s="89"/>
      <c r="EP19" s="89"/>
      <c r="EQ19" s="88"/>
      <c r="ER19" s="89"/>
      <c r="ES19" s="89"/>
      <c r="ET19" s="89"/>
      <c r="EU19" s="89"/>
      <c r="EV19" s="89"/>
      <c r="EW19" s="88"/>
      <c r="EX19" s="89"/>
      <c r="EY19" s="89"/>
      <c r="EZ19" s="89"/>
      <c r="FA19" s="89"/>
      <c r="FB19" s="89"/>
      <c r="FC19" s="88"/>
      <c r="FD19" s="89"/>
      <c r="FE19" s="89"/>
      <c r="FF19" s="89"/>
      <c r="FG19" s="89"/>
      <c r="FH19" s="89"/>
      <c r="FI19" s="88"/>
      <c r="FJ19" s="89"/>
      <c r="FK19" s="89"/>
      <c r="FL19" s="89"/>
      <c r="FM19" s="89"/>
      <c r="FN19" s="89"/>
      <c r="FO19" s="88"/>
      <c r="FP19" s="89"/>
      <c r="FQ19" s="89"/>
      <c r="FR19" s="89"/>
      <c r="FS19" s="89"/>
      <c r="FT19" s="89"/>
      <c r="FU19" s="88"/>
      <c r="FV19" s="89"/>
      <c r="FW19" s="89"/>
      <c r="FX19" s="89"/>
      <c r="FY19" s="89"/>
      <c r="FZ19" s="89"/>
      <c r="GA19" s="88"/>
      <c r="GB19" s="89"/>
      <c r="GC19" s="89"/>
      <c r="GD19" s="89"/>
      <c r="GE19" s="89"/>
      <c r="GF19" s="89"/>
      <c r="GG19" s="88"/>
      <c r="GH19" s="89"/>
      <c r="GI19" s="89"/>
      <c r="GJ19" s="89"/>
      <c r="GK19" s="89"/>
      <c r="GL19" s="89"/>
      <c r="GM19" s="88"/>
      <c r="GN19" s="89"/>
      <c r="GO19" s="89"/>
      <c r="GP19" s="89"/>
      <c r="GQ19" s="89"/>
      <c r="GR19" s="89"/>
      <c r="GS19" s="88"/>
      <c r="GT19" s="87"/>
      <c r="GU19" s="87"/>
      <c r="GV19" s="87"/>
      <c r="GW19" s="87"/>
      <c r="GX19" s="87"/>
      <c r="GY19" s="87"/>
      <c r="GZ19" s="88"/>
      <c r="HA19" s="87"/>
      <c r="HB19" s="87"/>
      <c r="HC19" s="87"/>
      <c r="HD19" s="110"/>
      <c r="HE19" s="87"/>
      <c r="HF19" s="87"/>
      <c r="HG19" s="87"/>
      <c r="HH19" s="87"/>
      <c r="HI19" s="87"/>
      <c r="HJ19" s="87"/>
      <c r="HK19" s="87"/>
      <c r="HL19" s="88"/>
      <c r="HM19" s="87"/>
      <c r="HN19" s="87"/>
      <c r="HO19" s="110"/>
      <c r="HP19" s="110"/>
      <c r="HQ19" s="87"/>
      <c r="HR19" s="87"/>
      <c r="HS19" s="87"/>
    </row>
    <row r="20" spans="1:228">
      <c r="A20" s="69"/>
      <c r="B20" s="87" t="s">
        <v>493</v>
      </c>
      <c r="C20" s="88"/>
      <c r="D20" s="87"/>
      <c r="E20" s="87"/>
      <c r="F20" s="87"/>
      <c r="G20" s="87"/>
      <c r="H20" s="87"/>
      <c r="I20" s="88">
        <v>22992.925999999999</v>
      </c>
      <c r="J20" s="89">
        <v>20415.742999999999</v>
      </c>
      <c r="K20" s="89"/>
      <c r="L20" s="89"/>
      <c r="M20" s="89">
        <v>17637.582999999999</v>
      </c>
      <c r="N20" s="89">
        <v>-15060.4</v>
      </c>
      <c r="O20" s="90"/>
      <c r="P20" s="91"/>
      <c r="Q20" s="91"/>
      <c r="R20" s="91"/>
      <c r="S20" s="91"/>
      <c r="T20" s="91"/>
      <c r="U20" s="90"/>
      <c r="V20" s="91"/>
      <c r="W20" s="91"/>
      <c r="X20" s="91"/>
      <c r="Y20" s="91"/>
      <c r="Z20" s="91"/>
      <c r="AA20" s="88">
        <v>285.99700000000001</v>
      </c>
      <c r="AB20" s="89">
        <f t="shared" si="0"/>
        <v>-1.7029999999999976</v>
      </c>
      <c r="AC20" s="89">
        <v>-16.390999999999998</v>
      </c>
      <c r="AD20" s="89">
        <v>14.688000000000001</v>
      </c>
      <c r="AE20" s="89">
        <v>287.7</v>
      </c>
      <c r="AF20" s="89"/>
      <c r="AG20" s="88"/>
      <c r="AH20" s="89"/>
      <c r="AI20" s="89"/>
      <c r="AJ20" s="89"/>
      <c r="AK20" s="89"/>
      <c r="AL20" s="89"/>
      <c r="AM20" s="88"/>
      <c r="AN20" s="89"/>
      <c r="AO20" s="89"/>
      <c r="AP20" s="89"/>
      <c r="AQ20" s="89"/>
      <c r="AR20" s="89"/>
      <c r="AS20" s="88"/>
      <c r="AT20" s="89"/>
      <c r="AU20" s="89"/>
      <c r="AV20" s="89"/>
      <c r="AW20" s="89"/>
      <c r="AX20" s="89"/>
      <c r="AY20" s="88"/>
      <c r="AZ20" s="89"/>
      <c r="BA20" s="89"/>
      <c r="BB20" s="89"/>
      <c r="BC20" s="89"/>
      <c r="BD20" s="89"/>
      <c r="BE20" s="88"/>
      <c r="BF20" s="89"/>
      <c r="BG20" s="89"/>
      <c r="BH20" s="89"/>
      <c r="BI20" s="89"/>
      <c r="BJ20" s="89"/>
      <c r="BK20" s="88"/>
      <c r="BL20" s="89"/>
      <c r="BM20" s="89"/>
      <c r="BN20" s="89"/>
      <c r="BO20" s="89"/>
      <c r="BP20" s="89"/>
      <c r="BQ20" s="88"/>
      <c r="BR20" s="89"/>
      <c r="BS20" s="89"/>
      <c r="BT20" s="89"/>
      <c r="BU20" s="89"/>
      <c r="BV20" s="89"/>
      <c r="BW20" s="88"/>
      <c r="BX20" s="89"/>
      <c r="BY20" s="89"/>
      <c r="BZ20" s="89"/>
      <c r="CA20" s="89"/>
      <c r="CB20" s="89"/>
      <c r="CC20" s="88"/>
      <c r="CD20" s="89"/>
      <c r="CE20" s="89"/>
      <c r="CF20" s="89"/>
      <c r="CG20" s="89"/>
      <c r="CH20" s="89"/>
      <c r="CI20" s="88"/>
      <c r="CJ20" s="89"/>
      <c r="CK20" s="89"/>
      <c r="CL20" s="89"/>
      <c r="CM20" s="89"/>
      <c r="CN20" s="89"/>
      <c r="CO20" s="88"/>
      <c r="CP20" s="89"/>
      <c r="CQ20" s="89"/>
      <c r="CR20" s="89"/>
      <c r="CS20" s="89"/>
      <c r="CT20" s="89"/>
      <c r="CU20" s="88">
        <f t="shared" si="1"/>
        <v>5026.7678999999998</v>
      </c>
      <c r="CV20" s="89">
        <v>2979.6201000000001</v>
      </c>
      <c r="CW20" s="89">
        <v>2859.8903</v>
      </c>
      <c r="CX20" s="89">
        <v>119.7298</v>
      </c>
      <c r="CY20" s="89">
        <v>2047.1478</v>
      </c>
      <c r="CZ20" s="89"/>
      <c r="DA20" s="88"/>
      <c r="DB20" s="89"/>
      <c r="DC20" s="89"/>
      <c r="DD20" s="89"/>
      <c r="DE20" s="89"/>
      <c r="DF20" s="89"/>
      <c r="DG20" s="88">
        <v>9089.9</v>
      </c>
      <c r="DH20" s="89">
        <v>1653.9</v>
      </c>
      <c r="DI20" s="89"/>
      <c r="DJ20" s="89"/>
      <c r="DK20" s="89">
        <v>7746.1</v>
      </c>
      <c r="DL20" s="89">
        <v>310.10000000000002</v>
      </c>
      <c r="DM20" s="88"/>
      <c r="DN20" s="89"/>
      <c r="DO20" s="89"/>
      <c r="DP20" s="89"/>
      <c r="DQ20" s="89"/>
      <c r="DR20" s="89"/>
      <c r="DS20" s="88"/>
      <c r="DT20" s="89"/>
      <c r="DU20" s="89"/>
      <c r="DV20" s="89"/>
      <c r="DW20" s="89"/>
      <c r="DX20" s="89"/>
      <c r="DY20" s="88"/>
      <c r="DZ20" s="89"/>
      <c r="EA20" s="89"/>
      <c r="EB20" s="89"/>
      <c r="EC20" s="89"/>
      <c r="ED20" s="89"/>
      <c r="EE20" s="88"/>
      <c r="EF20" s="89"/>
      <c r="EG20" s="89"/>
      <c r="EH20" s="89"/>
      <c r="EI20" s="89"/>
      <c r="EJ20" s="89"/>
      <c r="EK20" s="88"/>
      <c r="EL20" s="89"/>
      <c r="EM20" s="89"/>
      <c r="EN20" s="89"/>
      <c r="EO20" s="89"/>
      <c r="EP20" s="89"/>
      <c r="EQ20" s="88"/>
      <c r="ER20" s="89"/>
      <c r="ES20" s="89"/>
      <c r="ET20" s="89"/>
      <c r="EU20" s="89"/>
      <c r="EV20" s="89"/>
      <c r="EW20" s="88"/>
      <c r="EX20" s="89"/>
      <c r="EY20" s="89"/>
      <c r="EZ20" s="89"/>
      <c r="FA20" s="89"/>
      <c r="FB20" s="89"/>
      <c r="FC20" s="88"/>
      <c r="FD20" s="89"/>
      <c r="FE20" s="89"/>
      <c r="FF20" s="89"/>
      <c r="FG20" s="89"/>
      <c r="FH20" s="89"/>
      <c r="FI20" s="88"/>
      <c r="FJ20" s="89"/>
      <c r="FK20" s="89"/>
      <c r="FL20" s="89"/>
      <c r="FM20" s="89"/>
      <c r="FN20" s="89"/>
      <c r="FO20" s="88"/>
      <c r="FP20" s="89"/>
      <c r="FQ20" s="89"/>
      <c r="FR20" s="89"/>
      <c r="FS20" s="89"/>
      <c r="FT20" s="89"/>
      <c r="FU20" s="88"/>
      <c r="FV20" s="89"/>
      <c r="FW20" s="89"/>
      <c r="FX20" s="89"/>
      <c r="FY20" s="89"/>
      <c r="FZ20" s="89"/>
      <c r="GA20" s="88"/>
      <c r="GB20" s="89"/>
      <c r="GC20" s="89"/>
      <c r="GD20" s="89"/>
      <c r="GE20" s="89"/>
      <c r="GF20" s="89"/>
      <c r="GG20" s="88"/>
      <c r="GH20" s="89"/>
      <c r="GI20" s="89"/>
      <c r="GJ20" s="89"/>
      <c r="GK20" s="89"/>
      <c r="GL20" s="89"/>
      <c r="GM20" s="88"/>
      <c r="GN20" s="89"/>
      <c r="GO20" s="89"/>
      <c r="GP20" s="89"/>
      <c r="GQ20" s="89"/>
      <c r="GR20" s="89"/>
      <c r="GS20" s="88"/>
      <c r="GT20" s="87"/>
      <c r="GU20" s="87"/>
      <c r="GV20" s="87"/>
      <c r="GW20" s="87"/>
      <c r="GX20" s="87"/>
      <c r="GY20" s="87"/>
      <c r="GZ20" s="88"/>
      <c r="HA20" s="87"/>
      <c r="HB20" s="87"/>
      <c r="HC20" s="87"/>
      <c r="HD20" s="110"/>
      <c r="HE20" s="87"/>
      <c r="HF20" s="87"/>
      <c r="HG20" s="87"/>
      <c r="HH20" s="87"/>
      <c r="HI20" s="87"/>
      <c r="HJ20" s="87"/>
      <c r="HK20" s="87"/>
      <c r="HL20" s="88"/>
      <c r="HM20" s="87"/>
      <c r="HN20" s="87"/>
      <c r="HO20" s="110"/>
      <c r="HP20" s="110"/>
      <c r="HQ20" s="87"/>
      <c r="HR20" s="87"/>
      <c r="HS20" s="87"/>
    </row>
    <row r="21" spans="1:228">
      <c r="A21" s="69"/>
      <c r="B21" s="87" t="s">
        <v>494</v>
      </c>
      <c r="C21" s="88"/>
      <c r="D21" s="87"/>
      <c r="E21" s="87"/>
      <c r="F21" s="87"/>
      <c r="G21" s="87"/>
      <c r="H21" s="87"/>
      <c r="I21" s="88">
        <v>23532.273000000001</v>
      </c>
      <c r="J21" s="89">
        <v>20699.417000000001</v>
      </c>
      <c r="K21" s="89"/>
      <c r="L21" s="89"/>
      <c r="M21" s="89">
        <v>18584.548000000003</v>
      </c>
      <c r="N21" s="89">
        <v>-15751.694</v>
      </c>
      <c r="O21" s="90"/>
      <c r="P21" s="91"/>
      <c r="Q21" s="91"/>
      <c r="R21" s="91"/>
      <c r="S21" s="91"/>
      <c r="T21" s="91"/>
      <c r="U21" s="90"/>
      <c r="V21" s="91"/>
      <c r="W21" s="91"/>
      <c r="X21" s="91"/>
      <c r="Y21" s="91"/>
      <c r="Z21" s="91"/>
      <c r="AA21" s="88">
        <v>289.54199999999997</v>
      </c>
      <c r="AB21" s="89">
        <f t="shared" si="0"/>
        <v>-2.157</v>
      </c>
      <c r="AC21" s="89">
        <v>-16.678000000000001</v>
      </c>
      <c r="AD21" s="89">
        <v>14.521000000000001</v>
      </c>
      <c r="AE21" s="89">
        <v>291.69900000000001</v>
      </c>
      <c r="AF21" s="89"/>
      <c r="AG21" s="88"/>
      <c r="AH21" s="89"/>
      <c r="AI21" s="89"/>
      <c r="AJ21" s="89"/>
      <c r="AK21" s="89"/>
      <c r="AL21" s="89"/>
      <c r="AM21" s="88"/>
      <c r="AN21" s="89"/>
      <c r="AO21" s="89"/>
      <c r="AP21" s="89"/>
      <c r="AQ21" s="89"/>
      <c r="AR21" s="89"/>
      <c r="AS21" s="88"/>
      <c r="AT21" s="89"/>
      <c r="AU21" s="89"/>
      <c r="AV21" s="89"/>
      <c r="AW21" s="89"/>
      <c r="AX21" s="89"/>
      <c r="AY21" s="88"/>
      <c r="AZ21" s="89"/>
      <c r="BA21" s="89"/>
      <c r="BB21" s="89"/>
      <c r="BC21" s="89"/>
      <c r="BD21" s="89"/>
      <c r="BE21" s="88"/>
      <c r="BF21" s="89"/>
      <c r="BG21" s="89"/>
      <c r="BH21" s="89"/>
      <c r="BI21" s="89"/>
      <c r="BJ21" s="89"/>
      <c r="BK21" s="88"/>
      <c r="BL21" s="89"/>
      <c r="BM21" s="89"/>
      <c r="BN21" s="89"/>
      <c r="BO21" s="89"/>
      <c r="BP21" s="89"/>
      <c r="BQ21" s="88"/>
      <c r="BR21" s="89"/>
      <c r="BS21" s="89"/>
      <c r="BT21" s="89"/>
      <c r="BU21" s="89"/>
      <c r="BV21" s="89"/>
      <c r="BW21" s="88"/>
      <c r="BX21" s="89"/>
      <c r="BY21" s="89"/>
      <c r="BZ21" s="89"/>
      <c r="CA21" s="89"/>
      <c r="CB21" s="89"/>
      <c r="CC21" s="88"/>
      <c r="CD21" s="89"/>
      <c r="CE21" s="89"/>
      <c r="CF21" s="89"/>
      <c r="CG21" s="89"/>
      <c r="CH21" s="89"/>
      <c r="CI21" s="88"/>
      <c r="CJ21" s="89"/>
      <c r="CK21" s="89"/>
      <c r="CL21" s="89"/>
      <c r="CM21" s="89"/>
      <c r="CN21" s="89"/>
      <c r="CO21" s="88"/>
      <c r="CP21" s="89"/>
      <c r="CQ21" s="89"/>
      <c r="CR21" s="89"/>
      <c r="CS21" s="89"/>
      <c r="CT21" s="89"/>
      <c r="CU21" s="88">
        <f t="shared" si="1"/>
        <v>4952.7515000000003</v>
      </c>
      <c r="CV21" s="89">
        <v>2914.1088999999997</v>
      </c>
      <c r="CW21" s="89">
        <v>2804.1244999999999</v>
      </c>
      <c r="CX21" s="89">
        <v>109.98439999999999</v>
      </c>
      <c r="CY21" s="89">
        <v>2038.6426000000001</v>
      </c>
      <c r="CZ21" s="89"/>
      <c r="DA21" s="88"/>
      <c r="DB21" s="89"/>
      <c r="DC21" s="89"/>
      <c r="DD21" s="89"/>
      <c r="DE21" s="89"/>
      <c r="DF21" s="89"/>
      <c r="DG21" s="88">
        <v>8415.4</v>
      </c>
      <c r="DH21" s="89">
        <v>631.1</v>
      </c>
      <c r="DI21" s="89"/>
      <c r="DJ21" s="89"/>
      <c r="DK21" s="89">
        <v>8007.2</v>
      </c>
      <c r="DL21" s="89">
        <v>222.9</v>
      </c>
      <c r="DM21" s="88"/>
      <c r="DN21" s="89"/>
      <c r="DO21" s="89"/>
      <c r="DP21" s="89"/>
      <c r="DQ21" s="89"/>
      <c r="DR21" s="89"/>
      <c r="DS21" s="88"/>
      <c r="DT21" s="89"/>
      <c r="DU21" s="89"/>
      <c r="DV21" s="89"/>
      <c r="DW21" s="89"/>
      <c r="DX21" s="89"/>
      <c r="DY21" s="88"/>
      <c r="DZ21" s="89"/>
      <c r="EA21" s="89"/>
      <c r="EB21" s="89"/>
      <c r="EC21" s="89"/>
      <c r="ED21" s="89"/>
      <c r="EE21" s="88"/>
      <c r="EF21" s="89"/>
      <c r="EG21" s="89"/>
      <c r="EH21" s="89"/>
      <c r="EI21" s="89"/>
      <c r="EJ21" s="89"/>
      <c r="EK21" s="88"/>
      <c r="EL21" s="89"/>
      <c r="EM21" s="89"/>
      <c r="EN21" s="89"/>
      <c r="EO21" s="89"/>
      <c r="EP21" s="89"/>
      <c r="EQ21" s="88"/>
      <c r="ER21" s="89"/>
      <c r="ES21" s="89"/>
      <c r="ET21" s="89"/>
      <c r="EU21" s="89"/>
      <c r="EV21" s="89"/>
      <c r="EW21" s="88"/>
      <c r="EX21" s="89"/>
      <c r="EY21" s="89"/>
      <c r="EZ21" s="89"/>
      <c r="FA21" s="89"/>
      <c r="FB21" s="89"/>
      <c r="FC21" s="88"/>
      <c r="FD21" s="89"/>
      <c r="FE21" s="89"/>
      <c r="FF21" s="89"/>
      <c r="FG21" s="89"/>
      <c r="FH21" s="89"/>
      <c r="FI21" s="88"/>
      <c r="FJ21" s="89"/>
      <c r="FK21" s="89"/>
      <c r="FL21" s="89"/>
      <c r="FM21" s="89"/>
      <c r="FN21" s="89"/>
      <c r="FO21" s="88"/>
      <c r="FP21" s="89"/>
      <c r="FQ21" s="89"/>
      <c r="FR21" s="89"/>
      <c r="FS21" s="89"/>
      <c r="FT21" s="89"/>
      <c r="FU21" s="88"/>
      <c r="FV21" s="89"/>
      <c r="FW21" s="89"/>
      <c r="FX21" s="89"/>
      <c r="FY21" s="89"/>
      <c r="FZ21" s="89"/>
      <c r="GA21" s="88"/>
      <c r="GB21" s="89"/>
      <c r="GC21" s="89"/>
      <c r="GD21" s="89"/>
      <c r="GE21" s="89"/>
      <c r="GF21" s="89"/>
      <c r="GG21" s="88"/>
      <c r="GH21" s="89"/>
      <c r="GI21" s="89"/>
      <c r="GJ21" s="89"/>
      <c r="GK21" s="89"/>
      <c r="GL21" s="89"/>
      <c r="GM21" s="88"/>
      <c r="GN21" s="89"/>
      <c r="GO21" s="89"/>
      <c r="GP21" s="89"/>
      <c r="GQ21" s="89"/>
      <c r="GR21" s="89"/>
      <c r="GS21" s="88"/>
      <c r="GT21" s="87"/>
      <c r="GU21" s="87"/>
      <c r="GV21" s="87"/>
      <c r="GW21" s="87"/>
      <c r="GX21" s="87"/>
      <c r="GY21" s="87"/>
      <c r="GZ21" s="88"/>
      <c r="HA21" s="87"/>
      <c r="HB21" s="87"/>
      <c r="HC21" s="87"/>
      <c r="HD21" s="110"/>
      <c r="HE21" s="87"/>
      <c r="HF21" s="87"/>
      <c r="HG21" s="87"/>
      <c r="HH21" s="87"/>
      <c r="HI21" s="87"/>
      <c r="HJ21" s="87"/>
      <c r="HK21" s="87"/>
      <c r="HL21" s="88"/>
      <c r="HM21" s="87"/>
      <c r="HN21" s="87"/>
      <c r="HO21" s="110"/>
      <c r="HP21" s="110"/>
      <c r="HQ21" s="87"/>
      <c r="HR21" s="87"/>
      <c r="HS21" s="87"/>
    </row>
    <row r="22" spans="1:228">
      <c r="A22" s="69"/>
      <c r="B22" s="87" t="s">
        <v>495</v>
      </c>
      <c r="C22" s="88"/>
      <c r="D22" s="87"/>
      <c r="E22" s="87"/>
      <c r="F22" s="87"/>
      <c r="G22" s="87"/>
      <c r="H22" s="87"/>
      <c r="I22" s="88">
        <v>24294.665000000001</v>
      </c>
      <c r="J22" s="89">
        <v>20501.14</v>
      </c>
      <c r="K22" s="89"/>
      <c r="L22" s="89"/>
      <c r="M22" s="89">
        <v>19120.023000000001</v>
      </c>
      <c r="N22" s="89">
        <v>-15326.498</v>
      </c>
      <c r="O22" s="90"/>
      <c r="P22" s="91"/>
      <c r="Q22" s="91"/>
      <c r="R22" s="91"/>
      <c r="S22" s="91"/>
      <c r="T22" s="91"/>
      <c r="U22" s="90"/>
      <c r="V22" s="91"/>
      <c r="W22" s="91"/>
      <c r="X22" s="91"/>
      <c r="Y22" s="91"/>
      <c r="Z22" s="91"/>
      <c r="AA22" s="88">
        <v>311.57900000000001</v>
      </c>
      <c r="AB22" s="89">
        <f t="shared" si="0"/>
        <v>11.923999999999999</v>
      </c>
      <c r="AC22" s="89">
        <v>-1.917</v>
      </c>
      <c r="AD22" s="89">
        <v>13.840999999999999</v>
      </c>
      <c r="AE22" s="89">
        <v>299.65499999999997</v>
      </c>
      <c r="AF22" s="89"/>
      <c r="AG22" s="88"/>
      <c r="AH22" s="89"/>
      <c r="AI22" s="89"/>
      <c r="AJ22" s="89"/>
      <c r="AK22" s="89"/>
      <c r="AL22" s="89"/>
      <c r="AM22" s="88"/>
      <c r="AN22" s="89"/>
      <c r="AO22" s="89"/>
      <c r="AP22" s="89"/>
      <c r="AQ22" s="89"/>
      <c r="AR22" s="89"/>
      <c r="AS22" s="88"/>
      <c r="AT22" s="89"/>
      <c r="AU22" s="89"/>
      <c r="AV22" s="89"/>
      <c r="AW22" s="89"/>
      <c r="AX22" s="89"/>
      <c r="AY22" s="88"/>
      <c r="AZ22" s="89"/>
      <c r="BA22" s="89"/>
      <c r="BB22" s="89"/>
      <c r="BC22" s="89"/>
      <c r="BD22" s="89"/>
      <c r="BE22" s="88"/>
      <c r="BF22" s="89"/>
      <c r="BG22" s="89"/>
      <c r="BH22" s="89"/>
      <c r="BI22" s="89"/>
      <c r="BJ22" s="89"/>
      <c r="BK22" s="88"/>
      <c r="BL22" s="89"/>
      <c r="BM22" s="89"/>
      <c r="BN22" s="89"/>
      <c r="BO22" s="89"/>
      <c r="BP22" s="89"/>
      <c r="BQ22" s="88"/>
      <c r="BR22" s="89"/>
      <c r="BS22" s="89"/>
      <c r="BT22" s="89"/>
      <c r="BU22" s="89"/>
      <c r="BV22" s="89"/>
      <c r="BW22" s="88"/>
      <c r="BX22" s="89"/>
      <c r="BY22" s="89"/>
      <c r="BZ22" s="89"/>
      <c r="CA22" s="89"/>
      <c r="CB22" s="89"/>
      <c r="CC22" s="88"/>
      <c r="CD22" s="89"/>
      <c r="CE22" s="89"/>
      <c r="CF22" s="89"/>
      <c r="CG22" s="89"/>
      <c r="CH22" s="89"/>
      <c r="CI22" s="88"/>
      <c r="CJ22" s="89"/>
      <c r="CK22" s="89"/>
      <c r="CL22" s="89"/>
      <c r="CM22" s="89"/>
      <c r="CN22" s="89"/>
      <c r="CO22" s="88"/>
      <c r="CP22" s="89"/>
      <c r="CQ22" s="89"/>
      <c r="CR22" s="89"/>
      <c r="CS22" s="89"/>
      <c r="CT22" s="89"/>
      <c r="CU22" s="88">
        <f t="shared" si="1"/>
        <v>4961.0241000000005</v>
      </c>
      <c r="CV22" s="89">
        <v>2916.6518000000001</v>
      </c>
      <c r="CW22" s="89">
        <v>2818.7665000000002</v>
      </c>
      <c r="CX22" s="89">
        <v>97.885300000000001</v>
      </c>
      <c r="CY22" s="89">
        <v>2044.3723</v>
      </c>
      <c r="CZ22" s="89"/>
      <c r="DA22" s="88"/>
      <c r="DB22" s="89"/>
      <c r="DC22" s="89"/>
      <c r="DD22" s="89"/>
      <c r="DE22" s="89"/>
      <c r="DF22" s="89"/>
      <c r="DG22" s="88">
        <v>8760.5</v>
      </c>
      <c r="DH22" s="89">
        <v>862.4</v>
      </c>
      <c r="DI22" s="89"/>
      <c r="DJ22" s="89"/>
      <c r="DK22" s="89">
        <v>8173.7</v>
      </c>
      <c r="DL22" s="89">
        <v>275.60000000000002</v>
      </c>
      <c r="DM22" s="88"/>
      <c r="DN22" s="89"/>
      <c r="DO22" s="89"/>
      <c r="DP22" s="89"/>
      <c r="DQ22" s="89"/>
      <c r="DR22" s="89"/>
      <c r="DS22" s="88"/>
      <c r="DT22" s="89"/>
      <c r="DU22" s="89"/>
      <c r="DV22" s="89"/>
      <c r="DW22" s="89"/>
      <c r="DX22" s="89"/>
      <c r="DY22" s="88"/>
      <c r="DZ22" s="89"/>
      <c r="EA22" s="89"/>
      <c r="EB22" s="89"/>
      <c r="EC22" s="89"/>
      <c r="ED22" s="89"/>
      <c r="EE22" s="88"/>
      <c r="EF22" s="89"/>
      <c r="EG22" s="89"/>
      <c r="EH22" s="89"/>
      <c r="EI22" s="89"/>
      <c r="EJ22" s="89"/>
      <c r="EK22" s="88"/>
      <c r="EL22" s="89"/>
      <c r="EM22" s="89"/>
      <c r="EN22" s="89"/>
      <c r="EO22" s="89"/>
      <c r="EP22" s="89"/>
      <c r="EQ22" s="88"/>
      <c r="ER22" s="89"/>
      <c r="ES22" s="89"/>
      <c r="ET22" s="89"/>
      <c r="EU22" s="89"/>
      <c r="EV22" s="89"/>
      <c r="EW22" s="88"/>
      <c r="EX22" s="89"/>
      <c r="EY22" s="89"/>
      <c r="EZ22" s="89"/>
      <c r="FA22" s="89"/>
      <c r="FB22" s="89"/>
      <c r="FC22" s="88"/>
      <c r="FD22" s="89"/>
      <c r="FE22" s="89"/>
      <c r="FF22" s="89"/>
      <c r="FG22" s="89"/>
      <c r="FH22" s="89"/>
      <c r="FI22" s="88"/>
      <c r="FJ22" s="89"/>
      <c r="FK22" s="89"/>
      <c r="FL22" s="89"/>
      <c r="FM22" s="89"/>
      <c r="FN22" s="89"/>
      <c r="FO22" s="88"/>
      <c r="FP22" s="89"/>
      <c r="FQ22" s="89"/>
      <c r="FR22" s="89"/>
      <c r="FS22" s="89"/>
      <c r="FT22" s="89"/>
      <c r="FU22" s="88"/>
      <c r="FV22" s="89"/>
      <c r="FW22" s="89"/>
      <c r="FX22" s="89"/>
      <c r="FY22" s="89"/>
      <c r="FZ22" s="89"/>
      <c r="GA22" s="88"/>
      <c r="GB22" s="89"/>
      <c r="GC22" s="89"/>
      <c r="GD22" s="89"/>
      <c r="GE22" s="89"/>
      <c r="GF22" s="89"/>
      <c r="GG22" s="88"/>
      <c r="GH22" s="89"/>
      <c r="GI22" s="89"/>
      <c r="GJ22" s="89"/>
      <c r="GK22" s="89"/>
      <c r="GL22" s="89"/>
      <c r="GM22" s="88"/>
      <c r="GN22" s="89"/>
      <c r="GO22" s="89"/>
      <c r="GP22" s="89"/>
      <c r="GQ22" s="89"/>
      <c r="GR22" s="89"/>
      <c r="GS22" s="88"/>
      <c r="GT22" s="87"/>
      <c r="GU22" s="87"/>
      <c r="GV22" s="87"/>
      <c r="GW22" s="87"/>
      <c r="GX22" s="87"/>
      <c r="GY22" s="112"/>
      <c r="GZ22" s="88"/>
      <c r="HA22" s="87"/>
      <c r="HB22" s="87"/>
      <c r="HC22" s="87"/>
      <c r="HD22" s="87"/>
      <c r="HE22" s="87"/>
      <c r="HF22" s="87"/>
      <c r="HG22" s="87"/>
      <c r="HH22" s="87"/>
      <c r="HI22" s="87"/>
      <c r="HJ22" s="87"/>
      <c r="HK22" s="87"/>
      <c r="HL22" s="88"/>
      <c r="HM22" s="87"/>
      <c r="HN22" s="87"/>
      <c r="HO22" s="87"/>
      <c r="HP22" s="87"/>
      <c r="HQ22" s="87"/>
      <c r="HR22" s="87"/>
      <c r="HS22" s="87"/>
    </row>
    <row r="23" spans="1:228">
      <c r="A23" s="69"/>
      <c r="B23" s="87" t="s">
        <v>496</v>
      </c>
      <c r="C23" s="88"/>
      <c r="D23" s="87"/>
      <c r="E23" s="87"/>
      <c r="F23" s="87"/>
      <c r="G23" s="87"/>
      <c r="H23" s="87"/>
      <c r="I23" s="88">
        <v>24377.727999999996</v>
      </c>
      <c r="J23" s="89">
        <v>21207.055</v>
      </c>
      <c r="K23" s="89"/>
      <c r="L23" s="89"/>
      <c r="M23" s="89">
        <v>19530.577000000001</v>
      </c>
      <c r="N23" s="89">
        <v>-16359.904</v>
      </c>
      <c r="O23" s="90"/>
      <c r="P23" s="91"/>
      <c r="Q23" s="91"/>
      <c r="R23" s="91"/>
      <c r="S23" s="91"/>
      <c r="T23" s="91"/>
      <c r="U23" s="90"/>
      <c r="V23" s="91"/>
      <c r="W23" s="91"/>
      <c r="X23" s="91"/>
      <c r="Y23" s="91"/>
      <c r="Z23" s="91"/>
      <c r="AA23" s="88">
        <v>322.30200000000002</v>
      </c>
      <c r="AB23" s="89">
        <f t="shared" si="0"/>
        <v>14.12</v>
      </c>
      <c r="AC23" s="89">
        <v>-8.2000000000000003E-2</v>
      </c>
      <c r="AD23" s="89">
        <v>14.202</v>
      </c>
      <c r="AE23" s="89">
        <v>308.18200000000002</v>
      </c>
      <c r="AF23" s="89"/>
      <c r="AG23" s="88"/>
      <c r="AH23" s="89"/>
      <c r="AI23" s="89"/>
      <c r="AJ23" s="89"/>
      <c r="AK23" s="89"/>
      <c r="AL23" s="89"/>
      <c r="AM23" s="88"/>
      <c r="AN23" s="89"/>
      <c r="AO23" s="89"/>
      <c r="AP23" s="89"/>
      <c r="AQ23" s="89"/>
      <c r="AR23" s="89"/>
      <c r="AS23" s="88"/>
      <c r="AT23" s="89"/>
      <c r="AU23" s="89"/>
      <c r="AV23" s="89"/>
      <c r="AW23" s="89"/>
      <c r="AX23" s="89"/>
      <c r="AY23" s="88"/>
      <c r="AZ23" s="89"/>
      <c r="BA23" s="89"/>
      <c r="BB23" s="89"/>
      <c r="BC23" s="89"/>
      <c r="BD23" s="89"/>
      <c r="BE23" s="88"/>
      <c r="BF23" s="89"/>
      <c r="BG23" s="89"/>
      <c r="BH23" s="89"/>
      <c r="BI23" s="89"/>
      <c r="BJ23" s="89"/>
      <c r="BK23" s="88"/>
      <c r="BL23" s="89"/>
      <c r="BM23" s="89"/>
      <c r="BN23" s="89"/>
      <c r="BO23" s="89"/>
      <c r="BP23" s="89"/>
      <c r="BQ23" s="88"/>
      <c r="BR23" s="89"/>
      <c r="BS23" s="89"/>
      <c r="BT23" s="89"/>
      <c r="BU23" s="89"/>
      <c r="BV23" s="89"/>
      <c r="BW23" s="88"/>
      <c r="BX23" s="89"/>
      <c r="BY23" s="89"/>
      <c r="BZ23" s="89"/>
      <c r="CA23" s="89"/>
      <c r="CB23" s="89"/>
      <c r="CC23" s="88"/>
      <c r="CD23" s="89"/>
      <c r="CE23" s="89"/>
      <c r="CF23" s="89"/>
      <c r="CG23" s="89"/>
      <c r="CH23" s="89"/>
      <c r="CI23" s="88"/>
      <c r="CJ23" s="89"/>
      <c r="CK23" s="89"/>
      <c r="CL23" s="89"/>
      <c r="CM23" s="89"/>
      <c r="CN23" s="89"/>
      <c r="CO23" s="88"/>
      <c r="CP23" s="89"/>
      <c r="CQ23" s="89"/>
      <c r="CR23" s="89"/>
      <c r="CS23" s="89"/>
      <c r="CT23" s="89"/>
      <c r="CU23" s="88">
        <f t="shared" si="1"/>
        <v>4970.5338000000002</v>
      </c>
      <c r="CV23" s="89">
        <v>2890.8991999999998</v>
      </c>
      <c r="CW23" s="89">
        <v>2817.7175999999999</v>
      </c>
      <c r="CX23" s="89">
        <v>73.181600000000003</v>
      </c>
      <c r="CY23" s="89">
        <v>2079.6346000000003</v>
      </c>
      <c r="CZ23" s="89"/>
      <c r="DA23" s="88"/>
      <c r="DB23" s="89"/>
      <c r="DC23" s="89"/>
      <c r="DD23" s="89"/>
      <c r="DE23" s="89"/>
      <c r="DF23" s="89"/>
      <c r="DG23" s="88">
        <v>9140.1</v>
      </c>
      <c r="DH23" s="89">
        <v>1000.4</v>
      </c>
      <c r="DI23" s="89"/>
      <c r="DJ23" s="89"/>
      <c r="DK23" s="89">
        <v>8319.5</v>
      </c>
      <c r="DL23" s="89">
        <v>179.8</v>
      </c>
      <c r="DM23" s="88"/>
      <c r="DN23" s="89"/>
      <c r="DO23" s="89"/>
      <c r="DP23" s="89"/>
      <c r="DQ23" s="89"/>
      <c r="DR23" s="89"/>
      <c r="DS23" s="88"/>
      <c r="DT23" s="89"/>
      <c r="DU23" s="89"/>
      <c r="DV23" s="89"/>
      <c r="DW23" s="89"/>
      <c r="DX23" s="89"/>
      <c r="DY23" s="88"/>
      <c r="DZ23" s="89"/>
      <c r="EA23" s="89"/>
      <c r="EB23" s="89"/>
      <c r="EC23" s="89"/>
      <c r="ED23" s="89"/>
      <c r="EE23" s="88"/>
      <c r="EF23" s="89"/>
      <c r="EG23" s="89"/>
      <c r="EH23" s="89"/>
      <c r="EI23" s="89"/>
      <c r="EJ23" s="89"/>
      <c r="EK23" s="88"/>
      <c r="EL23" s="89"/>
      <c r="EM23" s="89"/>
      <c r="EN23" s="89"/>
      <c r="EO23" s="89"/>
      <c r="EP23" s="89"/>
      <c r="EQ23" s="88"/>
      <c r="ER23" s="89"/>
      <c r="ES23" s="89"/>
      <c r="ET23" s="89"/>
      <c r="EU23" s="89"/>
      <c r="EV23" s="89"/>
      <c r="EW23" s="88"/>
      <c r="EX23" s="89"/>
      <c r="EY23" s="89"/>
      <c r="EZ23" s="89"/>
      <c r="FA23" s="89"/>
      <c r="FB23" s="89"/>
      <c r="FC23" s="88"/>
      <c r="FD23" s="89"/>
      <c r="FE23" s="89"/>
      <c r="FF23" s="89"/>
      <c r="FG23" s="89"/>
      <c r="FH23" s="89"/>
      <c r="FI23" s="88"/>
      <c r="FJ23" s="89"/>
      <c r="FK23" s="89"/>
      <c r="FL23" s="89"/>
      <c r="FM23" s="89"/>
      <c r="FN23" s="89"/>
      <c r="FO23" s="88"/>
      <c r="FP23" s="89"/>
      <c r="FQ23" s="89"/>
      <c r="FR23" s="89"/>
      <c r="FS23" s="89"/>
      <c r="FT23" s="89"/>
      <c r="FU23" s="88"/>
      <c r="FV23" s="89"/>
      <c r="FW23" s="89"/>
      <c r="FX23" s="89"/>
      <c r="FY23" s="89"/>
      <c r="FZ23" s="89"/>
      <c r="GA23" s="88"/>
      <c r="GB23" s="89"/>
      <c r="GC23" s="89"/>
      <c r="GD23" s="89"/>
      <c r="GE23" s="89"/>
      <c r="GF23" s="89"/>
      <c r="GG23" s="88"/>
      <c r="GH23" s="89"/>
      <c r="GI23" s="89"/>
      <c r="GJ23" s="89"/>
      <c r="GK23" s="89"/>
      <c r="GL23" s="89"/>
      <c r="GM23" s="88"/>
      <c r="GN23" s="89"/>
      <c r="GO23" s="89"/>
      <c r="GP23" s="89"/>
      <c r="GQ23" s="89"/>
      <c r="GR23" s="89"/>
      <c r="GS23" s="88"/>
      <c r="GT23" s="87"/>
      <c r="GU23" s="87"/>
      <c r="GV23" s="87"/>
      <c r="GW23" s="87"/>
      <c r="GX23" s="87"/>
      <c r="GY23" s="113"/>
      <c r="GZ23" s="88"/>
      <c r="HA23" s="87"/>
      <c r="HB23" s="87"/>
      <c r="HC23" s="87"/>
      <c r="HD23" s="87"/>
      <c r="HE23" s="87"/>
      <c r="HF23" s="87"/>
      <c r="HG23" s="87"/>
      <c r="HH23" s="87"/>
      <c r="HI23" s="87"/>
      <c r="HJ23" s="87"/>
      <c r="HK23" s="87"/>
      <c r="HL23" s="88"/>
      <c r="HM23" s="87"/>
      <c r="HN23" s="87"/>
      <c r="HO23" s="87"/>
      <c r="HP23" s="87"/>
      <c r="HQ23" s="87"/>
      <c r="HR23" s="87"/>
      <c r="HS23" s="87"/>
    </row>
    <row r="24" spans="1:228">
      <c r="A24" s="69"/>
      <c r="B24" s="87" t="s">
        <v>497</v>
      </c>
      <c r="C24" s="88"/>
      <c r="D24" s="87"/>
      <c r="E24" s="87"/>
      <c r="F24" s="87"/>
      <c r="G24" s="87"/>
      <c r="H24" s="87"/>
      <c r="I24" s="88">
        <v>24636.874</v>
      </c>
      <c r="J24" s="89">
        <v>21137.401000000002</v>
      </c>
      <c r="K24" s="89"/>
      <c r="L24" s="91"/>
      <c r="M24" s="91">
        <v>20296.538</v>
      </c>
      <c r="N24" s="91">
        <v>-16797.064999999999</v>
      </c>
      <c r="O24" s="90"/>
      <c r="P24" s="91"/>
      <c r="Q24" s="91"/>
      <c r="R24" s="91"/>
      <c r="S24" s="91"/>
      <c r="T24" s="91"/>
      <c r="U24" s="90"/>
      <c r="V24" s="91"/>
      <c r="W24" s="91"/>
      <c r="X24" s="91"/>
      <c r="Y24" s="91"/>
      <c r="Z24" s="91"/>
      <c r="AA24" s="88">
        <v>332.89299999999997</v>
      </c>
      <c r="AB24" s="89">
        <f t="shared" si="0"/>
        <v>18.433999999999997</v>
      </c>
      <c r="AC24" s="89">
        <v>4.4939999999999998</v>
      </c>
      <c r="AD24" s="89">
        <v>13.94</v>
      </c>
      <c r="AE24" s="89">
        <v>314.459</v>
      </c>
      <c r="AF24" s="89"/>
      <c r="AG24" s="88"/>
      <c r="AH24" s="89"/>
      <c r="AI24" s="89"/>
      <c r="AJ24" s="89"/>
      <c r="AK24" s="89"/>
      <c r="AL24" s="89"/>
      <c r="AM24" s="88"/>
      <c r="AN24" s="89"/>
      <c r="AO24" s="89"/>
      <c r="AP24" s="89"/>
      <c r="AQ24" s="89"/>
      <c r="AR24" s="89"/>
      <c r="AS24" s="88"/>
      <c r="AT24" s="89"/>
      <c r="AU24" s="89"/>
      <c r="AV24" s="89"/>
      <c r="AW24" s="89"/>
      <c r="AX24" s="89"/>
      <c r="AY24" s="88"/>
      <c r="AZ24" s="89"/>
      <c r="BA24" s="89"/>
      <c r="BB24" s="89"/>
      <c r="BC24" s="89"/>
      <c r="BD24" s="89"/>
      <c r="BE24" s="88"/>
      <c r="BF24" s="89"/>
      <c r="BG24" s="89"/>
      <c r="BH24" s="89"/>
      <c r="BI24" s="89"/>
      <c r="BJ24" s="89"/>
      <c r="BK24" s="88"/>
      <c r="BL24" s="89"/>
      <c r="BM24" s="89"/>
      <c r="BN24" s="89"/>
      <c r="BO24" s="89"/>
      <c r="BP24" s="89"/>
      <c r="BQ24" s="88"/>
      <c r="BR24" s="89"/>
      <c r="BS24" s="89"/>
      <c r="BT24" s="89"/>
      <c r="BU24" s="89"/>
      <c r="BV24" s="89"/>
      <c r="BW24" s="88"/>
      <c r="BX24" s="89"/>
      <c r="BY24" s="89"/>
      <c r="BZ24" s="89"/>
      <c r="CA24" s="89"/>
      <c r="CB24" s="89"/>
      <c r="CC24" s="88"/>
      <c r="CD24" s="89"/>
      <c r="CE24" s="89"/>
      <c r="CF24" s="89"/>
      <c r="CG24" s="89"/>
      <c r="CH24" s="89"/>
      <c r="CI24" s="88"/>
      <c r="CJ24" s="89"/>
      <c r="CK24" s="89"/>
      <c r="CL24" s="89"/>
      <c r="CM24" s="89"/>
      <c r="CN24" s="89"/>
      <c r="CO24" s="88"/>
      <c r="CP24" s="89"/>
      <c r="CQ24" s="89"/>
      <c r="CR24" s="89"/>
      <c r="CS24" s="89"/>
      <c r="CT24" s="89"/>
      <c r="CU24" s="88">
        <f t="shared" si="1"/>
        <v>5028.9256700000005</v>
      </c>
      <c r="CV24" s="89">
        <v>2855.2067999999999</v>
      </c>
      <c r="CW24" s="89">
        <v>2812.3842999999997</v>
      </c>
      <c r="CX24" s="89">
        <v>42.822500000000005</v>
      </c>
      <c r="CY24" s="89">
        <v>2173.7188700000002</v>
      </c>
      <c r="CZ24" s="89"/>
      <c r="DA24" s="88"/>
      <c r="DB24" s="89"/>
      <c r="DC24" s="89"/>
      <c r="DD24" s="89"/>
      <c r="DE24" s="89"/>
      <c r="DF24" s="89"/>
      <c r="DG24" s="88">
        <v>9211.7999999999993</v>
      </c>
      <c r="DH24" s="89">
        <v>682.7</v>
      </c>
      <c r="DI24" s="89"/>
      <c r="DJ24" s="89"/>
      <c r="DK24" s="89">
        <v>8653.2999999999993</v>
      </c>
      <c r="DL24" s="89">
        <v>124.2</v>
      </c>
      <c r="DM24" s="88"/>
      <c r="DN24" s="89"/>
      <c r="DO24" s="89"/>
      <c r="DP24" s="89"/>
      <c r="DQ24" s="89"/>
      <c r="DR24" s="89"/>
      <c r="DS24" s="88"/>
      <c r="DT24" s="89"/>
      <c r="DU24" s="89"/>
      <c r="DV24" s="89"/>
      <c r="DW24" s="89"/>
      <c r="DX24" s="89"/>
      <c r="DY24" s="88"/>
      <c r="DZ24" s="89"/>
      <c r="EA24" s="89"/>
      <c r="EB24" s="89"/>
      <c r="EC24" s="89"/>
      <c r="ED24" s="89"/>
      <c r="EE24" s="88"/>
      <c r="EF24" s="89"/>
      <c r="EG24" s="89"/>
      <c r="EH24" s="89"/>
      <c r="EI24" s="89"/>
      <c r="EJ24" s="89"/>
      <c r="EK24" s="88"/>
      <c r="EL24" s="89"/>
      <c r="EM24" s="89"/>
      <c r="EN24" s="89"/>
      <c r="EO24" s="89"/>
      <c r="EP24" s="89"/>
      <c r="EQ24" s="88"/>
      <c r="ER24" s="89"/>
      <c r="ES24" s="89"/>
      <c r="ET24" s="89"/>
      <c r="EU24" s="89"/>
      <c r="EV24" s="89"/>
      <c r="EW24" s="88"/>
      <c r="EX24" s="89"/>
      <c r="EY24" s="89"/>
      <c r="EZ24" s="89"/>
      <c r="FA24" s="89"/>
      <c r="FB24" s="89"/>
      <c r="FC24" s="88"/>
      <c r="FD24" s="89"/>
      <c r="FE24" s="89"/>
      <c r="FF24" s="89"/>
      <c r="FG24" s="89"/>
      <c r="FH24" s="89"/>
      <c r="FI24" s="88"/>
      <c r="FJ24" s="89"/>
      <c r="FK24" s="89"/>
      <c r="FL24" s="89"/>
      <c r="FM24" s="89"/>
      <c r="FN24" s="89"/>
      <c r="FO24" s="88"/>
      <c r="FP24" s="89"/>
      <c r="FQ24" s="89"/>
      <c r="FR24" s="89"/>
      <c r="FS24" s="89"/>
      <c r="FT24" s="89"/>
      <c r="FU24" s="88"/>
      <c r="FV24" s="89"/>
      <c r="FW24" s="89"/>
      <c r="FX24" s="89"/>
      <c r="FY24" s="89"/>
      <c r="FZ24" s="89"/>
      <c r="GA24" s="88"/>
      <c r="GB24" s="89"/>
      <c r="GC24" s="89"/>
      <c r="GD24" s="89"/>
      <c r="GE24" s="89"/>
      <c r="GF24" s="89"/>
      <c r="GG24" s="88"/>
      <c r="GH24" s="89"/>
      <c r="GI24" s="89"/>
      <c r="GJ24" s="89"/>
      <c r="GK24" s="89"/>
      <c r="GL24" s="89"/>
      <c r="GM24" s="88"/>
      <c r="GN24" s="89"/>
      <c r="GO24" s="89"/>
      <c r="GP24" s="89"/>
      <c r="GQ24" s="89"/>
      <c r="GR24" s="89"/>
      <c r="GS24" s="88"/>
      <c r="GT24" s="87"/>
      <c r="GU24" s="87"/>
      <c r="GV24" s="87"/>
      <c r="GW24" s="87"/>
      <c r="GX24" s="87"/>
      <c r="GY24" s="113"/>
      <c r="GZ24" s="88"/>
      <c r="HA24" s="87"/>
      <c r="HB24" s="87"/>
      <c r="HC24" s="87"/>
      <c r="HD24" s="87"/>
      <c r="HE24" s="87"/>
      <c r="HF24" s="87"/>
      <c r="HG24" s="87"/>
      <c r="HH24" s="87"/>
      <c r="HI24" s="87"/>
      <c r="HJ24" s="87"/>
      <c r="HK24" s="87"/>
      <c r="HL24" s="88"/>
      <c r="HM24" s="87"/>
      <c r="HN24" s="87"/>
      <c r="HO24" s="87"/>
      <c r="HP24" s="87"/>
      <c r="HQ24" s="87"/>
      <c r="HR24" s="87"/>
      <c r="HS24" s="87"/>
    </row>
    <row r="25" spans="1:228">
      <c r="A25" s="69"/>
      <c r="B25" s="87" t="s">
        <v>498</v>
      </c>
      <c r="C25" s="88"/>
      <c r="D25" s="87"/>
      <c r="E25" s="87"/>
      <c r="F25" s="87"/>
      <c r="G25" s="87"/>
      <c r="H25" s="87"/>
      <c r="I25" s="88">
        <v>25684.771000000001</v>
      </c>
      <c r="J25" s="89">
        <v>21183.594000000001</v>
      </c>
      <c r="K25" s="89"/>
      <c r="L25" s="89"/>
      <c r="M25" s="89">
        <v>21001.197999999997</v>
      </c>
      <c r="N25" s="89">
        <v>-16500.021000000001</v>
      </c>
      <c r="O25" s="90"/>
      <c r="P25" s="91"/>
      <c r="Q25" s="91"/>
      <c r="R25" s="91"/>
      <c r="S25" s="91"/>
      <c r="T25" s="91"/>
      <c r="U25" s="90"/>
      <c r="V25" s="91"/>
      <c r="W25" s="91"/>
      <c r="X25" s="91"/>
      <c r="Y25" s="91"/>
      <c r="Z25" s="91"/>
      <c r="AA25" s="88">
        <v>347.137</v>
      </c>
      <c r="AB25" s="89">
        <f t="shared" si="0"/>
        <v>20.603000000000002</v>
      </c>
      <c r="AC25" s="89">
        <v>6.87</v>
      </c>
      <c r="AD25" s="89">
        <v>13.733000000000001</v>
      </c>
      <c r="AE25" s="89">
        <v>326.53399999999999</v>
      </c>
      <c r="AF25" s="89"/>
      <c r="AG25" s="88"/>
      <c r="AH25" s="89"/>
      <c r="AI25" s="89"/>
      <c r="AJ25" s="89"/>
      <c r="AK25" s="89"/>
      <c r="AL25" s="89"/>
      <c r="AM25" s="88"/>
      <c r="AN25" s="89"/>
      <c r="AO25" s="89"/>
      <c r="AP25" s="89"/>
      <c r="AQ25" s="89"/>
      <c r="AR25" s="89"/>
      <c r="AS25" s="88"/>
      <c r="AT25" s="89"/>
      <c r="AU25" s="89"/>
      <c r="AV25" s="89"/>
      <c r="AW25" s="89"/>
      <c r="AX25" s="89"/>
      <c r="AY25" s="88"/>
      <c r="AZ25" s="89"/>
      <c r="BA25" s="89"/>
      <c r="BB25" s="89"/>
      <c r="BC25" s="89"/>
      <c r="BD25" s="89"/>
      <c r="BE25" s="88"/>
      <c r="BF25" s="89"/>
      <c r="BG25" s="89"/>
      <c r="BH25" s="89"/>
      <c r="BI25" s="89"/>
      <c r="BJ25" s="89"/>
      <c r="BK25" s="88"/>
      <c r="BL25" s="89"/>
      <c r="BM25" s="89"/>
      <c r="BN25" s="89"/>
      <c r="BO25" s="89"/>
      <c r="BP25" s="89"/>
      <c r="BQ25" s="88"/>
      <c r="BR25" s="89"/>
      <c r="BS25" s="89"/>
      <c r="BT25" s="89"/>
      <c r="BU25" s="89"/>
      <c r="BV25" s="89"/>
      <c r="BW25" s="88"/>
      <c r="BX25" s="89"/>
      <c r="BY25" s="89"/>
      <c r="BZ25" s="89"/>
      <c r="CA25" s="89"/>
      <c r="CB25" s="89"/>
      <c r="CC25" s="88"/>
      <c r="CD25" s="89"/>
      <c r="CE25" s="89"/>
      <c r="CF25" s="89"/>
      <c r="CG25" s="89"/>
      <c r="CH25" s="89"/>
      <c r="CI25" s="88"/>
      <c r="CJ25" s="89"/>
      <c r="CK25" s="89"/>
      <c r="CL25" s="89"/>
      <c r="CM25" s="89"/>
      <c r="CN25" s="89"/>
      <c r="CO25" s="88"/>
      <c r="CP25" s="89"/>
      <c r="CQ25" s="89"/>
      <c r="CR25" s="89"/>
      <c r="CS25" s="89"/>
      <c r="CT25" s="89"/>
      <c r="CU25" s="88">
        <f t="shared" si="1"/>
        <v>5113.0687099999996</v>
      </c>
      <c r="CV25" s="89">
        <v>2911.8960999999995</v>
      </c>
      <c r="CW25" s="89">
        <v>2849.6717999999996</v>
      </c>
      <c r="CX25" s="89">
        <v>62.224299999999999</v>
      </c>
      <c r="CY25" s="89">
        <v>2201.1726100000005</v>
      </c>
      <c r="CZ25" s="89"/>
      <c r="DA25" s="88"/>
      <c r="DB25" s="89"/>
      <c r="DC25" s="89"/>
      <c r="DD25" s="89"/>
      <c r="DE25" s="89"/>
      <c r="DF25" s="89"/>
      <c r="DG25" s="88">
        <v>10008.6</v>
      </c>
      <c r="DH25" s="89">
        <v>934.3</v>
      </c>
      <c r="DI25" s="89"/>
      <c r="DJ25" s="89"/>
      <c r="DK25" s="89">
        <v>9121.1</v>
      </c>
      <c r="DL25" s="89">
        <v>46.8</v>
      </c>
      <c r="DM25" s="88"/>
      <c r="DN25" s="89"/>
      <c r="DO25" s="89"/>
      <c r="DP25" s="89"/>
      <c r="DQ25" s="89"/>
      <c r="DR25" s="89"/>
      <c r="DS25" s="88"/>
      <c r="DT25" s="89"/>
      <c r="DU25" s="89"/>
      <c r="DV25" s="89"/>
      <c r="DW25" s="89"/>
      <c r="DX25" s="89"/>
      <c r="DY25" s="88"/>
      <c r="DZ25" s="89"/>
      <c r="EA25" s="89"/>
      <c r="EB25" s="89"/>
      <c r="EC25" s="89"/>
      <c r="ED25" s="89"/>
      <c r="EE25" s="88"/>
      <c r="EF25" s="89"/>
      <c r="EG25" s="89"/>
      <c r="EH25" s="89"/>
      <c r="EI25" s="89"/>
      <c r="EJ25" s="89"/>
      <c r="EK25" s="88"/>
      <c r="EL25" s="89"/>
      <c r="EM25" s="89"/>
      <c r="EN25" s="89"/>
      <c r="EO25" s="89"/>
      <c r="EP25" s="89"/>
      <c r="EQ25" s="88"/>
      <c r="ER25" s="89"/>
      <c r="ES25" s="89"/>
      <c r="ET25" s="89"/>
      <c r="EU25" s="89"/>
      <c r="EV25" s="89"/>
      <c r="EW25" s="88"/>
      <c r="EX25" s="89"/>
      <c r="EY25" s="89"/>
      <c r="EZ25" s="89"/>
      <c r="FA25" s="89"/>
      <c r="FB25" s="89"/>
      <c r="FC25" s="88"/>
      <c r="FD25" s="89"/>
      <c r="FE25" s="89"/>
      <c r="FF25" s="89"/>
      <c r="FG25" s="89"/>
      <c r="FH25" s="89"/>
      <c r="FI25" s="88"/>
      <c r="FJ25" s="89"/>
      <c r="FK25" s="89"/>
      <c r="FL25" s="89"/>
      <c r="FM25" s="89"/>
      <c r="FN25" s="89"/>
      <c r="FO25" s="88"/>
      <c r="FP25" s="89"/>
      <c r="FQ25" s="89"/>
      <c r="FR25" s="89"/>
      <c r="FS25" s="89"/>
      <c r="FT25" s="89"/>
      <c r="FU25" s="88"/>
      <c r="FV25" s="89"/>
      <c r="FW25" s="89"/>
      <c r="FX25" s="89"/>
      <c r="FY25" s="89"/>
      <c r="FZ25" s="89"/>
      <c r="GA25" s="88"/>
      <c r="GB25" s="89"/>
      <c r="GC25" s="89"/>
      <c r="GD25" s="89"/>
      <c r="GE25" s="89"/>
      <c r="GF25" s="89"/>
      <c r="GG25" s="88"/>
      <c r="GH25" s="89"/>
      <c r="GI25" s="89"/>
      <c r="GJ25" s="89"/>
      <c r="GK25" s="89"/>
      <c r="GL25" s="89"/>
      <c r="GM25" s="88"/>
      <c r="GN25" s="89"/>
      <c r="GO25" s="89"/>
      <c r="GP25" s="89"/>
      <c r="GQ25" s="89"/>
      <c r="GR25" s="89"/>
      <c r="GS25" s="88"/>
      <c r="GT25" s="87"/>
      <c r="GU25" s="87"/>
      <c r="GV25" s="87"/>
      <c r="GW25" s="87"/>
      <c r="GX25" s="87"/>
      <c r="GY25" s="113"/>
      <c r="GZ25" s="88"/>
      <c r="HA25" s="87"/>
      <c r="HB25" s="87"/>
      <c r="HC25" s="87"/>
      <c r="HD25" s="87"/>
      <c r="HE25" s="87"/>
      <c r="HF25" s="87"/>
      <c r="HG25" s="87"/>
      <c r="HH25" s="87"/>
      <c r="HI25" s="87"/>
      <c r="HJ25" s="87"/>
      <c r="HK25" s="87"/>
      <c r="HL25" s="88"/>
      <c r="HM25" s="87"/>
      <c r="HN25" s="87"/>
      <c r="HO25" s="87"/>
      <c r="HP25" s="87"/>
      <c r="HQ25" s="87"/>
      <c r="HR25" s="87"/>
      <c r="HS25" s="87"/>
    </row>
    <row r="26" spans="1:228">
      <c r="A26" s="69"/>
      <c r="B26" s="87" t="s">
        <v>499</v>
      </c>
      <c r="C26" s="88"/>
      <c r="D26" s="87"/>
      <c r="E26" s="87"/>
      <c r="F26" s="87"/>
      <c r="G26" s="87"/>
      <c r="H26" s="87"/>
      <c r="I26" s="88">
        <v>26293.549000000003</v>
      </c>
      <c r="J26" s="89">
        <v>21214.519</v>
      </c>
      <c r="K26" s="89"/>
      <c r="L26" s="89"/>
      <c r="M26" s="89">
        <v>21546.188000000002</v>
      </c>
      <c r="N26" s="89">
        <v>-16467.157999999999</v>
      </c>
      <c r="O26" s="90"/>
      <c r="P26" s="91"/>
      <c r="Q26" s="91"/>
      <c r="R26" s="91"/>
      <c r="S26" s="91"/>
      <c r="T26" s="91"/>
      <c r="U26" s="90"/>
      <c r="V26" s="91"/>
      <c r="W26" s="91"/>
      <c r="X26" s="91"/>
      <c r="Y26" s="91"/>
      <c r="Z26" s="91"/>
      <c r="AA26" s="88">
        <v>354.71300000000002</v>
      </c>
      <c r="AB26" s="89">
        <f t="shared" si="0"/>
        <v>26.825000000000003</v>
      </c>
      <c r="AC26" s="89">
        <v>8.6270000000000007</v>
      </c>
      <c r="AD26" s="89">
        <v>18.198</v>
      </c>
      <c r="AE26" s="89">
        <v>327.88799999999998</v>
      </c>
      <c r="AF26" s="89"/>
      <c r="AG26" s="88"/>
      <c r="AH26" s="89"/>
      <c r="AI26" s="89"/>
      <c r="AJ26" s="89"/>
      <c r="AK26" s="89"/>
      <c r="AL26" s="89"/>
      <c r="AM26" s="88"/>
      <c r="AN26" s="89"/>
      <c r="AO26" s="89"/>
      <c r="AP26" s="89"/>
      <c r="AQ26" s="89"/>
      <c r="AR26" s="89"/>
      <c r="AS26" s="88"/>
      <c r="AT26" s="89"/>
      <c r="AU26" s="89"/>
      <c r="AV26" s="89"/>
      <c r="AW26" s="89"/>
      <c r="AX26" s="89"/>
      <c r="AY26" s="88"/>
      <c r="AZ26" s="89"/>
      <c r="BA26" s="89"/>
      <c r="BB26" s="89"/>
      <c r="BC26" s="89"/>
      <c r="BD26" s="89"/>
      <c r="BE26" s="88"/>
      <c r="BF26" s="89"/>
      <c r="BG26" s="89"/>
      <c r="BH26" s="89"/>
      <c r="BI26" s="89"/>
      <c r="BJ26" s="89"/>
      <c r="BK26" s="88"/>
      <c r="BL26" s="89"/>
      <c r="BM26" s="89"/>
      <c r="BN26" s="89"/>
      <c r="BO26" s="89"/>
      <c r="BP26" s="89"/>
      <c r="BQ26" s="88"/>
      <c r="BR26" s="89"/>
      <c r="BS26" s="89"/>
      <c r="BT26" s="89"/>
      <c r="BU26" s="89"/>
      <c r="BV26" s="89"/>
      <c r="BW26" s="88"/>
      <c r="BX26" s="89"/>
      <c r="BY26" s="89"/>
      <c r="BZ26" s="89"/>
      <c r="CA26" s="89"/>
      <c r="CB26" s="89"/>
      <c r="CC26" s="88"/>
      <c r="CD26" s="89"/>
      <c r="CE26" s="89"/>
      <c r="CF26" s="89"/>
      <c r="CG26" s="89"/>
      <c r="CH26" s="89"/>
      <c r="CI26" s="88"/>
      <c r="CJ26" s="89"/>
      <c r="CK26" s="89"/>
      <c r="CL26" s="89"/>
      <c r="CM26" s="89"/>
      <c r="CN26" s="89"/>
      <c r="CO26" s="88"/>
      <c r="CP26" s="89"/>
      <c r="CQ26" s="89"/>
      <c r="CR26" s="89"/>
      <c r="CS26" s="89"/>
      <c r="CT26" s="89"/>
      <c r="CU26" s="88">
        <f t="shared" si="1"/>
        <v>5193.1174700000001</v>
      </c>
      <c r="CV26" s="89">
        <v>2983.6342</v>
      </c>
      <c r="CW26" s="89">
        <v>2893.355</v>
      </c>
      <c r="CX26" s="89">
        <v>90.279200000000003</v>
      </c>
      <c r="CY26" s="89">
        <v>2209.4832700000002</v>
      </c>
      <c r="CZ26" s="89"/>
      <c r="DA26" s="88"/>
      <c r="DB26" s="89"/>
      <c r="DC26" s="89"/>
      <c r="DD26" s="89"/>
      <c r="DE26" s="89"/>
      <c r="DF26" s="89"/>
      <c r="DG26" s="88">
        <v>10477.4</v>
      </c>
      <c r="DH26" s="89">
        <v>985.3</v>
      </c>
      <c r="DI26" s="89"/>
      <c r="DJ26" s="89"/>
      <c r="DK26" s="89">
        <v>9689.7999999999993</v>
      </c>
      <c r="DL26" s="89">
        <v>197.7</v>
      </c>
      <c r="DM26" s="88"/>
      <c r="DN26" s="89"/>
      <c r="DO26" s="89"/>
      <c r="DP26" s="89"/>
      <c r="DQ26" s="89"/>
      <c r="DR26" s="89"/>
      <c r="DS26" s="88"/>
      <c r="DT26" s="89"/>
      <c r="DU26" s="89"/>
      <c r="DV26" s="89"/>
      <c r="DW26" s="89"/>
      <c r="DX26" s="89"/>
      <c r="DY26" s="88"/>
      <c r="DZ26" s="89"/>
      <c r="EA26" s="89"/>
      <c r="EB26" s="89"/>
      <c r="EC26" s="89"/>
      <c r="ED26" s="89"/>
      <c r="EE26" s="88"/>
      <c r="EF26" s="89"/>
      <c r="EG26" s="89"/>
      <c r="EH26" s="89"/>
      <c r="EI26" s="89"/>
      <c r="EJ26" s="89"/>
      <c r="EK26" s="88"/>
      <c r="EL26" s="89"/>
      <c r="EM26" s="89"/>
      <c r="EN26" s="89"/>
      <c r="EO26" s="89"/>
      <c r="EP26" s="101"/>
      <c r="EQ26" s="88"/>
      <c r="ER26" s="89"/>
      <c r="ES26" s="89"/>
      <c r="ET26" s="89"/>
      <c r="EU26" s="89"/>
      <c r="EV26" s="89"/>
      <c r="EW26" s="88"/>
      <c r="EX26" s="89"/>
      <c r="EY26" s="89"/>
      <c r="EZ26" s="89"/>
      <c r="FA26" s="89"/>
      <c r="FB26" s="89"/>
      <c r="FC26" s="88"/>
      <c r="FD26" s="89"/>
      <c r="FE26" s="89"/>
      <c r="FF26" s="89"/>
      <c r="FG26" s="89"/>
      <c r="FH26" s="89"/>
      <c r="FI26" s="88"/>
      <c r="FJ26" s="89"/>
      <c r="FK26" s="89"/>
      <c r="FL26" s="89"/>
      <c r="FM26" s="89"/>
      <c r="FN26" s="89"/>
      <c r="FO26" s="88"/>
      <c r="FP26" s="89"/>
      <c r="FQ26" s="89"/>
      <c r="FR26" s="89"/>
      <c r="FS26" s="89"/>
      <c r="FT26" s="89"/>
      <c r="FU26" s="88"/>
      <c r="FV26" s="89"/>
      <c r="FW26" s="89"/>
      <c r="FX26" s="89"/>
      <c r="FY26" s="89"/>
      <c r="FZ26" s="89"/>
      <c r="GA26" s="88"/>
      <c r="GB26" s="89"/>
      <c r="GC26" s="89"/>
      <c r="GD26" s="89"/>
      <c r="GE26" s="89"/>
      <c r="GF26" s="89"/>
      <c r="GG26" s="88"/>
      <c r="GH26" s="89"/>
      <c r="GI26" s="89"/>
      <c r="GJ26" s="89"/>
      <c r="GK26" s="89"/>
      <c r="GL26" s="89"/>
      <c r="GM26" s="88"/>
      <c r="GN26" s="89"/>
      <c r="GO26" s="89"/>
      <c r="GP26" s="89"/>
      <c r="GQ26" s="89"/>
      <c r="GR26" s="89"/>
      <c r="GS26" s="88"/>
      <c r="GT26" s="87"/>
      <c r="GU26" s="87"/>
      <c r="GV26" s="87"/>
      <c r="GW26" s="87"/>
      <c r="GX26" s="87"/>
      <c r="GY26" s="113"/>
      <c r="GZ26" s="88"/>
      <c r="HA26" s="87"/>
      <c r="HB26" s="87"/>
      <c r="HC26" s="87"/>
      <c r="HD26" s="87"/>
      <c r="HE26" s="87"/>
      <c r="HF26" s="87"/>
      <c r="HG26" s="87"/>
      <c r="HH26" s="87"/>
      <c r="HI26" s="87"/>
      <c r="HJ26" s="87"/>
      <c r="HK26" s="87"/>
      <c r="HL26" s="88"/>
      <c r="HM26" s="87"/>
      <c r="HN26" s="87"/>
      <c r="HO26" s="87"/>
      <c r="HP26" s="87"/>
      <c r="HQ26" s="87"/>
      <c r="HR26" s="87"/>
      <c r="HS26" s="87"/>
    </row>
    <row r="27" spans="1:228" ht="12" thickBot="1">
      <c r="A27" s="102"/>
      <c r="B27" s="103" t="s">
        <v>500</v>
      </c>
      <c r="C27" s="104"/>
      <c r="D27" s="105"/>
      <c r="E27" s="105"/>
      <c r="F27" s="105"/>
      <c r="G27" s="105"/>
      <c r="H27" s="105"/>
      <c r="I27" s="104">
        <v>27311.474999999999</v>
      </c>
      <c r="J27" s="105">
        <v>21162.94</v>
      </c>
      <c r="K27" s="105"/>
      <c r="L27" s="105"/>
      <c r="M27" s="105">
        <v>22752.601999999999</v>
      </c>
      <c r="N27" s="105">
        <v>-16904.066999999999</v>
      </c>
      <c r="O27" s="106"/>
      <c r="P27" s="107"/>
      <c r="Q27" s="107"/>
      <c r="R27" s="107"/>
      <c r="S27" s="107"/>
      <c r="T27" s="107"/>
      <c r="U27" s="106"/>
      <c r="V27" s="107"/>
      <c r="W27" s="107"/>
      <c r="X27" s="107"/>
      <c r="Y27" s="107"/>
      <c r="Z27" s="107"/>
      <c r="AA27" s="104">
        <v>363.21</v>
      </c>
      <c r="AB27" s="105">
        <f t="shared" si="0"/>
        <v>31.213000000000001</v>
      </c>
      <c r="AC27" s="105">
        <v>9.2379999999999995</v>
      </c>
      <c r="AD27" s="105">
        <v>21.975000000000001</v>
      </c>
      <c r="AE27" s="105">
        <v>331.99700000000001</v>
      </c>
      <c r="AF27" s="103"/>
      <c r="AG27" s="104"/>
      <c r="AH27" s="105"/>
      <c r="AI27" s="105"/>
      <c r="AJ27" s="105"/>
      <c r="AK27" s="105"/>
      <c r="AL27" s="105"/>
      <c r="AM27" s="104"/>
      <c r="AN27" s="105"/>
      <c r="AO27" s="105"/>
      <c r="AP27" s="105"/>
      <c r="AQ27" s="105"/>
      <c r="AR27" s="105"/>
      <c r="AS27" s="104"/>
      <c r="AT27" s="105"/>
      <c r="AU27" s="105"/>
      <c r="AV27" s="105"/>
      <c r="AW27" s="105"/>
      <c r="AX27" s="105"/>
      <c r="AY27" s="104"/>
      <c r="AZ27" s="105"/>
      <c r="BA27" s="105"/>
      <c r="BB27" s="105"/>
      <c r="BC27" s="105"/>
      <c r="BD27" s="103"/>
      <c r="BE27" s="104"/>
      <c r="BF27" s="105"/>
      <c r="BG27" s="105"/>
      <c r="BH27" s="105"/>
      <c r="BI27" s="108"/>
      <c r="BJ27" s="108"/>
      <c r="BK27" s="109"/>
      <c r="BL27" s="108"/>
      <c r="BM27" s="108"/>
      <c r="BN27" s="108"/>
      <c r="BO27" s="108"/>
      <c r="BP27" s="108"/>
      <c r="BQ27" s="109"/>
      <c r="BR27" s="108"/>
      <c r="BS27" s="108"/>
      <c r="BT27" s="108"/>
      <c r="BU27" s="108"/>
      <c r="BV27" s="108"/>
      <c r="BW27" s="104"/>
      <c r="BX27" s="105"/>
      <c r="BY27" s="105"/>
      <c r="BZ27" s="105"/>
      <c r="CA27" s="105"/>
      <c r="CB27" s="105"/>
      <c r="CC27" s="104"/>
      <c r="CD27" s="105"/>
      <c r="CE27" s="105"/>
      <c r="CF27" s="105"/>
      <c r="CG27" s="105"/>
      <c r="CH27" s="105"/>
      <c r="CI27" s="104"/>
      <c r="CJ27" s="105"/>
      <c r="CK27" s="105"/>
      <c r="CL27" s="105"/>
      <c r="CM27" s="105"/>
      <c r="CN27" s="105"/>
      <c r="CO27" s="104"/>
      <c r="CP27" s="105"/>
      <c r="CQ27" s="105"/>
      <c r="CR27" s="105"/>
      <c r="CS27" s="105"/>
      <c r="CT27" s="105"/>
      <c r="CU27" s="104">
        <f t="shared" si="1"/>
        <v>5408.92724</v>
      </c>
      <c r="CV27" s="105">
        <v>3222.0162</v>
      </c>
      <c r="CW27" s="105">
        <v>3100.8597</v>
      </c>
      <c r="CX27" s="105">
        <v>121.15650000000001</v>
      </c>
      <c r="CY27" s="105">
        <v>2186.91104</v>
      </c>
      <c r="CZ27" s="105"/>
      <c r="DA27" s="104"/>
      <c r="DB27" s="105"/>
      <c r="DC27" s="105"/>
      <c r="DD27" s="105"/>
      <c r="DE27" s="105"/>
      <c r="DF27" s="105"/>
      <c r="DG27" s="104">
        <v>9658.4</v>
      </c>
      <c r="DH27" s="105">
        <v>414</v>
      </c>
      <c r="DI27" s="105"/>
      <c r="DJ27" s="105"/>
      <c r="DK27" s="105">
        <v>10230.700000000001</v>
      </c>
      <c r="DL27" s="105">
        <v>158.30000000000001</v>
      </c>
      <c r="DM27" s="104"/>
      <c r="DN27" s="105"/>
      <c r="DO27" s="105"/>
      <c r="DP27" s="105"/>
      <c r="DQ27" s="105"/>
      <c r="DR27" s="105"/>
      <c r="DS27" s="104"/>
      <c r="DT27" s="105"/>
      <c r="DU27" s="105"/>
      <c r="DV27" s="105"/>
      <c r="DW27" s="105"/>
      <c r="DX27" s="105"/>
      <c r="DY27" s="104"/>
      <c r="DZ27" s="105"/>
      <c r="EA27" s="105"/>
      <c r="EB27" s="105"/>
      <c r="EC27" s="105"/>
      <c r="ED27" s="105"/>
      <c r="EE27" s="104"/>
      <c r="EF27" s="105"/>
      <c r="EG27" s="105"/>
      <c r="EH27" s="105"/>
      <c r="EI27" s="105"/>
      <c r="EJ27" s="105"/>
      <c r="EK27" s="104"/>
      <c r="EL27" s="105"/>
      <c r="EM27" s="105"/>
      <c r="EN27" s="105"/>
      <c r="EO27" s="105"/>
      <c r="EP27" s="103"/>
      <c r="EQ27" s="109"/>
      <c r="ER27" s="108"/>
      <c r="ES27" s="108"/>
      <c r="ET27" s="108"/>
      <c r="EU27" s="108"/>
      <c r="EV27" s="108"/>
      <c r="EW27" s="109"/>
      <c r="EX27" s="108"/>
      <c r="EY27" s="108"/>
      <c r="EZ27" s="108"/>
      <c r="FA27" s="108"/>
      <c r="FB27" s="108"/>
      <c r="FC27" s="109"/>
      <c r="FD27" s="108"/>
      <c r="FE27" s="108"/>
      <c r="FF27" s="108"/>
      <c r="FG27" s="108"/>
      <c r="FH27" s="108"/>
      <c r="FI27" s="109"/>
      <c r="FJ27" s="108"/>
      <c r="FK27" s="108"/>
      <c r="FL27" s="108"/>
      <c r="FM27" s="108"/>
      <c r="FN27" s="108"/>
      <c r="FO27" s="109"/>
      <c r="FP27" s="108"/>
      <c r="FQ27" s="108"/>
      <c r="FR27" s="108"/>
      <c r="FS27" s="108"/>
      <c r="FT27" s="108"/>
      <c r="FU27" s="109"/>
      <c r="FV27" s="108"/>
      <c r="FW27" s="108"/>
      <c r="FX27" s="108"/>
      <c r="FY27" s="108"/>
      <c r="FZ27" s="108"/>
      <c r="GA27" s="109"/>
      <c r="GB27" s="108"/>
      <c r="GC27" s="108"/>
      <c r="GD27" s="108"/>
      <c r="GE27" s="108"/>
      <c r="GF27" s="108"/>
      <c r="GG27" s="104"/>
      <c r="GH27" s="105"/>
      <c r="GI27" s="105"/>
      <c r="GJ27" s="105"/>
      <c r="GK27" s="105"/>
      <c r="GL27" s="105"/>
      <c r="GM27" s="104"/>
      <c r="GN27" s="105"/>
      <c r="GO27" s="105"/>
      <c r="GP27" s="105"/>
      <c r="GQ27" s="105"/>
      <c r="GR27" s="103"/>
      <c r="GS27" s="88"/>
      <c r="GT27" s="87"/>
      <c r="GU27" s="87"/>
      <c r="GV27" s="87"/>
      <c r="GW27" s="87"/>
      <c r="GX27" s="87"/>
      <c r="GY27" s="87"/>
      <c r="GZ27" s="88"/>
      <c r="HA27" s="87"/>
      <c r="HB27" s="87"/>
      <c r="HC27" s="87"/>
      <c r="HD27" s="87"/>
      <c r="HE27" s="87"/>
      <c r="HF27" s="87"/>
      <c r="HG27" s="87"/>
      <c r="HH27" s="87"/>
      <c r="HI27" s="87"/>
      <c r="HJ27" s="87"/>
      <c r="HK27" s="87"/>
      <c r="HL27" s="88"/>
      <c r="HM27" s="87"/>
      <c r="HN27" s="87"/>
      <c r="HO27" s="87"/>
      <c r="HP27" s="87"/>
      <c r="HQ27" s="87"/>
      <c r="HR27" s="87"/>
      <c r="HS27" s="87"/>
    </row>
    <row r="28" spans="1:228">
      <c r="A28" s="86">
        <v>1992</v>
      </c>
      <c r="B28" s="87" t="s">
        <v>489</v>
      </c>
      <c r="C28" s="88"/>
      <c r="D28" s="87"/>
      <c r="E28" s="87"/>
      <c r="F28" s="87"/>
      <c r="G28" s="87"/>
      <c r="H28" s="87"/>
      <c r="I28" s="88">
        <v>27987.5</v>
      </c>
      <c r="J28" s="89">
        <v>21171.778999999999</v>
      </c>
      <c r="K28" s="89"/>
      <c r="L28" s="89"/>
      <c r="M28" s="89">
        <v>23503.183000000001</v>
      </c>
      <c r="N28" s="89">
        <v>-16687.462</v>
      </c>
      <c r="O28" s="90"/>
      <c r="P28" s="91"/>
      <c r="Q28" s="91"/>
      <c r="R28" s="91"/>
      <c r="S28" s="91"/>
      <c r="T28" s="91"/>
      <c r="U28" s="90"/>
      <c r="V28" s="91"/>
      <c r="W28" s="91"/>
      <c r="X28" s="91"/>
      <c r="Y28" s="91"/>
      <c r="Z28" s="91"/>
      <c r="AA28" s="88">
        <v>352.93299999999999</v>
      </c>
      <c r="AB28" s="89">
        <f t="shared" si="0"/>
        <v>19.448</v>
      </c>
      <c r="AC28" s="89">
        <v>-3.8420000000000001</v>
      </c>
      <c r="AD28" s="89">
        <v>23.29</v>
      </c>
      <c r="AE28" s="89">
        <v>333.48500000000001</v>
      </c>
      <c r="AF28" s="89"/>
      <c r="AG28" s="88"/>
      <c r="AH28" s="89"/>
      <c r="AI28" s="89"/>
      <c r="AJ28" s="89"/>
      <c r="AK28" s="89"/>
      <c r="AL28" s="89"/>
      <c r="AM28" s="88"/>
      <c r="AN28" s="89"/>
      <c r="AO28" s="89"/>
      <c r="AP28" s="89"/>
      <c r="AQ28" s="89"/>
      <c r="AR28" s="89"/>
      <c r="AS28" s="88"/>
      <c r="AT28" s="89"/>
      <c r="AU28" s="89"/>
      <c r="AV28" s="89"/>
      <c r="AW28" s="89"/>
      <c r="AX28" s="89"/>
      <c r="AY28" s="88"/>
      <c r="AZ28" s="89"/>
      <c r="BA28" s="89"/>
      <c r="BB28" s="89"/>
      <c r="BC28" s="89"/>
      <c r="BD28" s="89"/>
      <c r="BE28" s="88"/>
      <c r="BF28" s="89"/>
      <c r="BG28" s="89"/>
      <c r="BH28" s="89"/>
      <c r="BI28" s="89"/>
      <c r="BJ28" s="89"/>
      <c r="BK28" s="88"/>
      <c r="BL28" s="89"/>
      <c r="BM28" s="89"/>
      <c r="BN28" s="89"/>
      <c r="BO28" s="89"/>
      <c r="BP28" s="89"/>
      <c r="BQ28" s="88"/>
      <c r="BR28" s="89"/>
      <c r="BS28" s="89"/>
      <c r="BT28" s="89"/>
      <c r="BU28" s="89"/>
      <c r="BV28" s="89"/>
      <c r="BW28" s="88"/>
      <c r="BX28" s="89"/>
      <c r="BY28" s="89"/>
      <c r="BZ28" s="89"/>
      <c r="CA28" s="89"/>
      <c r="CB28" s="89"/>
      <c r="CC28" s="88"/>
      <c r="CD28" s="89"/>
      <c r="CE28" s="89"/>
      <c r="CF28" s="89"/>
      <c r="CG28" s="89"/>
      <c r="CH28" s="89"/>
      <c r="CI28" s="88"/>
      <c r="CJ28" s="89"/>
      <c r="CK28" s="89"/>
      <c r="CL28" s="89"/>
      <c r="CM28" s="89"/>
      <c r="CN28" s="89"/>
      <c r="CO28" s="88"/>
      <c r="CP28" s="89"/>
      <c r="CQ28" s="89"/>
      <c r="CR28" s="89"/>
      <c r="CS28" s="89"/>
      <c r="CT28" s="89"/>
      <c r="CU28" s="88">
        <f t="shared" si="1"/>
        <v>5335.20723</v>
      </c>
      <c r="CV28" s="89">
        <v>3274.009</v>
      </c>
      <c r="CW28" s="89">
        <v>3126.7220000000002</v>
      </c>
      <c r="CX28" s="89">
        <v>147.28700000000001</v>
      </c>
      <c r="CY28" s="89">
        <v>2061.19823</v>
      </c>
      <c r="CZ28" s="89"/>
      <c r="DA28" s="88"/>
      <c r="DB28" s="89"/>
      <c r="DC28" s="89"/>
      <c r="DD28" s="89"/>
      <c r="DE28" s="89"/>
      <c r="DF28" s="89"/>
      <c r="DG28" s="88">
        <v>9210.5</v>
      </c>
      <c r="DH28" s="89">
        <v>219.3</v>
      </c>
      <c r="DI28" s="89"/>
      <c r="DJ28" s="89"/>
      <c r="DK28" s="89">
        <v>9891.7000000000007</v>
      </c>
      <c r="DL28" s="89">
        <v>461.9</v>
      </c>
      <c r="DM28" s="88"/>
      <c r="DN28" s="89"/>
      <c r="DO28" s="89"/>
      <c r="DP28" s="89"/>
      <c r="DQ28" s="89"/>
      <c r="DR28" s="89"/>
      <c r="DS28" s="88"/>
      <c r="DT28" s="89"/>
      <c r="DU28" s="89"/>
      <c r="DV28" s="89"/>
      <c r="DW28" s="89"/>
      <c r="DX28" s="89"/>
      <c r="DY28" s="88"/>
      <c r="DZ28" s="89"/>
      <c r="EA28" s="89"/>
      <c r="EB28" s="89"/>
      <c r="EC28" s="89"/>
      <c r="ED28" s="89"/>
      <c r="EE28" s="88"/>
      <c r="EF28" s="89"/>
      <c r="EG28" s="89"/>
      <c r="EH28" s="89"/>
      <c r="EI28" s="89"/>
      <c r="EJ28" s="89"/>
      <c r="EK28" s="88"/>
      <c r="EL28" s="89"/>
      <c r="EM28" s="89"/>
      <c r="EN28" s="89"/>
      <c r="EO28" s="89"/>
      <c r="EP28" s="89"/>
      <c r="EQ28" s="88"/>
      <c r="ER28" s="89"/>
      <c r="ES28" s="89"/>
      <c r="ET28" s="89"/>
      <c r="EU28" s="89"/>
      <c r="EV28" s="89"/>
      <c r="EW28" s="88"/>
      <c r="EX28" s="89"/>
      <c r="EY28" s="89"/>
      <c r="EZ28" s="89"/>
      <c r="FA28" s="89"/>
      <c r="FB28" s="89"/>
      <c r="FC28" s="88"/>
      <c r="FD28" s="89"/>
      <c r="FE28" s="89"/>
      <c r="FF28" s="89"/>
      <c r="FG28" s="89"/>
      <c r="FH28" s="89"/>
      <c r="FI28" s="88"/>
      <c r="FJ28" s="89"/>
      <c r="FK28" s="89"/>
      <c r="FL28" s="89"/>
      <c r="FM28" s="89"/>
      <c r="FN28" s="89"/>
      <c r="FO28" s="88"/>
      <c r="FP28" s="89"/>
      <c r="FQ28" s="89"/>
      <c r="FR28" s="89"/>
      <c r="FS28" s="89"/>
      <c r="FT28" s="89"/>
      <c r="FU28" s="88"/>
      <c r="FV28" s="89"/>
      <c r="FW28" s="89"/>
      <c r="FX28" s="89"/>
      <c r="FY28" s="89"/>
      <c r="FZ28" s="89"/>
      <c r="GA28" s="88"/>
      <c r="GB28" s="89"/>
      <c r="GC28" s="89"/>
      <c r="GD28" s="89"/>
      <c r="GE28" s="89"/>
      <c r="GF28" s="89"/>
      <c r="GG28" s="88"/>
      <c r="GH28" s="89"/>
      <c r="GI28" s="89"/>
      <c r="GJ28" s="89"/>
      <c r="GK28" s="89"/>
      <c r="GL28" s="89"/>
      <c r="GM28" s="88"/>
      <c r="GN28" s="89"/>
      <c r="GO28" s="89"/>
      <c r="GP28" s="89"/>
      <c r="GQ28" s="89"/>
      <c r="GR28" s="89"/>
      <c r="GS28" s="88"/>
      <c r="GT28" s="87"/>
      <c r="GU28" s="87"/>
      <c r="GV28" s="87"/>
      <c r="GW28" s="87"/>
      <c r="GX28" s="87"/>
      <c r="GY28" s="87"/>
      <c r="GZ28" s="88"/>
      <c r="HA28" s="87"/>
      <c r="HB28" s="87"/>
      <c r="HC28" s="87"/>
      <c r="HD28" s="87"/>
      <c r="HE28" s="87"/>
      <c r="HF28" s="87"/>
      <c r="HG28" s="87"/>
      <c r="HH28" s="87"/>
      <c r="HI28" s="87"/>
      <c r="HJ28" s="87"/>
      <c r="HK28" s="87"/>
      <c r="HL28" s="88"/>
      <c r="HM28" s="87"/>
      <c r="HN28" s="87"/>
      <c r="HO28" s="87"/>
      <c r="HP28" s="87"/>
      <c r="HQ28" s="87"/>
      <c r="HR28" s="87"/>
      <c r="HS28" s="87"/>
    </row>
    <row r="29" spans="1:228">
      <c r="A29" s="69"/>
      <c r="B29" s="87" t="s">
        <v>490</v>
      </c>
      <c r="C29" s="88"/>
      <c r="D29" s="87"/>
      <c r="E29" s="87"/>
      <c r="F29" s="87"/>
      <c r="G29" s="87"/>
      <c r="H29" s="87"/>
      <c r="I29" s="88">
        <v>28302.664000000001</v>
      </c>
      <c r="J29" s="89">
        <v>21283.609</v>
      </c>
      <c r="K29" s="89"/>
      <c r="L29" s="89"/>
      <c r="M29" s="89">
        <v>24214.147000000001</v>
      </c>
      <c r="N29" s="89">
        <v>-17195.092000000001</v>
      </c>
      <c r="O29" s="88"/>
      <c r="P29" s="89"/>
      <c r="Q29" s="89"/>
      <c r="R29" s="89"/>
      <c r="S29" s="89"/>
      <c r="T29" s="89"/>
      <c r="U29" s="88"/>
      <c r="V29" s="89"/>
      <c r="W29" s="89"/>
      <c r="X29" s="89"/>
      <c r="Y29" s="89"/>
      <c r="Z29" s="89"/>
      <c r="AA29" s="88">
        <v>347.21499999999997</v>
      </c>
      <c r="AB29" s="89">
        <f t="shared" si="0"/>
        <v>8.5090000000000003</v>
      </c>
      <c r="AC29" s="89">
        <v>-14.596</v>
      </c>
      <c r="AD29" s="89">
        <v>23.105</v>
      </c>
      <c r="AE29" s="89">
        <v>338.70600000000002</v>
      </c>
      <c r="AF29" s="89"/>
      <c r="AG29" s="88"/>
      <c r="AH29" s="89"/>
      <c r="AI29" s="89"/>
      <c r="AJ29" s="89"/>
      <c r="AK29" s="89"/>
      <c r="AL29" s="89"/>
      <c r="AM29" s="88"/>
      <c r="AN29" s="89"/>
      <c r="AO29" s="89"/>
      <c r="AP29" s="89"/>
      <c r="AQ29" s="89"/>
      <c r="AR29" s="89"/>
      <c r="AS29" s="88"/>
      <c r="AT29" s="89"/>
      <c r="AU29" s="89"/>
      <c r="AV29" s="89"/>
      <c r="AW29" s="89"/>
      <c r="AX29" s="89"/>
      <c r="AY29" s="88"/>
      <c r="AZ29" s="89"/>
      <c r="BA29" s="89"/>
      <c r="BB29" s="89"/>
      <c r="BC29" s="89"/>
      <c r="BD29" s="89"/>
      <c r="BE29" s="88"/>
      <c r="BF29" s="89"/>
      <c r="BG29" s="89"/>
      <c r="BH29" s="89"/>
      <c r="BI29" s="89"/>
      <c r="BJ29" s="89"/>
      <c r="BK29" s="88"/>
      <c r="BL29" s="89"/>
      <c r="BM29" s="89"/>
      <c r="BN29" s="89"/>
      <c r="BO29" s="89"/>
      <c r="BP29" s="89"/>
      <c r="BQ29" s="88"/>
      <c r="BR29" s="89"/>
      <c r="BS29" s="89"/>
      <c r="BT29" s="89"/>
      <c r="BU29" s="89"/>
      <c r="BV29" s="89"/>
      <c r="BW29" s="88"/>
      <c r="BX29" s="89"/>
      <c r="BY29" s="89"/>
      <c r="BZ29" s="89"/>
      <c r="CA29" s="89"/>
      <c r="CB29" s="89"/>
      <c r="CC29" s="88"/>
      <c r="CD29" s="89"/>
      <c r="CE29" s="89"/>
      <c r="CF29" s="89"/>
      <c r="CG29" s="89"/>
      <c r="CH29" s="89"/>
      <c r="CI29" s="88"/>
      <c r="CJ29" s="89"/>
      <c r="CK29" s="89"/>
      <c r="CL29" s="89"/>
      <c r="CM29" s="89"/>
      <c r="CN29" s="89"/>
      <c r="CO29" s="88"/>
      <c r="CP29" s="89"/>
      <c r="CQ29" s="89"/>
      <c r="CR29" s="89"/>
      <c r="CS29" s="89"/>
      <c r="CT29" s="89"/>
      <c r="CU29" s="88">
        <f t="shared" si="1"/>
        <v>5491.9166299999997</v>
      </c>
      <c r="CV29" s="89">
        <v>3462.1173999999996</v>
      </c>
      <c r="CW29" s="89">
        <v>3310.0508999999997</v>
      </c>
      <c r="CX29" s="89">
        <v>152.06649999999999</v>
      </c>
      <c r="CY29" s="89">
        <v>2029.7992300000001</v>
      </c>
      <c r="CZ29" s="89"/>
      <c r="DA29" s="88"/>
      <c r="DB29" s="89"/>
      <c r="DC29" s="89"/>
      <c r="DD29" s="89"/>
      <c r="DE29" s="89"/>
      <c r="DF29" s="89"/>
      <c r="DG29" s="88">
        <v>9160.5</v>
      </c>
      <c r="DH29" s="89">
        <v>503.7</v>
      </c>
      <c r="DI29" s="89"/>
      <c r="DJ29" s="89"/>
      <c r="DK29" s="89">
        <v>9454.2000000000007</v>
      </c>
      <c r="DL29" s="89">
        <v>797.4</v>
      </c>
      <c r="DM29" s="88"/>
      <c r="DN29" s="89"/>
      <c r="DO29" s="89"/>
      <c r="DP29" s="89"/>
      <c r="DQ29" s="89"/>
      <c r="DR29" s="89"/>
      <c r="DS29" s="88"/>
      <c r="DT29" s="89"/>
      <c r="DU29" s="89"/>
      <c r="DV29" s="89"/>
      <c r="DW29" s="89"/>
      <c r="DX29" s="89"/>
      <c r="DY29" s="88"/>
      <c r="DZ29" s="89"/>
      <c r="EA29" s="89"/>
      <c r="EB29" s="89"/>
      <c r="EC29" s="89"/>
      <c r="ED29" s="89"/>
      <c r="EE29" s="88"/>
      <c r="EF29" s="89"/>
      <c r="EG29" s="89"/>
      <c r="EH29" s="89"/>
      <c r="EI29" s="89"/>
      <c r="EJ29" s="89"/>
      <c r="EK29" s="88"/>
      <c r="EL29" s="89"/>
      <c r="EM29" s="89"/>
      <c r="EN29" s="89"/>
      <c r="EO29" s="89"/>
      <c r="EP29" s="89"/>
      <c r="EQ29" s="88"/>
      <c r="ER29" s="89"/>
      <c r="ES29" s="89"/>
      <c r="ET29" s="89"/>
      <c r="EU29" s="89"/>
      <c r="EV29" s="89"/>
      <c r="EW29" s="88"/>
      <c r="EX29" s="89"/>
      <c r="EY29" s="89"/>
      <c r="EZ29" s="89"/>
      <c r="FA29" s="89"/>
      <c r="FB29" s="89"/>
      <c r="FC29" s="88"/>
      <c r="FD29" s="89"/>
      <c r="FE29" s="89"/>
      <c r="FF29" s="89"/>
      <c r="FG29" s="89"/>
      <c r="FH29" s="89"/>
      <c r="FI29" s="88"/>
      <c r="FJ29" s="89"/>
      <c r="FK29" s="89"/>
      <c r="FL29" s="89"/>
      <c r="FM29" s="89"/>
      <c r="FN29" s="89"/>
      <c r="FO29" s="88"/>
      <c r="FP29" s="89"/>
      <c r="FQ29" s="89"/>
      <c r="FR29" s="89"/>
      <c r="FS29" s="89"/>
      <c r="FT29" s="89"/>
      <c r="FU29" s="88"/>
      <c r="FV29" s="89"/>
      <c r="FW29" s="89"/>
      <c r="FX29" s="89"/>
      <c r="FY29" s="89"/>
      <c r="FZ29" s="89"/>
      <c r="GA29" s="88"/>
      <c r="GB29" s="89"/>
      <c r="GC29" s="89"/>
      <c r="GD29" s="89"/>
      <c r="GE29" s="89"/>
      <c r="GF29" s="89"/>
      <c r="GG29" s="88"/>
      <c r="GH29" s="89"/>
      <c r="GI29" s="89"/>
      <c r="GJ29" s="89"/>
      <c r="GK29" s="89"/>
      <c r="GL29" s="89"/>
      <c r="GM29" s="88"/>
      <c r="GN29" s="89"/>
      <c r="GO29" s="89"/>
      <c r="GP29" s="89"/>
      <c r="GQ29" s="89"/>
      <c r="GR29" s="89"/>
      <c r="GS29" s="88"/>
      <c r="GT29" s="87"/>
      <c r="GU29" s="87"/>
      <c r="GV29" s="87"/>
      <c r="GW29" s="87"/>
      <c r="GX29" s="87"/>
      <c r="GY29" s="112"/>
      <c r="GZ29" s="88"/>
      <c r="HA29" s="87"/>
      <c r="HB29" s="87"/>
      <c r="HC29" s="87"/>
      <c r="HD29" s="87"/>
      <c r="HE29" s="87"/>
      <c r="HF29" s="87"/>
      <c r="HG29" s="87"/>
      <c r="HH29" s="87"/>
      <c r="HI29" s="87"/>
      <c r="HJ29" s="87"/>
      <c r="HK29" s="87"/>
      <c r="HL29" s="88"/>
      <c r="HM29" s="87"/>
      <c r="HN29" s="87"/>
      <c r="HO29" s="87"/>
      <c r="HP29" s="87"/>
      <c r="HQ29" s="87"/>
      <c r="HR29" s="87"/>
      <c r="HS29" s="87"/>
    </row>
    <row r="30" spans="1:228">
      <c r="A30" s="69"/>
      <c r="B30" s="87" t="s">
        <v>491</v>
      </c>
      <c r="C30" s="88"/>
      <c r="D30" s="87"/>
      <c r="E30" s="87"/>
      <c r="F30" s="87"/>
      <c r="G30" s="87"/>
      <c r="H30" s="87"/>
      <c r="I30" s="88">
        <v>29325.082000000002</v>
      </c>
      <c r="J30" s="89">
        <v>21284.995999999999</v>
      </c>
      <c r="K30" s="89"/>
      <c r="L30" s="89"/>
      <c r="M30" s="89">
        <v>25398.285</v>
      </c>
      <c r="N30" s="89">
        <v>-17358.199000000001</v>
      </c>
      <c r="O30" s="90"/>
      <c r="P30" s="91"/>
      <c r="Q30" s="91"/>
      <c r="R30" s="91"/>
      <c r="S30" s="91"/>
      <c r="T30" s="91"/>
      <c r="U30" s="90"/>
      <c r="V30" s="91"/>
      <c r="W30" s="91"/>
      <c r="X30" s="91"/>
      <c r="Y30" s="91"/>
      <c r="Z30" s="91"/>
      <c r="AA30" s="88">
        <v>351.90499999999997</v>
      </c>
      <c r="AB30" s="89">
        <f t="shared" si="0"/>
        <v>10.826000000000001</v>
      </c>
      <c r="AC30" s="89">
        <v>-4.1340000000000003</v>
      </c>
      <c r="AD30" s="89">
        <v>14.96</v>
      </c>
      <c r="AE30" s="89">
        <v>341.07900000000001</v>
      </c>
      <c r="AF30" s="89"/>
      <c r="AG30" s="88"/>
      <c r="AH30" s="89"/>
      <c r="AI30" s="89"/>
      <c r="AJ30" s="89"/>
      <c r="AK30" s="89"/>
      <c r="AL30" s="89"/>
      <c r="AM30" s="88"/>
      <c r="AN30" s="89"/>
      <c r="AO30" s="89"/>
      <c r="AP30" s="89"/>
      <c r="AQ30" s="89"/>
      <c r="AR30" s="89"/>
      <c r="AS30" s="88"/>
      <c r="AT30" s="89"/>
      <c r="AU30" s="89"/>
      <c r="AV30" s="89"/>
      <c r="AW30" s="89"/>
      <c r="AX30" s="89"/>
      <c r="AY30" s="88"/>
      <c r="AZ30" s="89"/>
      <c r="BA30" s="89"/>
      <c r="BB30" s="89"/>
      <c r="BC30" s="89"/>
      <c r="BD30" s="89"/>
      <c r="BE30" s="88"/>
      <c r="BF30" s="89"/>
      <c r="BG30" s="89"/>
      <c r="BH30" s="89"/>
      <c r="BI30" s="89"/>
      <c r="BJ30" s="89"/>
      <c r="BK30" s="88"/>
      <c r="BL30" s="89"/>
      <c r="BM30" s="89"/>
      <c r="BN30" s="89"/>
      <c r="BO30" s="89"/>
      <c r="BP30" s="89"/>
      <c r="BQ30" s="88"/>
      <c r="BR30" s="89"/>
      <c r="BS30" s="89"/>
      <c r="BT30" s="89"/>
      <c r="BU30" s="89"/>
      <c r="BV30" s="89"/>
      <c r="BW30" s="88"/>
      <c r="BX30" s="89"/>
      <c r="BY30" s="89"/>
      <c r="BZ30" s="89"/>
      <c r="CA30" s="89"/>
      <c r="CB30" s="89"/>
      <c r="CC30" s="88"/>
      <c r="CD30" s="89"/>
      <c r="CE30" s="89"/>
      <c r="CF30" s="89"/>
      <c r="CG30" s="89"/>
      <c r="CH30" s="89"/>
      <c r="CI30" s="88"/>
      <c r="CJ30" s="89"/>
      <c r="CK30" s="89"/>
      <c r="CL30" s="89"/>
      <c r="CM30" s="89"/>
      <c r="CN30" s="89"/>
      <c r="CO30" s="88"/>
      <c r="CP30" s="89"/>
      <c r="CQ30" s="89"/>
      <c r="CR30" s="89"/>
      <c r="CS30" s="89"/>
      <c r="CT30" s="89"/>
      <c r="CU30" s="88">
        <f t="shared" si="1"/>
        <v>5531.6927399999995</v>
      </c>
      <c r="CV30" s="89">
        <v>3577.5540999999998</v>
      </c>
      <c r="CW30" s="89">
        <v>3408.3962999999999</v>
      </c>
      <c r="CX30" s="89">
        <v>169.15780000000001</v>
      </c>
      <c r="CY30" s="89">
        <v>1954.1386399999999</v>
      </c>
      <c r="CZ30" s="89"/>
      <c r="DA30" s="88"/>
      <c r="DB30" s="89"/>
      <c r="DC30" s="89"/>
      <c r="DD30" s="89"/>
      <c r="DE30" s="89"/>
      <c r="DF30" s="89"/>
      <c r="DG30" s="88">
        <v>10235.799999999999</v>
      </c>
      <c r="DH30" s="89">
        <v>1379.9</v>
      </c>
      <c r="DI30" s="89"/>
      <c r="DJ30" s="89"/>
      <c r="DK30" s="89">
        <v>9850.4</v>
      </c>
      <c r="DL30" s="89">
        <v>994.5</v>
      </c>
      <c r="DM30" s="88"/>
      <c r="DN30" s="89"/>
      <c r="DO30" s="89"/>
      <c r="DP30" s="89"/>
      <c r="DQ30" s="89"/>
      <c r="DR30" s="89"/>
      <c r="DS30" s="88"/>
      <c r="DT30" s="89"/>
      <c r="DU30" s="89"/>
      <c r="DV30" s="89"/>
      <c r="DW30" s="89"/>
      <c r="DX30" s="89"/>
      <c r="DY30" s="88"/>
      <c r="DZ30" s="89"/>
      <c r="EA30" s="89"/>
      <c r="EB30" s="89"/>
      <c r="EC30" s="89"/>
      <c r="ED30" s="89"/>
      <c r="EE30" s="88"/>
      <c r="EF30" s="89"/>
      <c r="EG30" s="89"/>
      <c r="EH30" s="89"/>
      <c r="EI30" s="89"/>
      <c r="EJ30" s="89"/>
      <c r="EK30" s="88"/>
      <c r="EL30" s="89"/>
      <c r="EM30" s="89"/>
      <c r="EN30" s="91"/>
      <c r="EO30" s="89"/>
      <c r="EP30" s="89"/>
      <c r="EQ30" s="88"/>
      <c r="ER30" s="89"/>
      <c r="ES30" s="89"/>
      <c r="ET30" s="114"/>
      <c r="EU30" s="89"/>
      <c r="EV30" s="89"/>
      <c r="EW30" s="88"/>
      <c r="EX30" s="89"/>
      <c r="EY30" s="89"/>
      <c r="EZ30" s="114"/>
      <c r="FA30" s="89"/>
      <c r="FB30" s="89"/>
      <c r="FC30" s="115"/>
      <c r="FD30" s="89"/>
      <c r="FE30" s="89"/>
      <c r="FF30" s="116"/>
      <c r="FG30" s="89"/>
      <c r="FH30" s="89"/>
      <c r="FI30" s="115"/>
      <c r="FJ30" s="89"/>
      <c r="FK30" s="89"/>
      <c r="FL30" s="89"/>
      <c r="FM30" s="116"/>
      <c r="FN30" s="116"/>
      <c r="FO30" s="88"/>
      <c r="FP30" s="116"/>
      <c r="FQ30" s="116"/>
      <c r="FR30" s="89"/>
      <c r="FS30" s="116"/>
      <c r="FT30" s="116"/>
      <c r="FU30" s="88"/>
      <c r="FV30" s="89"/>
      <c r="FW30" s="89"/>
      <c r="FX30" s="116"/>
      <c r="FY30" s="89"/>
      <c r="FZ30" s="89"/>
      <c r="GA30" s="88"/>
      <c r="GB30" s="89"/>
      <c r="GC30" s="89"/>
      <c r="GD30" s="89"/>
      <c r="GE30" s="89"/>
      <c r="GF30" s="89"/>
      <c r="GG30" s="88"/>
      <c r="GH30" s="89"/>
      <c r="GI30" s="89"/>
      <c r="GJ30" s="98"/>
      <c r="GK30" s="98"/>
      <c r="GL30" s="98"/>
      <c r="GM30" s="95"/>
      <c r="GN30" s="98"/>
      <c r="GO30" s="98"/>
      <c r="GP30" s="98"/>
      <c r="GQ30" s="98"/>
      <c r="GR30" s="98"/>
      <c r="GS30" s="95"/>
      <c r="GT30" s="87"/>
      <c r="GU30" s="87"/>
      <c r="GV30" s="87"/>
      <c r="GW30" s="87"/>
      <c r="GX30" s="87"/>
      <c r="GY30" s="87"/>
      <c r="GZ30" s="88"/>
      <c r="HA30" s="87"/>
      <c r="HB30" s="87"/>
      <c r="HC30" s="87"/>
      <c r="HD30" s="87"/>
      <c r="HE30" s="87"/>
      <c r="HF30" s="87"/>
      <c r="HG30" s="87"/>
      <c r="HH30" s="87"/>
      <c r="HI30" s="87"/>
      <c r="HJ30" s="87"/>
      <c r="HK30" s="87"/>
      <c r="HL30" s="88"/>
      <c r="HM30" s="87"/>
      <c r="HN30" s="87"/>
      <c r="HO30" s="87"/>
      <c r="HP30" s="87"/>
      <c r="HQ30" s="87"/>
      <c r="HR30" s="87"/>
      <c r="HS30" s="87"/>
    </row>
    <row r="31" spans="1:228">
      <c r="A31" s="69"/>
      <c r="B31" s="87" t="s">
        <v>492</v>
      </c>
      <c r="C31" s="88"/>
      <c r="D31" s="87"/>
      <c r="E31" s="87"/>
      <c r="F31" s="87"/>
      <c r="G31" s="87"/>
      <c r="H31" s="87"/>
      <c r="I31" s="88">
        <v>30357.506999999994</v>
      </c>
      <c r="J31" s="89">
        <v>21225.653999999999</v>
      </c>
      <c r="K31" s="89"/>
      <c r="L31" s="89"/>
      <c r="M31" s="89">
        <v>26429.087</v>
      </c>
      <c r="N31" s="89">
        <v>-17297.234</v>
      </c>
      <c r="O31" s="88"/>
      <c r="P31" s="89"/>
      <c r="Q31" s="89"/>
      <c r="R31" s="89"/>
      <c r="S31" s="89"/>
      <c r="T31" s="89"/>
      <c r="U31" s="88"/>
      <c r="V31" s="89"/>
      <c r="W31" s="89"/>
      <c r="X31" s="89"/>
      <c r="Y31" s="89"/>
      <c r="Z31" s="89"/>
      <c r="AA31" s="88">
        <v>352.64699999999999</v>
      </c>
      <c r="AB31" s="89">
        <f t="shared" si="0"/>
        <v>9.7520000000000007</v>
      </c>
      <c r="AC31" s="89">
        <v>-4.7249999999999996</v>
      </c>
      <c r="AD31" s="89">
        <v>14.477</v>
      </c>
      <c r="AE31" s="89">
        <v>342.89499999999998</v>
      </c>
      <c r="AF31" s="89"/>
      <c r="AG31" s="88"/>
      <c r="AH31" s="89"/>
      <c r="AI31" s="89"/>
      <c r="AJ31" s="89"/>
      <c r="AK31" s="89"/>
      <c r="AL31" s="89"/>
      <c r="AM31" s="88"/>
      <c r="AN31" s="89"/>
      <c r="AO31" s="89"/>
      <c r="AP31" s="89"/>
      <c r="AQ31" s="89"/>
      <c r="AR31" s="89"/>
      <c r="AS31" s="88"/>
      <c r="AT31" s="89"/>
      <c r="AU31" s="89"/>
      <c r="AV31" s="89"/>
      <c r="AW31" s="89"/>
      <c r="AX31" s="89"/>
      <c r="AY31" s="88"/>
      <c r="AZ31" s="89"/>
      <c r="BA31" s="89"/>
      <c r="BB31" s="89"/>
      <c r="BC31" s="89"/>
      <c r="BD31" s="89"/>
      <c r="BE31" s="88"/>
      <c r="BF31" s="89"/>
      <c r="BG31" s="89"/>
      <c r="BH31" s="89"/>
      <c r="BI31" s="89"/>
      <c r="BJ31" s="89"/>
      <c r="BK31" s="88"/>
      <c r="BL31" s="89"/>
      <c r="BM31" s="89"/>
      <c r="BN31" s="89"/>
      <c r="BO31" s="89"/>
      <c r="BP31" s="89"/>
      <c r="BQ31" s="88"/>
      <c r="BR31" s="89"/>
      <c r="BS31" s="89"/>
      <c r="BT31" s="89"/>
      <c r="BU31" s="89"/>
      <c r="BV31" s="89"/>
      <c r="BW31" s="88"/>
      <c r="BX31" s="89"/>
      <c r="BY31" s="89"/>
      <c r="BZ31" s="89"/>
      <c r="CA31" s="89"/>
      <c r="CB31" s="89"/>
      <c r="CC31" s="88"/>
      <c r="CD31" s="89"/>
      <c r="CE31" s="89"/>
      <c r="CF31" s="89"/>
      <c r="CG31" s="89"/>
      <c r="CH31" s="89"/>
      <c r="CI31" s="88"/>
      <c r="CJ31" s="89"/>
      <c r="CK31" s="89"/>
      <c r="CL31" s="89"/>
      <c r="CM31" s="89"/>
      <c r="CN31" s="89"/>
      <c r="CO31" s="88"/>
      <c r="CP31" s="89"/>
      <c r="CQ31" s="89"/>
      <c r="CR31" s="89"/>
      <c r="CS31" s="89"/>
      <c r="CT31" s="89"/>
      <c r="CU31" s="88">
        <f t="shared" si="1"/>
        <v>5531.3237200000003</v>
      </c>
      <c r="CV31" s="89">
        <v>3644.0478000000003</v>
      </c>
      <c r="CW31" s="89">
        <v>3478.5181000000002</v>
      </c>
      <c r="CX31" s="89">
        <v>165.52969999999999</v>
      </c>
      <c r="CY31" s="89">
        <v>1887.27592</v>
      </c>
      <c r="CZ31" s="89"/>
      <c r="DA31" s="88"/>
      <c r="DB31" s="89"/>
      <c r="DC31" s="89"/>
      <c r="DD31" s="89"/>
      <c r="DE31" s="89"/>
      <c r="DF31" s="89"/>
      <c r="DG31" s="88">
        <v>10623.8</v>
      </c>
      <c r="DH31" s="89">
        <v>2260.4</v>
      </c>
      <c r="DI31" s="89"/>
      <c r="DJ31" s="89"/>
      <c r="DK31" s="89">
        <v>9790.9</v>
      </c>
      <c r="DL31" s="89">
        <v>1427.5</v>
      </c>
      <c r="DM31" s="88"/>
      <c r="DN31" s="89"/>
      <c r="DO31" s="89"/>
      <c r="DP31" s="89"/>
      <c r="DQ31" s="89"/>
      <c r="DR31" s="89"/>
      <c r="DS31" s="88"/>
      <c r="DT31" s="89"/>
      <c r="DU31" s="89"/>
      <c r="DV31" s="89"/>
      <c r="DW31" s="89"/>
      <c r="DX31" s="89"/>
      <c r="DY31" s="88"/>
      <c r="DZ31" s="89"/>
      <c r="EA31" s="89"/>
      <c r="EB31" s="89"/>
      <c r="EC31" s="89"/>
      <c r="ED31" s="89"/>
      <c r="EE31" s="88"/>
      <c r="EF31" s="89"/>
      <c r="EG31" s="89"/>
      <c r="EH31" s="89"/>
      <c r="EI31" s="89"/>
      <c r="EJ31" s="89"/>
      <c r="EK31" s="88"/>
      <c r="EL31" s="89"/>
      <c r="EM31" s="89"/>
      <c r="EN31" s="89"/>
      <c r="EO31" s="89"/>
      <c r="EP31" s="89"/>
      <c r="EQ31" s="88"/>
      <c r="ER31" s="89"/>
      <c r="ES31" s="89"/>
      <c r="ET31" s="114"/>
      <c r="EU31" s="89"/>
      <c r="EV31" s="89"/>
      <c r="EW31" s="88"/>
      <c r="EX31" s="89"/>
      <c r="EY31" s="89"/>
      <c r="EZ31" s="114"/>
      <c r="FA31" s="89"/>
      <c r="FB31" s="89"/>
      <c r="FC31" s="115"/>
      <c r="FD31" s="89"/>
      <c r="FE31" s="89"/>
      <c r="FF31" s="116"/>
      <c r="FG31" s="89"/>
      <c r="FH31" s="89"/>
      <c r="FI31" s="115"/>
      <c r="FJ31" s="89"/>
      <c r="FK31" s="89"/>
      <c r="FL31" s="89"/>
      <c r="FM31" s="116"/>
      <c r="FN31" s="116"/>
      <c r="FO31" s="88"/>
      <c r="FP31" s="116"/>
      <c r="FQ31" s="116"/>
      <c r="FR31" s="89"/>
      <c r="FS31" s="116"/>
      <c r="FT31" s="116"/>
      <c r="FU31" s="88"/>
      <c r="FV31" s="89"/>
      <c r="FW31" s="89"/>
      <c r="FX31" s="116"/>
      <c r="FY31" s="89"/>
      <c r="FZ31" s="89"/>
      <c r="GA31" s="88"/>
      <c r="GB31" s="89"/>
      <c r="GC31" s="89"/>
      <c r="GD31" s="89"/>
      <c r="GE31" s="89"/>
      <c r="GF31" s="89"/>
      <c r="GG31" s="88"/>
      <c r="GH31" s="89"/>
      <c r="GI31" s="89"/>
      <c r="GJ31" s="98"/>
      <c r="GK31" s="98"/>
      <c r="GL31" s="98"/>
      <c r="GM31" s="95"/>
      <c r="GN31" s="98"/>
      <c r="GO31" s="98"/>
      <c r="GP31" s="98"/>
      <c r="GQ31" s="98"/>
      <c r="GR31" s="98"/>
      <c r="GS31" s="95"/>
      <c r="GT31" s="87"/>
      <c r="GU31" s="87"/>
      <c r="GV31" s="87"/>
      <c r="GW31" s="87"/>
      <c r="GX31" s="87"/>
      <c r="GY31" s="87"/>
      <c r="GZ31" s="88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87"/>
      <c r="HL31" s="88"/>
      <c r="HM31" s="87"/>
      <c r="HN31" s="87"/>
      <c r="HO31" s="87"/>
      <c r="HP31" s="87"/>
      <c r="HQ31" s="87"/>
      <c r="HR31" s="87"/>
      <c r="HS31" s="87"/>
    </row>
    <row r="32" spans="1:228">
      <c r="A32" s="69"/>
      <c r="B32" s="87" t="s">
        <v>493</v>
      </c>
      <c r="C32" s="88"/>
      <c r="D32" s="87"/>
      <c r="E32" s="87"/>
      <c r="F32" s="87"/>
      <c r="G32" s="87"/>
      <c r="H32" s="87"/>
      <c r="I32" s="88">
        <v>31009.819999999996</v>
      </c>
      <c r="J32" s="89">
        <v>21189.91</v>
      </c>
      <c r="K32" s="89"/>
      <c r="L32" s="89"/>
      <c r="M32" s="89">
        <v>27592.811999999998</v>
      </c>
      <c r="N32" s="89">
        <v>-17772.901999999998</v>
      </c>
      <c r="O32" s="90"/>
      <c r="P32" s="91"/>
      <c r="Q32" s="91"/>
      <c r="R32" s="91"/>
      <c r="S32" s="91"/>
      <c r="T32" s="91"/>
      <c r="U32" s="90"/>
      <c r="V32" s="91"/>
      <c r="W32" s="91"/>
      <c r="X32" s="91"/>
      <c r="Y32" s="91"/>
      <c r="Z32" s="91"/>
      <c r="AA32" s="88">
        <v>356.37099999999998</v>
      </c>
      <c r="AB32" s="89">
        <f t="shared" si="0"/>
        <v>10.943999999999999</v>
      </c>
      <c r="AC32" s="89">
        <v>-3.5209999999999999</v>
      </c>
      <c r="AD32" s="89">
        <v>14.465</v>
      </c>
      <c r="AE32" s="89">
        <v>345.42700000000002</v>
      </c>
      <c r="AF32" s="89"/>
      <c r="AG32" s="88"/>
      <c r="AH32" s="89"/>
      <c r="AI32" s="89"/>
      <c r="AJ32" s="89"/>
      <c r="AK32" s="89"/>
      <c r="AL32" s="89"/>
      <c r="AM32" s="88"/>
      <c r="AN32" s="89"/>
      <c r="AO32" s="89"/>
      <c r="AP32" s="89"/>
      <c r="AQ32" s="89"/>
      <c r="AR32" s="89"/>
      <c r="AS32" s="88"/>
      <c r="AT32" s="89"/>
      <c r="AU32" s="89"/>
      <c r="AV32" s="89"/>
      <c r="AW32" s="89"/>
      <c r="AX32" s="89"/>
      <c r="AY32" s="88"/>
      <c r="AZ32" s="89"/>
      <c r="BA32" s="89"/>
      <c r="BB32" s="89"/>
      <c r="BC32" s="89"/>
      <c r="BD32" s="89"/>
      <c r="BE32" s="88"/>
      <c r="BF32" s="89"/>
      <c r="BG32" s="89"/>
      <c r="BH32" s="89"/>
      <c r="BI32" s="89"/>
      <c r="BJ32" s="89"/>
      <c r="BK32" s="88"/>
      <c r="BL32" s="89"/>
      <c r="BM32" s="89"/>
      <c r="BN32" s="89"/>
      <c r="BO32" s="89"/>
      <c r="BP32" s="89"/>
      <c r="BQ32" s="88"/>
      <c r="BR32" s="89"/>
      <c r="BS32" s="89"/>
      <c r="BT32" s="89"/>
      <c r="BU32" s="89"/>
      <c r="BV32" s="89"/>
      <c r="BW32" s="88"/>
      <c r="BX32" s="89"/>
      <c r="BY32" s="89"/>
      <c r="BZ32" s="89"/>
      <c r="CA32" s="89"/>
      <c r="CB32" s="89"/>
      <c r="CC32" s="88"/>
      <c r="CD32" s="89"/>
      <c r="CE32" s="89"/>
      <c r="CF32" s="89"/>
      <c r="CG32" s="89"/>
      <c r="CH32" s="89"/>
      <c r="CI32" s="88"/>
      <c r="CJ32" s="89"/>
      <c r="CK32" s="89"/>
      <c r="CL32" s="89"/>
      <c r="CM32" s="89"/>
      <c r="CN32" s="89"/>
      <c r="CO32" s="88"/>
      <c r="CP32" s="89"/>
      <c r="CQ32" s="89"/>
      <c r="CR32" s="89"/>
      <c r="CS32" s="89"/>
      <c r="CT32" s="89"/>
      <c r="CU32" s="88">
        <f t="shared" si="1"/>
        <v>5685.4210600000006</v>
      </c>
      <c r="CV32" s="89">
        <v>3781.1633000000002</v>
      </c>
      <c r="CW32" s="89">
        <v>3588.6982000000003</v>
      </c>
      <c r="CX32" s="89">
        <v>192.46510000000001</v>
      </c>
      <c r="CY32" s="89">
        <v>1904.25776</v>
      </c>
      <c r="CZ32" s="89"/>
      <c r="DA32" s="88"/>
      <c r="DB32" s="89"/>
      <c r="DC32" s="89"/>
      <c r="DD32" s="89"/>
      <c r="DE32" s="89"/>
      <c r="DF32" s="89"/>
      <c r="DG32" s="88">
        <v>10274.799999999999</v>
      </c>
      <c r="DH32" s="89">
        <v>2746.5</v>
      </c>
      <c r="DI32" s="89"/>
      <c r="DJ32" s="89"/>
      <c r="DK32" s="89">
        <v>9520.9</v>
      </c>
      <c r="DL32" s="89">
        <v>1992.6</v>
      </c>
      <c r="DM32" s="88"/>
      <c r="DN32" s="89"/>
      <c r="DO32" s="89"/>
      <c r="DP32" s="89"/>
      <c r="DQ32" s="89"/>
      <c r="DR32" s="89"/>
      <c r="DS32" s="88"/>
      <c r="DT32" s="89"/>
      <c r="DU32" s="89"/>
      <c r="DV32" s="89"/>
      <c r="DW32" s="89"/>
      <c r="DX32" s="89"/>
      <c r="DY32" s="88"/>
      <c r="DZ32" s="89"/>
      <c r="EA32" s="89"/>
      <c r="EB32" s="89"/>
      <c r="EC32" s="89"/>
      <c r="ED32" s="89"/>
      <c r="EE32" s="88"/>
      <c r="EF32" s="89"/>
      <c r="EG32" s="89"/>
      <c r="EH32" s="89"/>
      <c r="EI32" s="89"/>
      <c r="EJ32" s="89"/>
      <c r="EK32" s="88"/>
      <c r="EL32" s="89"/>
      <c r="EM32" s="89"/>
      <c r="EN32" s="91"/>
      <c r="EO32" s="89"/>
      <c r="EP32" s="89"/>
      <c r="EQ32" s="88"/>
      <c r="ER32" s="89"/>
      <c r="ES32" s="89"/>
      <c r="ET32" s="114"/>
      <c r="EU32" s="89"/>
      <c r="EV32" s="89"/>
      <c r="EW32" s="88"/>
      <c r="EX32" s="89"/>
      <c r="EY32" s="89"/>
      <c r="EZ32" s="114"/>
      <c r="FA32" s="89"/>
      <c r="FB32" s="89"/>
      <c r="FC32" s="115"/>
      <c r="FD32" s="89"/>
      <c r="FE32" s="89"/>
      <c r="FF32" s="116"/>
      <c r="FG32" s="89"/>
      <c r="FH32" s="89"/>
      <c r="FI32" s="115"/>
      <c r="FJ32" s="89"/>
      <c r="FK32" s="89"/>
      <c r="FL32" s="89"/>
      <c r="FM32" s="116"/>
      <c r="FN32" s="116"/>
      <c r="FO32" s="88"/>
      <c r="FP32" s="116"/>
      <c r="FQ32" s="116"/>
      <c r="FR32" s="89"/>
      <c r="FS32" s="116"/>
      <c r="FT32" s="116"/>
      <c r="FU32" s="88"/>
      <c r="FV32" s="89"/>
      <c r="FW32" s="89"/>
      <c r="FX32" s="116"/>
      <c r="FY32" s="89"/>
      <c r="FZ32" s="89"/>
      <c r="GA32" s="88"/>
      <c r="GB32" s="89"/>
      <c r="GC32" s="89"/>
      <c r="GD32" s="89"/>
      <c r="GE32" s="89"/>
      <c r="GF32" s="89"/>
      <c r="GG32" s="88"/>
      <c r="GH32" s="89"/>
      <c r="GI32" s="89"/>
      <c r="GJ32" s="98"/>
      <c r="GK32" s="98"/>
      <c r="GL32" s="98"/>
      <c r="GM32" s="95"/>
      <c r="GN32" s="98"/>
      <c r="GO32" s="98"/>
      <c r="GP32" s="98"/>
      <c r="GQ32" s="98"/>
      <c r="GR32" s="98"/>
      <c r="GS32" s="95"/>
      <c r="GT32" s="87"/>
      <c r="GU32" s="87"/>
      <c r="GV32" s="87"/>
      <c r="GW32" s="87"/>
      <c r="GX32" s="87"/>
      <c r="GY32" s="87"/>
      <c r="GZ32" s="88"/>
      <c r="HA32" s="87"/>
      <c r="HB32" s="87"/>
      <c r="HC32" s="87"/>
      <c r="HD32" s="87"/>
      <c r="HE32" s="87"/>
      <c r="HF32" s="87"/>
      <c r="HG32" s="87"/>
      <c r="HH32" s="87"/>
      <c r="HI32" s="87"/>
      <c r="HJ32" s="87"/>
      <c r="HK32" s="87"/>
      <c r="HL32" s="88"/>
      <c r="HM32" s="87"/>
      <c r="HN32" s="87"/>
      <c r="HO32" s="87"/>
      <c r="HP32" s="87"/>
      <c r="HQ32" s="87"/>
      <c r="HR32" s="87"/>
      <c r="HS32" s="87"/>
    </row>
    <row r="33" spans="1:227">
      <c r="A33" s="69"/>
      <c r="B33" s="87" t="s">
        <v>494</v>
      </c>
      <c r="C33" s="88"/>
      <c r="D33" s="87"/>
      <c r="E33" s="87"/>
      <c r="F33" s="87"/>
      <c r="G33" s="87"/>
      <c r="H33" s="87"/>
      <c r="I33" s="88">
        <v>32655.251</v>
      </c>
      <c r="J33" s="89">
        <v>20507.727999999999</v>
      </c>
      <c r="K33" s="89"/>
      <c r="L33" s="89"/>
      <c r="M33" s="89">
        <v>29069.702000000001</v>
      </c>
      <c r="N33" s="89">
        <v>-16922.179</v>
      </c>
      <c r="O33" s="90"/>
      <c r="P33" s="91"/>
      <c r="Q33" s="91"/>
      <c r="R33" s="91"/>
      <c r="S33" s="91"/>
      <c r="T33" s="91"/>
      <c r="U33" s="90"/>
      <c r="V33" s="91"/>
      <c r="W33" s="91"/>
      <c r="X33" s="91"/>
      <c r="Y33" s="91"/>
      <c r="Z33" s="91"/>
      <c r="AA33" s="88">
        <v>365.61200000000002</v>
      </c>
      <c r="AB33" s="89">
        <f t="shared" si="0"/>
        <v>14.675999999999998</v>
      </c>
      <c r="AC33" s="89">
        <v>2.9950000000000001</v>
      </c>
      <c r="AD33" s="89">
        <v>11.680999999999999</v>
      </c>
      <c r="AE33" s="89">
        <v>350.93599999999998</v>
      </c>
      <c r="AF33" s="89"/>
      <c r="AG33" s="88"/>
      <c r="AH33" s="89"/>
      <c r="AI33" s="89"/>
      <c r="AJ33" s="89"/>
      <c r="AK33" s="89"/>
      <c r="AL33" s="89"/>
      <c r="AM33" s="88"/>
      <c r="AN33" s="89"/>
      <c r="AO33" s="89"/>
      <c r="AP33" s="89"/>
      <c r="AQ33" s="89"/>
      <c r="AR33" s="89"/>
      <c r="AS33" s="88"/>
      <c r="AT33" s="89"/>
      <c r="AU33" s="89"/>
      <c r="AV33" s="89"/>
      <c r="AW33" s="89"/>
      <c r="AX33" s="89"/>
      <c r="AY33" s="88"/>
      <c r="AZ33" s="89"/>
      <c r="BA33" s="89"/>
      <c r="BB33" s="89"/>
      <c r="BC33" s="89"/>
      <c r="BD33" s="89"/>
      <c r="BE33" s="88"/>
      <c r="BF33" s="89"/>
      <c r="BG33" s="89"/>
      <c r="BH33" s="89"/>
      <c r="BI33" s="89"/>
      <c r="BJ33" s="89"/>
      <c r="BK33" s="88"/>
      <c r="BL33" s="89"/>
      <c r="BM33" s="89"/>
      <c r="BN33" s="89"/>
      <c r="BO33" s="89"/>
      <c r="BP33" s="89"/>
      <c r="BQ33" s="88"/>
      <c r="BR33" s="89"/>
      <c r="BS33" s="89"/>
      <c r="BT33" s="89"/>
      <c r="BU33" s="89"/>
      <c r="BV33" s="89"/>
      <c r="BW33" s="88"/>
      <c r="BX33" s="89"/>
      <c r="BY33" s="89"/>
      <c r="BZ33" s="89"/>
      <c r="CA33" s="89"/>
      <c r="CB33" s="89"/>
      <c r="CC33" s="88"/>
      <c r="CD33" s="89"/>
      <c r="CE33" s="89"/>
      <c r="CF33" s="89"/>
      <c r="CG33" s="89"/>
      <c r="CH33" s="89"/>
      <c r="CI33" s="88"/>
      <c r="CJ33" s="89"/>
      <c r="CK33" s="89"/>
      <c r="CL33" s="89"/>
      <c r="CM33" s="89"/>
      <c r="CN33" s="89"/>
      <c r="CO33" s="88"/>
      <c r="CP33" s="89"/>
      <c r="CQ33" s="89"/>
      <c r="CR33" s="89"/>
      <c r="CS33" s="89"/>
      <c r="CT33" s="89"/>
      <c r="CU33" s="88">
        <f t="shared" si="1"/>
        <v>5825.85797</v>
      </c>
      <c r="CV33" s="89">
        <v>3859.4452999999999</v>
      </c>
      <c r="CW33" s="89">
        <v>3674.7078999999999</v>
      </c>
      <c r="CX33" s="89">
        <v>184.73739999999998</v>
      </c>
      <c r="CY33" s="89">
        <v>1966.4126699999999</v>
      </c>
      <c r="CZ33" s="89"/>
      <c r="DA33" s="88"/>
      <c r="DB33" s="89"/>
      <c r="DC33" s="89"/>
      <c r="DD33" s="89"/>
      <c r="DE33" s="89"/>
      <c r="DF33" s="89"/>
      <c r="DG33" s="88">
        <v>9351.4</v>
      </c>
      <c r="DH33" s="89">
        <v>1082.9000000000001</v>
      </c>
      <c r="DI33" s="89"/>
      <c r="DJ33" s="89"/>
      <c r="DK33" s="89">
        <v>10289.700000000001</v>
      </c>
      <c r="DL33" s="89">
        <v>2021.2</v>
      </c>
      <c r="DM33" s="88"/>
      <c r="DN33" s="89"/>
      <c r="DO33" s="89"/>
      <c r="DP33" s="89"/>
      <c r="DQ33" s="89"/>
      <c r="DR33" s="89"/>
      <c r="DS33" s="88"/>
      <c r="DT33" s="89"/>
      <c r="DU33" s="89"/>
      <c r="DV33" s="89"/>
      <c r="DW33" s="89"/>
      <c r="DX33" s="89"/>
      <c r="DY33" s="88"/>
      <c r="DZ33" s="89"/>
      <c r="EA33" s="89"/>
      <c r="EB33" s="89"/>
      <c r="EC33" s="89"/>
      <c r="ED33" s="89"/>
      <c r="EE33" s="88"/>
      <c r="EF33" s="89"/>
      <c r="EG33" s="89"/>
      <c r="EH33" s="89"/>
      <c r="EI33" s="89"/>
      <c r="EJ33" s="89"/>
      <c r="EK33" s="88"/>
      <c r="EL33" s="89"/>
      <c r="EM33" s="89"/>
      <c r="EN33" s="91"/>
      <c r="EO33" s="89"/>
      <c r="EP33" s="89"/>
      <c r="EQ33" s="88"/>
      <c r="ER33" s="89"/>
      <c r="ES33" s="89"/>
      <c r="ET33" s="114"/>
      <c r="EU33" s="89"/>
      <c r="EV33" s="89"/>
      <c r="EW33" s="88"/>
      <c r="EX33" s="89"/>
      <c r="EY33" s="89"/>
      <c r="EZ33" s="114"/>
      <c r="FA33" s="89"/>
      <c r="FB33" s="89"/>
      <c r="FC33" s="115"/>
      <c r="FD33" s="89"/>
      <c r="FE33" s="89"/>
      <c r="FF33" s="116"/>
      <c r="FG33" s="89"/>
      <c r="FH33" s="89"/>
      <c r="FI33" s="115"/>
      <c r="FJ33" s="89"/>
      <c r="FK33" s="89"/>
      <c r="FL33" s="89"/>
      <c r="FM33" s="116"/>
      <c r="FN33" s="116"/>
      <c r="FO33" s="88"/>
      <c r="FP33" s="116"/>
      <c r="FQ33" s="116"/>
      <c r="FR33" s="89"/>
      <c r="FS33" s="116"/>
      <c r="FT33" s="116"/>
      <c r="FU33" s="88"/>
      <c r="FV33" s="89"/>
      <c r="FW33" s="89"/>
      <c r="FX33" s="116"/>
      <c r="FY33" s="89"/>
      <c r="FZ33" s="89"/>
      <c r="GA33" s="88"/>
      <c r="GB33" s="89"/>
      <c r="GC33" s="89"/>
      <c r="GD33" s="89"/>
      <c r="GE33" s="89"/>
      <c r="GF33" s="89"/>
      <c r="GG33" s="88"/>
      <c r="GH33" s="89"/>
      <c r="GI33" s="89"/>
      <c r="GJ33" s="98"/>
      <c r="GK33" s="98"/>
      <c r="GL33" s="98"/>
      <c r="GM33" s="95"/>
      <c r="GN33" s="98"/>
      <c r="GO33" s="98"/>
      <c r="GP33" s="98"/>
      <c r="GQ33" s="98"/>
      <c r="GR33" s="98"/>
      <c r="GS33" s="95"/>
      <c r="GT33" s="87"/>
      <c r="GU33" s="87"/>
      <c r="GV33" s="87"/>
      <c r="GW33" s="87"/>
      <c r="GX33" s="87"/>
      <c r="GY33" s="87"/>
      <c r="GZ33" s="88"/>
      <c r="HA33" s="87"/>
      <c r="HB33" s="87"/>
      <c r="HC33" s="87"/>
      <c r="HD33" s="87"/>
      <c r="HE33" s="87"/>
      <c r="HF33" s="87"/>
      <c r="HG33" s="87"/>
      <c r="HH33" s="87"/>
      <c r="HI33" s="87"/>
      <c r="HJ33" s="87"/>
      <c r="HK33" s="87"/>
      <c r="HL33" s="88"/>
      <c r="HM33" s="87"/>
      <c r="HN33" s="87"/>
      <c r="HO33" s="87"/>
      <c r="HP33" s="87"/>
      <c r="HQ33" s="87"/>
      <c r="HR33" s="87"/>
      <c r="HS33" s="87"/>
    </row>
    <row r="34" spans="1:227">
      <c r="A34" s="69"/>
      <c r="B34" s="87" t="s">
        <v>495</v>
      </c>
      <c r="C34" s="88"/>
      <c r="D34" s="87"/>
      <c r="E34" s="87"/>
      <c r="F34" s="87"/>
      <c r="G34" s="87"/>
      <c r="H34" s="87"/>
      <c r="I34" s="88">
        <v>33738.368999999999</v>
      </c>
      <c r="J34" s="89">
        <v>20146.237000000001</v>
      </c>
      <c r="K34" s="89"/>
      <c r="L34" s="89"/>
      <c r="M34" s="89">
        <v>29922.108</v>
      </c>
      <c r="N34" s="89">
        <v>-16329.976000000001</v>
      </c>
      <c r="O34" s="90"/>
      <c r="P34" s="91"/>
      <c r="Q34" s="91"/>
      <c r="R34" s="91"/>
      <c r="S34" s="91"/>
      <c r="T34" s="91"/>
      <c r="U34" s="90"/>
      <c r="V34" s="91"/>
      <c r="W34" s="91"/>
      <c r="X34" s="91"/>
      <c r="Y34" s="91"/>
      <c r="Z34" s="91"/>
      <c r="AA34" s="88">
        <v>377.49400000000003</v>
      </c>
      <c r="AB34" s="89">
        <f t="shared" si="0"/>
        <v>21.460999999999999</v>
      </c>
      <c r="AC34" s="89">
        <v>9.891</v>
      </c>
      <c r="AD34" s="89">
        <v>11.57</v>
      </c>
      <c r="AE34" s="89">
        <v>356.03300000000002</v>
      </c>
      <c r="AF34" s="89"/>
      <c r="AG34" s="88"/>
      <c r="AH34" s="89"/>
      <c r="AI34" s="89"/>
      <c r="AJ34" s="89"/>
      <c r="AK34" s="89"/>
      <c r="AL34" s="89"/>
      <c r="AM34" s="88"/>
      <c r="AN34" s="89"/>
      <c r="AO34" s="89"/>
      <c r="AP34" s="89"/>
      <c r="AQ34" s="89"/>
      <c r="AR34" s="89"/>
      <c r="AS34" s="88"/>
      <c r="AT34" s="89"/>
      <c r="AU34" s="89"/>
      <c r="AV34" s="89"/>
      <c r="AW34" s="89"/>
      <c r="AX34" s="89"/>
      <c r="AY34" s="88"/>
      <c r="AZ34" s="89"/>
      <c r="BA34" s="89"/>
      <c r="BB34" s="89"/>
      <c r="BC34" s="89"/>
      <c r="BD34" s="89"/>
      <c r="BE34" s="88"/>
      <c r="BF34" s="89"/>
      <c r="BG34" s="89"/>
      <c r="BH34" s="89"/>
      <c r="BI34" s="89"/>
      <c r="BJ34" s="89"/>
      <c r="BK34" s="88"/>
      <c r="BL34" s="89"/>
      <c r="BM34" s="89"/>
      <c r="BN34" s="89"/>
      <c r="BO34" s="89"/>
      <c r="BP34" s="89"/>
      <c r="BQ34" s="88"/>
      <c r="BR34" s="89"/>
      <c r="BS34" s="89"/>
      <c r="BT34" s="89"/>
      <c r="BU34" s="89"/>
      <c r="BV34" s="89"/>
      <c r="BW34" s="88"/>
      <c r="BX34" s="89"/>
      <c r="BY34" s="89"/>
      <c r="BZ34" s="89"/>
      <c r="CA34" s="89"/>
      <c r="CB34" s="89"/>
      <c r="CC34" s="88"/>
      <c r="CD34" s="89"/>
      <c r="CE34" s="89"/>
      <c r="CF34" s="89"/>
      <c r="CG34" s="89"/>
      <c r="CH34" s="89"/>
      <c r="CI34" s="88"/>
      <c r="CJ34" s="89"/>
      <c r="CK34" s="89"/>
      <c r="CL34" s="89"/>
      <c r="CM34" s="89"/>
      <c r="CN34" s="89"/>
      <c r="CO34" s="88"/>
      <c r="CP34" s="89"/>
      <c r="CQ34" s="89"/>
      <c r="CR34" s="89"/>
      <c r="CS34" s="89"/>
      <c r="CT34" s="89"/>
      <c r="CU34" s="88">
        <f t="shared" si="1"/>
        <v>5874.4519900000005</v>
      </c>
      <c r="CV34" s="89">
        <v>3601.3526000000002</v>
      </c>
      <c r="CW34" s="89">
        <v>3407.7997</v>
      </c>
      <c r="CX34" s="89">
        <v>193.55290000000002</v>
      </c>
      <c r="CY34" s="89">
        <v>2273.0993900000003</v>
      </c>
      <c r="CZ34" s="89"/>
      <c r="DA34" s="88"/>
      <c r="DB34" s="89"/>
      <c r="DC34" s="89"/>
      <c r="DD34" s="89"/>
      <c r="DE34" s="89"/>
      <c r="DF34" s="89"/>
      <c r="DG34" s="88">
        <v>10971.3</v>
      </c>
      <c r="DH34" s="89">
        <v>2766.9</v>
      </c>
      <c r="DI34" s="89"/>
      <c r="DJ34" s="89"/>
      <c r="DK34" s="89">
        <v>10152.9</v>
      </c>
      <c r="DL34" s="89">
        <v>1948.5</v>
      </c>
      <c r="DM34" s="88"/>
      <c r="DN34" s="89"/>
      <c r="DO34" s="89"/>
      <c r="DP34" s="89"/>
      <c r="DQ34" s="89"/>
      <c r="DR34" s="89"/>
      <c r="DS34" s="88"/>
      <c r="DT34" s="89"/>
      <c r="DU34" s="89"/>
      <c r="DV34" s="89"/>
      <c r="DW34" s="89"/>
      <c r="DX34" s="89"/>
      <c r="DY34" s="88"/>
      <c r="DZ34" s="89"/>
      <c r="EA34" s="89"/>
      <c r="EB34" s="89"/>
      <c r="EC34" s="89"/>
      <c r="ED34" s="89"/>
      <c r="EE34" s="88"/>
      <c r="EF34" s="89"/>
      <c r="EG34" s="89"/>
      <c r="EH34" s="89"/>
      <c r="EI34" s="89"/>
      <c r="EJ34" s="89"/>
      <c r="EK34" s="88"/>
      <c r="EL34" s="89"/>
      <c r="EM34" s="89"/>
      <c r="EN34" s="91"/>
      <c r="EO34" s="89"/>
      <c r="EP34" s="89"/>
      <c r="EQ34" s="88"/>
      <c r="ER34" s="89"/>
      <c r="ES34" s="89"/>
      <c r="ET34" s="114"/>
      <c r="EU34" s="89"/>
      <c r="EV34" s="89"/>
      <c r="EW34" s="88"/>
      <c r="EX34" s="89"/>
      <c r="EY34" s="89"/>
      <c r="EZ34" s="114"/>
      <c r="FA34" s="89"/>
      <c r="FB34" s="89"/>
      <c r="FC34" s="115"/>
      <c r="FD34" s="89"/>
      <c r="FE34" s="89"/>
      <c r="FF34" s="116"/>
      <c r="FG34" s="89"/>
      <c r="FH34" s="89"/>
      <c r="FI34" s="115"/>
      <c r="FJ34" s="89"/>
      <c r="FK34" s="89"/>
      <c r="FL34" s="89"/>
      <c r="FM34" s="116"/>
      <c r="FN34" s="116"/>
      <c r="FO34" s="88"/>
      <c r="FP34" s="116"/>
      <c r="FQ34" s="116"/>
      <c r="FR34" s="89"/>
      <c r="FS34" s="116"/>
      <c r="FT34" s="116"/>
      <c r="FU34" s="88"/>
      <c r="FV34" s="89"/>
      <c r="FW34" s="89"/>
      <c r="FX34" s="89"/>
      <c r="FY34" s="89"/>
      <c r="FZ34" s="89"/>
      <c r="GA34" s="88"/>
      <c r="GB34" s="89"/>
      <c r="GC34" s="89"/>
      <c r="GD34" s="89"/>
      <c r="GE34" s="89"/>
      <c r="GF34" s="89"/>
      <c r="GG34" s="88"/>
      <c r="GH34" s="89"/>
      <c r="GI34" s="89"/>
      <c r="GJ34" s="98"/>
      <c r="GK34" s="98"/>
      <c r="GL34" s="98"/>
      <c r="GM34" s="95"/>
      <c r="GN34" s="98"/>
      <c r="GO34" s="98"/>
      <c r="GP34" s="98"/>
      <c r="GQ34" s="98"/>
      <c r="GR34" s="98"/>
      <c r="GS34" s="95"/>
      <c r="GT34" s="87"/>
      <c r="GU34" s="87"/>
      <c r="GV34" s="87"/>
      <c r="GW34" s="87"/>
      <c r="GX34" s="87"/>
      <c r="GY34" s="87"/>
      <c r="GZ34" s="88"/>
      <c r="HA34" s="87"/>
      <c r="HB34" s="87"/>
      <c r="HC34" s="87"/>
      <c r="HD34" s="87"/>
      <c r="HE34" s="87"/>
      <c r="HF34" s="87"/>
      <c r="HG34" s="87"/>
      <c r="HH34" s="87"/>
      <c r="HI34" s="87"/>
      <c r="HJ34" s="87"/>
      <c r="HK34" s="87"/>
      <c r="HL34" s="88"/>
      <c r="HM34" s="87"/>
      <c r="HN34" s="87"/>
      <c r="HO34" s="87"/>
      <c r="HP34" s="87"/>
      <c r="HQ34" s="87"/>
      <c r="HR34" s="87"/>
      <c r="HS34" s="87"/>
    </row>
    <row r="35" spans="1:227">
      <c r="A35" s="69"/>
      <c r="B35" s="87" t="s">
        <v>496</v>
      </c>
      <c r="C35" s="88"/>
      <c r="D35" s="87"/>
      <c r="E35" s="87"/>
      <c r="F35" s="87"/>
      <c r="G35" s="87"/>
      <c r="H35" s="87"/>
      <c r="I35" s="88">
        <v>34957.417000000001</v>
      </c>
      <c r="J35" s="89">
        <v>20397.428</v>
      </c>
      <c r="K35" s="89"/>
      <c r="L35" s="89"/>
      <c r="M35" s="89">
        <v>31113.375</v>
      </c>
      <c r="N35" s="89">
        <v>-16553.385999999999</v>
      </c>
      <c r="O35" s="90"/>
      <c r="P35" s="91"/>
      <c r="Q35" s="91"/>
      <c r="R35" s="91"/>
      <c r="S35" s="91"/>
      <c r="T35" s="91"/>
      <c r="U35" s="90"/>
      <c r="V35" s="91"/>
      <c r="W35" s="91"/>
      <c r="X35" s="91"/>
      <c r="Y35" s="91"/>
      <c r="Z35" s="91"/>
      <c r="AA35" s="88">
        <v>378.54</v>
      </c>
      <c r="AB35" s="89">
        <f t="shared" si="0"/>
        <v>27.962000000000003</v>
      </c>
      <c r="AC35" s="89">
        <v>16.164000000000001</v>
      </c>
      <c r="AD35" s="89">
        <v>11.798</v>
      </c>
      <c r="AE35" s="89">
        <v>350.57799999999997</v>
      </c>
      <c r="AF35" s="89"/>
      <c r="AG35" s="88"/>
      <c r="AH35" s="89"/>
      <c r="AI35" s="89"/>
      <c r="AJ35" s="89"/>
      <c r="AK35" s="89"/>
      <c r="AL35" s="89"/>
      <c r="AM35" s="88"/>
      <c r="AN35" s="89"/>
      <c r="AO35" s="89"/>
      <c r="AP35" s="89"/>
      <c r="AQ35" s="89"/>
      <c r="AR35" s="89"/>
      <c r="AS35" s="88"/>
      <c r="AT35" s="89"/>
      <c r="AU35" s="89"/>
      <c r="AV35" s="89"/>
      <c r="AW35" s="89"/>
      <c r="AX35" s="89"/>
      <c r="AY35" s="88"/>
      <c r="AZ35" s="89"/>
      <c r="BA35" s="89"/>
      <c r="BB35" s="89"/>
      <c r="BC35" s="89"/>
      <c r="BD35" s="89"/>
      <c r="BE35" s="88"/>
      <c r="BF35" s="89"/>
      <c r="BG35" s="89"/>
      <c r="BH35" s="89"/>
      <c r="BI35" s="89"/>
      <c r="BJ35" s="89"/>
      <c r="BK35" s="88"/>
      <c r="BL35" s="89"/>
      <c r="BM35" s="89"/>
      <c r="BN35" s="89"/>
      <c r="BO35" s="89"/>
      <c r="BP35" s="89"/>
      <c r="BQ35" s="88"/>
      <c r="BR35" s="89"/>
      <c r="BS35" s="89"/>
      <c r="BT35" s="89"/>
      <c r="BU35" s="89"/>
      <c r="BV35" s="89"/>
      <c r="BW35" s="88"/>
      <c r="BX35" s="89"/>
      <c r="BY35" s="89"/>
      <c r="BZ35" s="89"/>
      <c r="CA35" s="89"/>
      <c r="CB35" s="89"/>
      <c r="CC35" s="88"/>
      <c r="CD35" s="89"/>
      <c r="CE35" s="89"/>
      <c r="CF35" s="89"/>
      <c r="CG35" s="89"/>
      <c r="CH35" s="89"/>
      <c r="CI35" s="88"/>
      <c r="CJ35" s="89"/>
      <c r="CK35" s="89"/>
      <c r="CL35" s="89"/>
      <c r="CM35" s="89"/>
      <c r="CN35" s="89"/>
      <c r="CO35" s="88"/>
      <c r="CP35" s="89"/>
      <c r="CQ35" s="89"/>
      <c r="CR35" s="89"/>
      <c r="CS35" s="89"/>
      <c r="CT35" s="89"/>
      <c r="CU35" s="88">
        <f t="shared" si="1"/>
        <v>5877.2268999999997</v>
      </c>
      <c r="CV35" s="89">
        <v>3572.1430999999998</v>
      </c>
      <c r="CW35" s="89">
        <v>3374.7674999999999</v>
      </c>
      <c r="CX35" s="89">
        <v>197.37559999999999</v>
      </c>
      <c r="CY35" s="89">
        <v>2305.0837999999999</v>
      </c>
      <c r="CZ35" s="89"/>
      <c r="DA35" s="88"/>
      <c r="DB35" s="89"/>
      <c r="DC35" s="89"/>
      <c r="DD35" s="89"/>
      <c r="DE35" s="89"/>
      <c r="DF35" s="89"/>
      <c r="DG35" s="88">
        <v>11569.2</v>
      </c>
      <c r="DH35" s="89">
        <v>2452.3000000000002</v>
      </c>
      <c r="DI35" s="89"/>
      <c r="DJ35" s="89"/>
      <c r="DK35" s="89">
        <v>10383</v>
      </c>
      <c r="DL35" s="89">
        <v>1266.0999999999999</v>
      </c>
      <c r="DM35" s="88"/>
      <c r="DN35" s="89"/>
      <c r="DO35" s="89"/>
      <c r="DP35" s="89"/>
      <c r="DQ35" s="89"/>
      <c r="DR35" s="89"/>
      <c r="DS35" s="88"/>
      <c r="DT35" s="89"/>
      <c r="DU35" s="89"/>
      <c r="DV35" s="89"/>
      <c r="DW35" s="89"/>
      <c r="DX35" s="89"/>
      <c r="DY35" s="88"/>
      <c r="DZ35" s="89"/>
      <c r="EA35" s="89"/>
      <c r="EB35" s="89"/>
      <c r="EC35" s="89"/>
      <c r="ED35" s="89"/>
      <c r="EE35" s="88"/>
      <c r="EF35" s="89"/>
      <c r="EG35" s="89"/>
      <c r="EH35" s="89"/>
      <c r="EI35" s="89"/>
      <c r="EJ35" s="89"/>
      <c r="EK35" s="88"/>
      <c r="EL35" s="89"/>
      <c r="EM35" s="89"/>
      <c r="EN35" s="89"/>
      <c r="EO35" s="89"/>
      <c r="EP35" s="89"/>
      <c r="EQ35" s="88"/>
      <c r="ER35" s="89"/>
      <c r="ES35" s="89"/>
      <c r="ET35" s="89"/>
      <c r="EU35" s="89"/>
      <c r="EV35" s="89"/>
      <c r="EW35" s="88"/>
      <c r="EX35" s="89"/>
      <c r="EY35" s="89"/>
      <c r="EZ35" s="89"/>
      <c r="FA35" s="89"/>
      <c r="FB35" s="89"/>
      <c r="FC35" s="88"/>
      <c r="FD35" s="89"/>
      <c r="FE35" s="89"/>
      <c r="FF35" s="89"/>
      <c r="FG35" s="89"/>
      <c r="FH35" s="89"/>
      <c r="FI35" s="88"/>
      <c r="FJ35" s="89"/>
      <c r="FK35" s="89"/>
      <c r="FL35" s="89"/>
      <c r="FM35" s="89"/>
      <c r="FN35" s="89"/>
      <c r="FO35" s="88"/>
      <c r="FP35" s="89"/>
      <c r="FQ35" s="89"/>
      <c r="FR35" s="89"/>
      <c r="FS35" s="89"/>
      <c r="FT35" s="89"/>
      <c r="FU35" s="88"/>
      <c r="FV35" s="89"/>
      <c r="FW35" s="89"/>
      <c r="FX35" s="89"/>
      <c r="FY35" s="89"/>
      <c r="FZ35" s="89"/>
      <c r="GA35" s="88"/>
      <c r="GB35" s="89"/>
      <c r="GC35" s="89"/>
      <c r="GD35" s="89"/>
      <c r="GE35" s="89"/>
      <c r="GF35" s="89"/>
      <c r="GG35" s="88"/>
      <c r="GH35" s="89"/>
      <c r="GI35" s="89"/>
      <c r="GJ35" s="89"/>
      <c r="GK35" s="89"/>
      <c r="GL35" s="89"/>
      <c r="GM35" s="88"/>
      <c r="GN35" s="89"/>
      <c r="GO35" s="89"/>
      <c r="GP35" s="89"/>
      <c r="GQ35" s="89"/>
      <c r="GR35" s="89"/>
      <c r="GS35" s="88"/>
      <c r="GT35" s="87"/>
      <c r="GU35" s="87"/>
      <c r="GV35" s="87"/>
      <c r="GW35" s="87"/>
      <c r="GX35" s="87"/>
      <c r="GY35" s="87"/>
      <c r="GZ35" s="88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8"/>
      <c r="HM35" s="87"/>
      <c r="HN35" s="87"/>
      <c r="HO35" s="87"/>
      <c r="HP35" s="87"/>
      <c r="HQ35" s="87"/>
      <c r="HR35" s="87"/>
      <c r="HS35" s="87"/>
    </row>
    <row r="36" spans="1:227">
      <c r="A36" s="69"/>
      <c r="B36" s="87" t="s">
        <v>497</v>
      </c>
      <c r="C36" s="88"/>
      <c r="D36" s="87"/>
      <c r="E36" s="87"/>
      <c r="F36" s="87"/>
      <c r="G36" s="87"/>
      <c r="H36" s="87"/>
      <c r="I36" s="88">
        <v>36042.975000000006</v>
      </c>
      <c r="J36" s="89">
        <v>21386.506000000001</v>
      </c>
      <c r="K36" s="89"/>
      <c r="L36" s="89"/>
      <c r="M36" s="89">
        <v>32358.961000000003</v>
      </c>
      <c r="N36" s="89">
        <v>-17702.491999999998</v>
      </c>
      <c r="O36" s="90"/>
      <c r="P36" s="91"/>
      <c r="Q36" s="91"/>
      <c r="R36" s="91"/>
      <c r="S36" s="91"/>
      <c r="T36" s="91"/>
      <c r="U36" s="90"/>
      <c r="V36" s="91"/>
      <c r="W36" s="91"/>
      <c r="X36" s="91"/>
      <c r="Y36" s="91"/>
      <c r="Z36" s="91"/>
      <c r="AA36" s="88">
        <v>392.642</v>
      </c>
      <c r="AB36" s="89">
        <f t="shared" si="0"/>
        <v>32.301000000000002</v>
      </c>
      <c r="AC36" s="89">
        <v>20.591999999999999</v>
      </c>
      <c r="AD36" s="89">
        <v>11.709</v>
      </c>
      <c r="AE36" s="89">
        <v>360.34100000000001</v>
      </c>
      <c r="AF36" s="89"/>
      <c r="AG36" s="88"/>
      <c r="AH36" s="89"/>
      <c r="AI36" s="89"/>
      <c r="AJ36" s="89"/>
      <c r="AK36" s="89"/>
      <c r="AL36" s="89"/>
      <c r="AM36" s="88"/>
      <c r="AN36" s="89"/>
      <c r="AO36" s="89"/>
      <c r="AP36" s="89"/>
      <c r="AQ36" s="89"/>
      <c r="AR36" s="89"/>
      <c r="AS36" s="88"/>
      <c r="AT36" s="89"/>
      <c r="AU36" s="89"/>
      <c r="AV36" s="89"/>
      <c r="AW36" s="89"/>
      <c r="AX36" s="89"/>
      <c r="AY36" s="88"/>
      <c r="AZ36" s="89"/>
      <c r="BA36" s="89"/>
      <c r="BB36" s="89"/>
      <c r="BC36" s="89"/>
      <c r="BD36" s="89"/>
      <c r="BE36" s="88"/>
      <c r="BF36" s="89"/>
      <c r="BG36" s="89"/>
      <c r="BH36" s="89"/>
      <c r="BI36" s="89"/>
      <c r="BJ36" s="89"/>
      <c r="BK36" s="88"/>
      <c r="BL36" s="89"/>
      <c r="BM36" s="89"/>
      <c r="BN36" s="89"/>
      <c r="BO36" s="89"/>
      <c r="BP36" s="89"/>
      <c r="BQ36" s="88"/>
      <c r="BR36" s="89"/>
      <c r="BS36" s="89"/>
      <c r="BT36" s="89"/>
      <c r="BU36" s="89"/>
      <c r="BV36" s="89"/>
      <c r="BW36" s="88"/>
      <c r="BX36" s="89"/>
      <c r="BY36" s="89"/>
      <c r="BZ36" s="89"/>
      <c r="CA36" s="89"/>
      <c r="CB36" s="89"/>
      <c r="CC36" s="88"/>
      <c r="CD36" s="89"/>
      <c r="CE36" s="89"/>
      <c r="CF36" s="89"/>
      <c r="CG36" s="89"/>
      <c r="CH36" s="89"/>
      <c r="CI36" s="88"/>
      <c r="CJ36" s="89"/>
      <c r="CK36" s="89"/>
      <c r="CL36" s="89"/>
      <c r="CM36" s="89"/>
      <c r="CN36" s="89"/>
      <c r="CO36" s="88"/>
      <c r="CP36" s="89"/>
      <c r="CQ36" s="89"/>
      <c r="CR36" s="89"/>
      <c r="CS36" s="89"/>
      <c r="CT36" s="89"/>
      <c r="CU36" s="88">
        <f t="shared" si="1"/>
        <v>6238.3674900000005</v>
      </c>
      <c r="CV36" s="89">
        <v>3931.9140000000002</v>
      </c>
      <c r="CW36" s="89">
        <v>3734.5462000000002</v>
      </c>
      <c r="CX36" s="89">
        <v>197.36780000000002</v>
      </c>
      <c r="CY36" s="89">
        <v>2306.4534900000003</v>
      </c>
      <c r="CZ36" s="89"/>
      <c r="DA36" s="88"/>
      <c r="DB36" s="89"/>
      <c r="DC36" s="89"/>
      <c r="DD36" s="89"/>
      <c r="DE36" s="89"/>
      <c r="DF36" s="89"/>
      <c r="DG36" s="88">
        <v>10091</v>
      </c>
      <c r="DH36" s="89">
        <v>690.9</v>
      </c>
      <c r="DI36" s="89"/>
      <c r="DJ36" s="89"/>
      <c r="DK36" s="89">
        <v>10995.3</v>
      </c>
      <c r="DL36" s="89">
        <v>1595.2</v>
      </c>
      <c r="DM36" s="88"/>
      <c r="DN36" s="89"/>
      <c r="DO36" s="89"/>
      <c r="DP36" s="89"/>
      <c r="DQ36" s="89"/>
      <c r="DR36" s="89"/>
      <c r="DS36" s="88"/>
      <c r="DT36" s="89"/>
      <c r="DU36" s="89"/>
      <c r="DV36" s="89"/>
      <c r="DW36" s="89"/>
      <c r="DX36" s="89"/>
      <c r="DY36" s="88"/>
      <c r="DZ36" s="89"/>
      <c r="EA36" s="89"/>
      <c r="EB36" s="89"/>
      <c r="EC36" s="89"/>
      <c r="ED36" s="89"/>
      <c r="EE36" s="88"/>
      <c r="EF36" s="89"/>
      <c r="EG36" s="89"/>
      <c r="EH36" s="89"/>
      <c r="EI36" s="89"/>
      <c r="EJ36" s="89"/>
      <c r="EK36" s="88"/>
      <c r="EL36" s="89"/>
      <c r="EM36" s="89"/>
      <c r="EN36" s="91"/>
      <c r="EO36" s="89"/>
      <c r="EP36" s="89"/>
      <c r="EQ36" s="88"/>
      <c r="ER36" s="89"/>
      <c r="ES36" s="89"/>
      <c r="ET36" s="114"/>
      <c r="EU36" s="89"/>
      <c r="EV36" s="89"/>
      <c r="EW36" s="88"/>
      <c r="EX36" s="89"/>
      <c r="EY36" s="89"/>
      <c r="EZ36" s="114"/>
      <c r="FA36" s="89"/>
      <c r="FB36" s="89"/>
      <c r="FC36" s="115"/>
      <c r="FD36" s="89"/>
      <c r="FE36" s="89"/>
      <c r="FF36" s="116"/>
      <c r="FG36" s="89"/>
      <c r="FH36" s="89"/>
      <c r="FI36" s="115"/>
      <c r="FJ36" s="89"/>
      <c r="FK36" s="89"/>
      <c r="FL36" s="89"/>
      <c r="FM36" s="116"/>
      <c r="FN36" s="116"/>
      <c r="FO36" s="88"/>
      <c r="FP36" s="116"/>
      <c r="FQ36" s="116"/>
      <c r="FR36" s="89"/>
      <c r="FS36" s="116"/>
      <c r="FT36" s="116"/>
      <c r="FU36" s="88"/>
      <c r="FV36" s="116"/>
      <c r="FW36" s="116"/>
      <c r="FX36" s="89"/>
      <c r="FY36" s="89"/>
      <c r="FZ36" s="89"/>
      <c r="GA36" s="88"/>
      <c r="GB36" s="89"/>
      <c r="GC36" s="89"/>
      <c r="GD36" s="89"/>
      <c r="GE36" s="89"/>
      <c r="GF36" s="89"/>
      <c r="GG36" s="88"/>
      <c r="GH36" s="89"/>
      <c r="GI36" s="89"/>
      <c r="GJ36" s="89"/>
      <c r="GK36" s="89"/>
      <c r="GL36" s="89"/>
      <c r="GM36" s="88"/>
      <c r="GN36" s="89"/>
      <c r="GO36" s="89"/>
      <c r="GP36" s="89"/>
      <c r="GQ36" s="89"/>
      <c r="GR36" s="89"/>
      <c r="GS36" s="88"/>
      <c r="GT36" s="87"/>
      <c r="GU36" s="87"/>
      <c r="GV36" s="87"/>
      <c r="GW36" s="87"/>
      <c r="GX36" s="87"/>
      <c r="GY36" s="87"/>
      <c r="GZ36" s="88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8"/>
      <c r="HM36" s="87"/>
      <c r="HN36" s="87"/>
      <c r="HO36" s="87"/>
      <c r="HP36" s="87"/>
      <c r="HQ36" s="87"/>
      <c r="HR36" s="87"/>
      <c r="HS36" s="87"/>
    </row>
    <row r="37" spans="1:227">
      <c r="A37" s="69"/>
      <c r="B37" s="87" t="s">
        <v>498</v>
      </c>
      <c r="C37" s="88"/>
      <c r="D37" s="87"/>
      <c r="E37" s="87"/>
      <c r="F37" s="87"/>
      <c r="G37" s="87"/>
      <c r="H37" s="87"/>
      <c r="I37" s="88">
        <v>33142.678</v>
      </c>
      <c r="J37" s="89">
        <v>19779.503000000001</v>
      </c>
      <c r="K37" s="89"/>
      <c r="L37" s="89"/>
      <c r="M37" s="89">
        <v>33492.065000000002</v>
      </c>
      <c r="N37" s="89">
        <v>-20128.89</v>
      </c>
      <c r="O37" s="90"/>
      <c r="P37" s="91"/>
      <c r="Q37" s="91"/>
      <c r="R37" s="91"/>
      <c r="S37" s="91"/>
      <c r="T37" s="91"/>
      <c r="U37" s="90"/>
      <c r="V37" s="91"/>
      <c r="W37" s="91"/>
      <c r="X37" s="91"/>
      <c r="Y37" s="89"/>
      <c r="Z37" s="89"/>
      <c r="AA37" s="88">
        <v>407.93799999999999</v>
      </c>
      <c r="AB37" s="89">
        <f t="shared" si="0"/>
        <v>36.335999999999999</v>
      </c>
      <c r="AC37" s="89">
        <v>24.459</v>
      </c>
      <c r="AD37" s="89">
        <v>11.877000000000001</v>
      </c>
      <c r="AE37" s="89">
        <v>371.60199999999998</v>
      </c>
      <c r="AF37" s="89"/>
      <c r="AG37" s="88"/>
      <c r="AH37" s="89"/>
      <c r="AI37" s="89"/>
      <c r="AJ37" s="91"/>
      <c r="AK37" s="89"/>
      <c r="AL37" s="89"/>
      <c r="AM37" s="88"/>
      <c r="AN37" s="89"/>
      <c r="AO37" s="89"/>
      <c r="AP37" s="91"/>
      <c r="AQ37" s="89"/>
      <c r="AR37" s="89"/>
      <c r="AS37" s="88"/>
      <c r="AT37" s="89"/>
      <c r="AU37" s="89"/>
      <c r="AV37" s="89"/>
      <c r="AW37" s="89"/>
      <c r="AX37" s="89"/>
      <c r="AY37" s="88"/>
      <c r="AZ37" s="89"/>
      <c r="BA37" s="89"/>
      <c r="BB37" s="89"/>
      <c r="BC37" s="89"/>
      <c r="BD37" s="89"/>
      <c r="BE37" s="88"/>
      <c r="BF37" s="89"/>
      <c r="BG37" s="89"/>
      <c r="BH37" s="89"/>
      <c r="BI37" s="89"/>
      <c r="BJ37" s="89"/>
      <c r="BK37" s="88"/>
      <c r="BL37" s="89"/>
      <c r="BM37" s="89"/>
      <c r="BN37" s="89"/>
      <c r="BO37" s="89"/>
      <c r="BP37" s="89"/>
      <c r="BQ37" s="88"/>
      <c r="BR37" s="89"/>
      <c r="BS37" s="89"/>
      <c r="BT37" s="89"/>
      <c r="BU37" s="89"/>
      <c r="BV37" s="89"/>
      <c r="BW37" s="88"/>
      <c r="BX37" s="89"/>
      <c r="BY37" s="89"/>
      <c r="BZ37" s="89"/>
      <c r="CA37" s="89"/>
      <c r="CB37" s="89"/>
      <c r="CC37" s="88"/>
      <c r="CD37" s="89"/>
      <c r="CE37" s="89"/>
      <c r="CF37" s="89"/>
      <c r="CG37" s="89"/>
      <c r="CH37" s="89"/>
      <c r="CI37" s="88"/>
      <c r="CJ37" s="89"/>
      <c r="CK37" s="89"/>
      <c r="CL37" s="89"/>
      <c r="CM37" s="89"/>
      <c r="CN37" s="89"/>
      <c r="CO37" s="88"/>
      <c r="CP37" s="89"/>
      <c r="CQ37" s="89"/>
      <c r="CR37" s="89"/>
      <c r="CS37" s="89"/>
      <c r="CT37" s="89"/>
      <c r="CU37" s="88">
        <f t="shared" si="1"/>
        <v>6309.4035899999999</v>
      </c>
      <c r="CV37" s="89">
        <v>4033.6468999999997</v>
      </c>
      <c r="CW37" s="89">
        <v>3828.3470000000002</v>
      </c>
      <c r="CX37" s="89">
        <v>205.29990000000001</v>
      </c>
      <c r="CY37" s="89">
        <v>2275.7566900000002</v>
      </c>
      <c r="CZ37" s="89"/>
      <c r="DA37" s="88"/>
      <c r="DB37" s="89"/>
      <c r="DC37" s="89"/>
      <c r="DD37" s="89"/>
      <c r="DE37" s="89"/>
      <c r="DF37" s="89"/>
      <c r="DG37" s="88">
        <v>7992.1</v>
      </c>
      <c r="DH37" s="89">
        <v>942.9</v>
      </c>
      <c r="DI37" s="89"/>
      <c r="DJ37" s="89"/>
      <c r="DK37" s="89">
        <v>10925.1</v>
      </c>
      <c r="DL37" s="89">
        <v>1990.1</v>
      </c>
      <c r="DM37" s="88"/>
      <c r="DN37" s="89"/>
      <c r="DO37" s="89"/>
      <c r="DP37" s="89"/>
      <c r="DQ37" s="89"/>
      <c r="DR37" s="89"/>
      <c r="DS37" s="88"/>
      <c r="DT37" s="89"/>
      <c r="DU37" s="89"/>
      <c r="DV37" s="89"/>
      <c r="DW37" s="89"/>
      <c r="DX37" s="89"/>
      <c r="DY37" s="88"/>
      <c r="DZ37" s="89"/>
      <c r="EA37" s="89"/>
      <c r="EB37" s="89"/>
      <c r="EC37" s="89"/>
      <c r="ED37" s="89"/>
      <c r="EE37" s="88"/>
      <c r="EF37" s="89"/>
      <c r="EG37" s="89"/>
      <c r="EH37" s="89"/>
      <c r="EI37" s="89"/>
      <c r="EJ37" s="89"/>
      <c r="EK37" s="88"/>
      <c r="EL37" s="89"/>
      <c r="EM37" s="89"/>
      <c r="EN37" s="89"/>
      <c r="EO37" s="89"/>
      <c r="EP37" s="89"/>
      <c r="EQ37" s="88"/>
      <c r="ER37" s="89"/>
      <c r="ES37" s="89"/>
      <c r="ET37" s="89"/>
      <c r="EU37" s="89"/>
      <c r="EV37" s="89"/>
      <c r="EW37" s="88"/>
      <c r="EX37" s="89"/>
      <c r="EY37" s="89"/>
      <c r="EZ37" s="89"/>
      <c r="FA37" s="89"/>
      <c r="FB37" s="89"/>
      <c r="FC37" s="88"/>
      <c r="FD37" s="89"/>
      <c r="FE37" s="89"/>
      <c r="FF37" s="89"/>
      <c r="FG37" s="89"/>
      <c r="FH37" s="89"/>
      <c r="FI37" s="88"/>
      <c r="FJ37" s="89"/>
      <c r="FK37" s="89"/>
      <c r="FL37" s="89"/>
      <c r="FM37" s="89"/>
      <c r="FN37" s="89"/>
      <c r="FO37" s="88"/>
      <c r="FP37" s="89"/>
      <c r="FQ37" s="89"/>
      <c r="FR37" s="89"/>
      <c r="FS37" s="89"/>
      <c r="FT37" s="89"/>
      <c r="FU37" s="88"/>
      <c r="FV37" s="89"/>
      <c r="FW37" s="89"/>
      <c r="FX37" s="89"/>
      <c r="FY37" s="89"/>
      <c r="FZ37" s="89"/>
      <c r="GA37" s="88"/>
      <c r="GB37" s="89"/>
      <c r="GC37" s="89"/>
      <c r="GD37" s="89"/>
      <c r="GE37" s="89"/>
      <c r="GF37" s="89"/>
      <c r="GG37" s="88"/>
      <c r="GH37" s="89"/>
      <c r="GI37" s="89"/>
      <c r="GJ37" s="89"/>
      <c r="GK37" s="89"/>
      <c r="GL37" s="89"/>
      <c r="GM37" s="88"/>
      <c r="GN37" s="89"/>
      <c r="GO37" s="89"/>
      <c r="GP37" s="89"/>
      <c r="GQ37" s="89"/>
      <c r="GR37" s="89"/>
      <c r="GS37" s="88"/>
      <c r="GT37" s="87"/>
      <c r="GU37" s="87"/>
      <c r="GV37" s="87"/>
      <c r="GW37" s="87"/>
      <c r="GX37" s="87"/>
      <c r="GY37" s="87"/>
      <c r="GZ37" s="88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8"/>
      <c r="HM37" s="87"/>
      <c r="HN37" s="87"/>
      <c r="HO37" s="87"/>
      <c r="HP37" s="87"/>
      <c r="HQ37" s="87"/>
      <c r="HR37" s="87"/>
      <c r="HS37" s="87"/>
    </row>
    <row r="38" spans="1:227">
      <c r="A38" s="69"/>
      <c r="B38" s="87" t="s">
        <v>499</v>
      </c>
      <c r="C38" s="88"/>
      <c r="D38" s="87"/>
      <c r="E38" s="87"/>
      <c r="F38" s="87"/>
      <c r="G38" s="87"/>
      <c r="H38" s="87"/>
      <c r="I38" s="88">
        <v>33038.61</v>
      </c>
      <c r="J38" s="89">
        <v>19981.019</v>
      </c>
      <c r="K38" s="89"/>
      <c r="L38" s="89"/>
      <c r="M38" s="89">
        <v>34132.359000000004</v>
      </c>
      <c r="N38" s="89">
        <v>-21074.768</v>
      </c>
      <c r="O38" s="90"/>
      <c r="P38" s="91"/>
      <c r="Q38" s="91"/>
      <c r="R38" s="91"/>
      <c r="S38" s="91"/>
      <c r="T38" s="91"/>
      <c r="U38" s="90"/>
      <c r="V38" s="91"/>
      <c r="W38" s="91"/>
      <c r="X38" s="91"/>
      <c r="Y38" s="89"/>
      <c r="Z38" s="89"/>
      <c r="AA38" s="88">
        <v>418.99200000000002</v>
      </c>
      <c r="AB38" s="89">
        <f t="shared" si="0"/>
        <v>43.256</v>
      </c>
      <c r="AC38" s="89">
        <v>31.31</v>
      </c>
      <c r="AD38" s="89">
        <v>11.946</v>
      </c>
      <c r="AE38" s="89">
        <v>375.73599999999999</v>
      </c>
      <c r="AF38" s="89"/>
      <c r="AG38" s="88"/>
      <c r="AH38" s="89"/>
      <c r="AI38" s="89"/>
      <c r="AJ38" s="91"/>
      <c r="AK38" s="89"/>
      <c r="AL38" s="89"/>
      <c r="AM38" s="88"/>
      <c r="AN38" s="89"/>
      <c r="AO38" s="89"/>
      <c r="AP38" s="91"/>
      <c r="AQ38" s="89"/>
      <c r="AR38" s="89"/>
      <c r="AS38" s="88"/>
      <c r="AT38" s="89"/>
      <c r="AU38" s="89"/>
      <c r="AV38" s="89"/>
      <c r="AW38" s="89"/>
      <c r="AX38" s="89"/>
      <c r="AY38" s="88"/>
      <c r="AZ38" s="89"/>
      <c r="BA38" s="89"/>
      <c r="BB38" s="89"/>
      <c r="BC38" s="89"/>
      <c r="BD38" s="89"/>
      <c r="BE38" s="88"/>
      <c r="BF38" s="89"/>
      <c r="BG38" s="89"/>
      <c r="BH38" s="89"/>
      <c r="BI38" s="89"/>
      <c r="BJ38" s="89"/>
      <c r="BK38" s="88"/>
      <c r="BL38" s="89"/>
      <c r="BM38" s="89"/>
      <c r="BN38" s="89"/>
      <c r="BO38" s="89"/>
      <c r="BP38" s="89"/>
      <c r="BQ38" s="88"/>
      <c r="BR38" s="89"/>
      <c r="BS38" s="89"/>
      <c r="BT38" s="89"/>
      <c r="BU38" s="89"/>
      <c r="BV38" s="89"/>
      <c r="BW38" s="88"/>
      <c r="BX38" s="89"/>
      <c r="BY38" s="89"/>
      <c r="BZ38" s="89"/>
      <c r="CA38" s="89"/>
      <c r="CB38" s="89"/>
      <c r="CC38" s="88"/>
      <c r="CD38" s="89"/>
      <c r="CE38" s="89"/>
      <c r="CF38" s="89"/>
      <c r="CG38" s="89"/>
      <c r="CH38" s="89"/>
      <c r="CI38" s="88"/>
      <c r="CJ38" s="89"/>
      <c r="CK38" s="89"/>
      <c r="CL38" s="89"/>
      <c r="CM38" s="89"/>
      <c r="CN38" s="89"/>
      <c r="CO38" s="88"/>
      <c r="CP38" s="89"/>
      <c r="CQ38" s="89"/>
      <c r="CR38" s="89"/>
      <c r="CS38" s="89"/>
      <c r="CT38" s="89"/>
      <c r="CU38" s="88">
        <f t="shared" si="1"/>
        <v>6352.71958</v>
      </c>
      <c r="CV38" s="89">
        <v>4129.6314000000002</v>
      </c>
      <c r="CW38" s="89">
        <v>3907.1860000000001</v>
      </c>
      <c r="CX38" s="89">
        <v>222.44540000000001</v>
      </c>
      <c r="CY38" s="89">
        <v>2223.0881799999997</v>
      </c>
      <c r="CZ38" s="89"/>
      <c r="DA38" s="88"/>
      <c r="DB38" s="89"/>
      <c r="DC38" s="89"/>
      <c r="DD38" s="89"/>
      <c r="DE38" s="89"/>
      <c r="DF38" s="89"/>
      <c r="DG38" s="88">
        <v>8578.2999999999993</v>
      </c>
      <c r="DH38" s="89">
        <v>710.3</v>
      </c>
      <c r="DI38" s="89"/>
      <c r="DJ38" s="89"/>
      <c r="DK38" s="89">
        <v>11388.7</v>
      </c>
      <c r="DL38" s="89">
        <v>2100.1</v>
      </c>
      <c r="DM38" s="88"/>
      <c r="DN38" s="89"/>
      <c r="DO38" s="89"/>
      <c r="DP38" s="89"/>
      <c r="DQ38" s="89"/>
      <c r="DR38" s="89"/>
      <c r="DS38" s="88"/>
      <c r="DT38" s="89"/>
      <c r="DU38" s="89"/>
      <c r="DV38" s="89"/>
      <c r="DW38" s="89"/>
      <c r="DX38" s="89"/>
      <c r="DY38" s="88"/>
      <c r="DZ38" s="89"/>
      <c r="EA38" s="89"/>
      <c r="EB38" s="89"/>
      <c r="EC38" s="89"/>
      <c r="ED38" s="89"/>
      <c r="EE38" s="88"/>
      <c r="EF38" s="89"/>
      <c r="EG38" s="89"/>
      <c r="EH38" s="89"/>
      <c r="EI38" s="89"/>
      <c r="EJ38" s="89"/>
      <c r="EK38" s="88"/>
      <c r="EL38" s="89"/>
      <c r="EM38" s="89"/>
      <c r="EN38" s="89"/>
      <c r="EO38" s="89"/>
      <c r="EP38" s="89"/>
      <c r="EQ38" s="88"/>
      <c r="ER38" s="89"/>
      <c r="ES38" s="89"/>
      <c r="ET38" s="89"/>
      <c r="EU38" s="89"/>
      <c r="EV38" s="89"/>
      <c r="EW38" s="88"/>
      <c r="EX38" s="89"/>
      <c r="EY38" s="89"/>
      <c r="EZ38" s="89"/>
      <c r="FA38" s="89"/>
      <c r="FB38" s="89"/>
      <c r="FC38" s="88"/>
      <c r="FD38" s="89"/>
      <c r="FE38" s="89"/>
      <c r="FF38" s="89"/>
      <c r="FG38" s="89"/>
      <c r="FH38" s="89"/>
      <c r="FI38" s="88"/>
      <c r="FJ38" s="89"/>
      <c r="FK38" s="89"/>
      <c r="FL38" s="89"/>
      <c r="FM38" s="89"/>
      <c r="FN38" s="89"/>
      <c r="FO38" s="88"/>
      <c r="FP38" s="89"/>
      <c r="FQ38" s="89"/>
      <c r="FR38" s="89"/>
      <c r="FS38" s="89"/>
      <c r="FT38" s="89"/>
      <c r="FU38" s="88"/>
      <c r="FV38" s="89"/>
      <c r="FW38" s="89"/>
      <c r="FX38" s="89"/>
      <c r="FY38" s="89"/>
      <c r="FZ38" s="89"/>
      <c r="GA38" s="88"/>
      <c r="GB38" s="89"/>
      <c r="GC38" s="89"/>
      <c r="GD38" s="89"/>
      <c r="GE38" s="89"/>
      <c r="GF38" s="89"/>
      <c r="GG38" s="88"/>
      <c r="GH38" s="89"/>
      <c r="GI38" s="89"/>
      <c r="GJ38" s="89"/>
      <c r="GK38" s="89"/>
      <c r="GL38" s="89"/>
      <c r="GM38" s="88"/>
      <c r="GN38" s="89"/>
      <c r="GO38" s="89"/>
      <c r="GP38" s="89"/>
      <c r="GQ38" s="89"/>
      <c r="GR38" s="89"/>
      <c r="GS38" s="88"/>
      <c r="GT38" s="87"/>
      <c r="GU38" s="87"/>
      <c r="GV38" s="87"/>
      <c r="GW38" s="87"/>
      <c r="GX38" s="87"/>
      <c r="GY38" s="87"/>
      <c r="GZ38" s="88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8"/>
      <c r="HM38" s="87"/>
      <c r="HN38" s="87"/>
      <c r="HO38" s="87"/>
      <c r="HP38" s="87"/>
      <c r="HQ38" s="87"/>
      <c r="HR38" s="87"/>
      <c r="HS38" s="87"/>
    </row>
    <row r="39" spans="1:227" ht="12" thickBot="1">
      <c r="A39" s="102"/>
      <c r="B39" s="103" t="s">
        <v>500</v>
      </c>
      <c r="C39" s="104"/>
      <c r="D39" s="105"/>
      <c r="E39" s="105"/>
      <c r="F39" s="105"/>
      <c r="G39" s="105"/>
      <c r="H39" s="105"/>
      <c r="I39" s="104">
        <v>32928.812999999995</v>
      </c>
      <c r="J39" s="105">
        <v>19893.169999999998</v>
      </c>
      <c r="K39" s="105"/>
      <c r="L39" s="105"/>
      <c r="M39" s="105">
        <v>34987.616999999998</v>
      </c>
      <c r="N39" s="105">
        <v>-21951.973999999998</v>
      </c>
      <c r="O39" s="106">
        <v>2054.1999999999998</v>
      </c>
      <c r="P39" s="107">
        <f>Q39+R39</f>
        <v>474.4</v>
      </c>
      <c r="Q39" s="107">
        <v>359.2</v>
      </c>
      <c r="R39" s="107">
        <v>115.2</v>
      </c>
      <c r="S39" s="107">
        <v>1579.8</v>
      </c>
      <c r="T39" s="107"/>
      <c r="U39" s="106"/>
      <c r="V39" s="107"/>
      <c r="W39" s="107"/>
      <c r="X39" s="107"/>
      <c r="Y39" s="107"/>
      <c r="Z39" s="107"/>
      <c r="AA39" s="104">
        <v>426.99099999999999</v>
      </c>
      <c r="AB39" s="105">
        <f t="shared" si="0"/>
        <v>46.17</v>
      </c>
      <c r="AC39" s="105">
        <v>34.554000000000002</v>
      </c>
      <c r="AD39" s="105">
        <v>11.616</v>
      </c>
      <c r="AE39" s="105">
        <v>380.82100000000003</v>
      </c>
      <c r="AF39" s="103"/>
      <c r="AG39" s="104">
        <v>13352.677</v>
      </c>
      <c r="AH39" s="105">
        <v>4878.83</v>
      </c>
      <c r="AI39" s="105">
        <v>4125.6360000000004</v>
      </c>
      <c r="AJ39" s="105"/>
      <c r="AK39" s="105">
        <v>8473.8469999999998</v>
      </c>
      <c r="AL39" s="105"/>
      <c r="AM39" s="104"/>
      <c r="AN39" s="105"/>
      <c r="AO39" s="105"/>
      <c r="AP39" s="105"/>
      <c r="AQ39" s="105"/>
      <c r="AR39" s="105"/>
      <c r="AS39" s="104"/>
      <c r="AT39" s="105"/>
      <c r="AU39" s="105"/>
      <c r="AV39" s="105"/>
      <c r="AW39" s="105"/>
      <c r="AX39" s="105"/>
      <c r="AY39" s="104"/>
      <c r="AZ39" s="105"/>
      <c r="BA39" s="105"/>
      <c r="BB39" s="105"/>
      <c r="BC39" s="105"/>
      <c r="BD39" s="103"/>
      <c r="BE39" s="104"/>
      <c r="BF39" s="105"/>
      <c r="BG39" s="105"/>
      <c r="BH39" s="105"/>
      <c r="BI39" s="105"/>
      <c r="BJ39" s="105"/>
      <c r="BK39" s="104"/>
      <c r="BL39" s="105"/>
      <c r="BM39" s="105"/>
      <c r="BN39" s="105"/>
      <c r="BO39" s="105"/>
      <c r="BP39" s="105"/>
      <c r="BQ39" s="104"/>
      <c r="BR39" s="105"/>
      <c r="BS39" s="105"/>
      <c r="BT39" s="105"/>
      <c r="BU39" s="105"/>
      <c r="BV39" s="105"/>
      <c r="BW39" s="104"/>
      <c r="BX39" s="105"/>
      <c r="BY39" s="105"/>
      <c r="BZ39" s="105"/>
      <c r="CA39" s="105"/>
      <c r="CB39" s="105"/>
      <c r="CC39" s="104"/>
      <c r="CD39" s="105"/>
      <c r="CE39" s="105"/>
      <c r="CF39" s="105"/>
      <c r="CG39" s="105"/>
      <c r="CH39" s="105"/>
      <c r="CI39" s="104"/>
      <c r="CJ39" s="105"/>
      <c r="CK39" s="105"/>
      <c r="CL39" s="105"/>
      <c r="CM39" s="105"/>
      <c r="CN39" s="105"/>
      <c r="CO39" s="104"/>
      <c r="CP39" s="105"/>
      <c r="CQ39" s="105"/>
      <c r="CR39" s="105"/>
      <c r="CS39" s="105"/>
      <c r="CT39" s="105"/>
      <c r="CU39" s="104">
        <f t="shared" si="1"/>
        <v>6756.0419100000017</v>
      </c>
      <c r="CV39" s="105">
        <v>4450.1062000000011</v>
      </c>
      <c r="CW39" s="105">
        <v>4204.0584000000008</v>
      </c>
      <c r="CX39" s="105">
        <v>246.0478</v>
      </c>
      <c r="CY39" s="105">
        <v>2305.9357100000002</v>
      </c>
      <c r="CZ39" s="105"/>
      <c r="DA39" s="104"/>
      <c r="DB39" s="105"/>
      <c r="DC39" s="105"/>
      <c r="DD39" s="105"/>
      <c r="DE39" s="105"/>
      <c r="DF39" s="105"/>
      <c r="DG39" s="104">
        <v>8765.4</v>
      </c>
      <c r="DH39" s="105">
        <v>501.7</v>
      </c>
      <c r="DI39" s="105"/>
      <c r="DJ39" s="105"/>
      <c r="DK39" s="105">
        <v>12518.4</v>
      </c>
      <c r="DL39" s="105">
        <v>3251.3</v>
      </c>
      <c r="DM39" s="104"/>
      <c r="DN39" s="105"/>
      <c r="DO39" s="105"/>
      <c r="DP39" s="105"/>
      <c r="DQ39" s="105"/>
      <c r="DR39" s="105"/>
      <c r="DS39" s="104"/>
      <c r="DT39" s="105"/>
      <c r="DU39" s="105"/>
      <c r="DV39" s="105"/>
      <c r="DW39" s="105"/>
      <c r="DX39" s="105"/>
      <c r="DY39" s="104"/>
      <c r="DZ39" s="105"/>
      <c r="EA39" s="105"/>
      <c r="EB39" s="105"/>
      <c r="EC39" s="105"/>
      <c r="ED39" s="105"/>
      <c r="EE39" s="104"/>
      <c r="EF39" s="105"/>
      <c r="EG39" s="105"/>
      <c r="EH39" s="105"/>
      <c r="EI39" s="105"/>
      <c r="EJ39" s="105"/>
      <c r="EK39" s="104"/>
      <c r="EL39" s="105"/>
      <c r="EM39" s="105"/>
      <c r="EN39" s="105"/>
      <c r="EO39" s="105"/>
      <c r="EP39" s="103"/>
      <c r="EQ39" s="104"/>
      <c r="ER39" s="105"/>
      <c r="ES39" s="105"/>
      <c r="ET39" s="105"/>
      <c r="EU39" s="105"/>
      <c r="EV39" s="105"/>
      <c r="EW39" s="104"/>
      <c r="EX39" s="105"/>
      <c r="EY39" s="105"/>
      <c r="EZ39" s="105"/>
      <c r="FA39" s="105"/>
      <c r="FB39" s="108"/>
      <c r="FC39" s="109"/>
      <c r="FD39" s="108"/>
      <c r="FE39" s="108"/>
      <c r="FF39" s="108"/>
      <c r="FG39" s="108"/>
      <c r="FH39" s="108"/>
      <c r="FI39" s="109"/>
      <c r="FJ39" s="108"/>
      <c r="FK39" s="108"/>
      <c r="FL39" s="108"/>
      <c r="FM39" s="108"/>
      <c r="FN39" s="108"/>
      <c r="FO39" s="109"/>
      <c r="FP39" s="108"/>
      <c r="FQ39" s="108"/>
      <c r="FR39" s="108"/>
      <c r="FS39" s="108"/>
      <c r="FT39" s="108"/>
      <c r="FU39" s="109"/>
      <c r="FV39" s="108"/>
      <c r="FW39" s="108"/>
      <c r="FX39" s="108"/>
      <c r="FY39" s="108"/>
      <c r="FZ39" s="108"/>
      <c r="GA39" s="109"/>
      <c r="GB39" s="108"/>
      <c r="GC39" s="108"/>
      <c r="GD39" s="108"/>
      <c r="GE39" s="108"/>
      <c r="GF39" s="108"/>
      <c r="GG39" s="104"/>
      <c r="GH39" s="105"/>
      <c r="GI39" s="105"/>
      <c r="GJ39" s="105"/>
      <c r="GK39" s="105"/>
      <c r="GL39" s="105"/>
      <c r="GM39" s="104"/>
      <c r="GN39" s="105"/>
      <c r="GO39" s="105"/>
      <c r="GP39" s="105"/>
      <c r="GQ39" s="105"/>
      <c r="GR39" s="103"/>
      <c r="GS39" s="88"/>
      <c r="GT39" s="87"/>
      <c r="GU39" s="87"/>
      <c r="GV39" s="87"/>
      <c r="GW39" s="87"/>
      <c r="GX39" s="87"/>
      <c r="GY39" s="87"/>
      <c r="GZ39" s="88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8"/>
      <c r="HM39" s="87"/>
      <c r="HN39" s="87"/>
      <c r="HO39" s="87"/>
      <c r="HP39" s="87"/>
      <c r="HQ39" s="87"/>
      <c r="HR39" s="87"/>
      <c r="HS39" s="87"/>
    </row>
    <row r="40" spans="1:227">
      <c r="A40" s="86">
        <v>1993</v>
      </c>
      <c r="B40" s="87" t="s">
        <v>489</v>
      </c>
      <c r="C40" s="88"/>
      <c r="D40" s="87"/>
      <c r="E40" s="87"/>
      <c r="F40" s="87"/>
      <c r="G40" s="87"/>
      <c r="H40" s="87"/>
      <c r="I40" s="88">
        <v>34853.021999999997</v>
      </c>
      <c r="J40" s="89">
        <v>21032.351999999999</v>
      </c>
      <c r="K40" s="89"/>
      <c r="L40" s="89"/>
      <c r="M40" s="89">
        <v>35990.805</v>
      </c>
      <c r="N40" s="89">
        <v>-22170.134999999998</v>
      </c>
      <c r="O40" s="90"/>
      <c r="P40" s="91"/>
      <c r="Q40" s="91"/>
      <c r="R40" s="91"/>
      <c r="S40" s="91"/>
      <c r="T40" s="91"/>
      <c r="U40" s="90"/>
      <c r="V40" s="91"/>
      <c r="W40" s="91"/>
      <c r="X40" s="91"/>
      <c r="Y40" s="89"/>
      <c r="Z40" s="89"/>
      <c r="AA40" s="88">
        <v>425.76400000000001</v>
      </c>
      <c r="AB40" s="89">
        <f t="shared" si="0"/>
        <v>40.18</v>
      </c>
      <c r="AC40" s="89">
        <v>10.115</v>
      </c>
      <c r="AD40" s="89">
        <v>30.065000000000001</v>
      </c>
      <c r="AE40" s="89">
        <v>385.584</v>
      </c>
      <c r="AF40" s="89"/>
      <c r="AG40" s="88"/>
      <c r="AH40" s="89"/>
      <c r="AI40" s="89"/>
      <c r="AJ40" s="91"/>
      <c r="AK40" s="89"/>
      <c r="AL40" s="89"/>
      <c r="AM40" s="88"/>
      <c r="AN40" s="89"/>
      <c r="AO40" s="89"/>
      <c r="AP40" s="91"/>
      <c r="AQ40" s="89"/>
      <c r="AR40" s="89"/>
      <c r="AS40" s="88"/>
      <c r="AT40" s="89"/>
      <c r="AU40" s="89"/>
      <c r="AV40" s="89"/>
      <c r="AW40" s="89"/>
      <c r="AX40" s="89"/>
      <c r="AY40" s="88"/>
      <c r="AZ40" s="89"/>
      <c r="BA40" s="89"/>
      <c r="BB40" s="89"/>
      <c r="BC40" s="89"/>
      <c r="BD40" s="89"/>
      <c r="BE40" s="88"/>
      <c r="BF40" s="89"/>
      <c r="BG40" s="89"/>
      <c r="BH40" s="89"/>
      <c r="BI40" s="89"/>
      <c r="BJ40" s="89"/>
      <c r="BK40" s="88"/>
      <c r="BL40" s="89"/>
      <c r="BM40" s="89"/>
      <c r="BN40" s="89"/>
      <c r="BO40" s="89"/>
      <c r="BP40" s="89"/>
      <c r="BQ40" s="88"/>
      <c r="BR40" s="89"/>
      <c r="BS40" s="89"/>
      <c r="BT40" s="89"/>
      <c r="BU40" s="89"/>
      <c r="BV40" s="89"/>
      <c r="BW40" s="88"/>
      <c r="BX40" s="89"/>
      <c r="BY40" s="89"/>
      <c r="BZ40" s="89"/>
      <c r="CA40" s="89"/>
      <c r="CB40" s="89"/>
      <c r="CC40" s="88"/>
      <c r="CD40" s="89"/>
      <c r="CE40" s="89"/>
      <c r="CF40" s="89"/>
      <c r="CG40" s="89"/>
      <c r="CH40" s="89"/>
      <c r="CI40" s="88"/>
      <c r="CJ40" s="89"/>
      <c r="CK40" s="89"/>
      <c r="CL40" s="89"/>
      <c r="CM40" s="89"/>
      <c r="CN40" s="89"/>
      <c r="CO40" s="88"/>
      <c r="CP40" s="89"/>
      <c r="CQ40" s="89"/>
      <c r="CR40" s="89"/>
      <c r="CS40" s="89"/>
      <c r="CT40" s="89"/>
      <c r="CU40" s="88">
        <f t="shared" si="1"/>
        <v>6864.8184600000004</v>
      </c>
      <c r="CV40" s="89">
        <v>4610.1108999999997</v>
      </c>
      <c r="CW40" s="89">
        <v>4357.652</v>
      </c>
      <c r="CX40" s="89">
        <v>252.45890000000003</v>
      </c>
      <c r="CY40" s="89">
        <v>2254.7075600000003</v>
      </c>
      <c r="CZ40" s="89"/>
      <c r="DA40" s="88"/>
      <c r="DB40" s="89"/>
      <c r="DC40" s="89"/>
      <c r="DD40" s="89"/>
      <c r="DE40" s="89"/>
      <c r="DF40" s="89"/>
      <c r="DG40" s="88">
        <v>8898.2000000000007</v>
      </c>
      <c r="DH40" s="89">
        <v>965.9</v>
      </c>
      <c r="DI40" s="89"/>
      <c r="DJ40" s="89"/>
      <c r="DK40" s="89">
        <v>12777.3</v>
      </c>
      <c r="DL40" s="89">
        <v>2913.2</v>
      </c>
      <c r="DM40" s="88"/>
      <c r="DN40" s="89"/>
      <c r="DO40" s="89"/>
      <c r="DP40" s="89"/>
      <c r="DQ40" s="89"/>
      <c r="DR40" s="89"/>
      <c r="DS40" s="88"/>
      <c r="DT40" s="89"/>
      <c r="DU40" s="89"/>
      <c r="DV40" s="89"/>
      <c r="DW40" s="89"/>
      <c r="DX40" s="89"/>
      <c r="DY40" s="88"/>
      <c r="DZ40" s="89"/>
      <c r="EA40" s="89"/>
      <c r="EB40" s="89"/>
      <c r="EC40" s="89"/>
      <c r="ED40" s="89"/>
      <c r="EE40" s="88"/>
      <c r="EF40" s="89"/>
      <c r="EG40" s="89"/>
      <c r="EH40" s="89"/>
      <c r="EI40" s="89"/>
      <c r="EJ40" s="89"/>
      <c r="EK40" s="88"/>
      <c r="EL40" s="89"/>
      <c r="EM40" s="89"/>
      <c r="EN40" s="89"/>
      <c r="EO40" s="89"/>
      <c r="EP40" s="89"/>
      <c r="EQ40" s="88"/>
      <c r="ER40" s="89"/>
      <c r="ES40" s="89"/>
      <c r="ET40" s="89"/>
      <c r="EU40" s="89"/>
      <c r="EV40" s="89"/>
      <c r="EW40" s="88"/>
      <c r="EX40" s="89"/>
      <c r="EY40" s="89"/>
      <c r="EZ40" s="89"/>
      <c r="FA40" s="89"/>
      <c r="FB40" s="89"/>
      <c r="FC40" s="88"/>
      <c r="FD40" s="89"/>
      <c r="FE40" s="89"/>
      <c r="FF40" s="89"/>
      <c r="FG40" s="89"/>
      <c r="FH40" s="89"/>
      <c r="FI40" s="88"/>
      <c r="FJ40" s="89"/>
      <c r="FK40" s="89"/>
      <c r="FL40" s="89"/>
      <c r="FM40" s="89"/>
      <c r="FN40" s="89"/>
      <c r="FO40" s="88"/>
      <c r="FP40" s="89"/>
      <c r="FQ40" s="89"/>
      <c r="FR40" s="89"/>
      <c r="FS40" s="89"/>
      <c r="FT40" s="89"/>
      <c r="FU40" s="88"/>
      <c r="FV40" s="89"/>
      <c r="FW40" s="89"/>
      <c r="FX40" s="89"/>
      <c r="FY40" s="89"/>
      <c r="FZ40" s="89"/>
      <c r="GA40" s="88"/>
      <c r="GB40" s="89"/>
      <c r="GC40" s="89"/>
      <c r="GD40" s="89"/>
      <c r="GE40" s="89"/>
      <c r="GF40" s="89"/>
      <c r="GG40" s="88"/>
      <c r="GH40" s="89"/>
      <c r="GI40" s="89"/>
      <c r="GJ40" s="89"/>
      <c r="GK40" s="89"/>
      <c r="GL40" s="89"/>
      <c r="GM40" s="88"/>
      <c r="GN40" s="89"/>
      <c r="GO40" s="89"/>
      <c r="GP40" s="89"/>
      <c r="GQ40" s="89"/>
      <c r="GR40" s="89"/>
      <c r="GS40" s="88"/>
      <c r="GT40" s="87"/>
      <c r="GU40" s="87"/>
      <c r="GV40" s="87"/>
      <c r="GW40" s="87"/>
      <c r="GX40" s="87"/>
      <c r="GY40" s="87"/>
      <c r="GZ40" s="88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8"/>
      <c r="HM40" s="87"/>
      <c r="HN40" s="87"/>
      <c r="HO40" s="87"/>
      <c r="HP40" s="87"/>
      <c r="HQ40" s="87"/>
      <c r="HR40" s="87"/>
      <c r="HS40" s="87"/>
    </row>
    <row r="41" spans="1:227">
      <c r="A41" s="69"/>
      <c r="B41" s="87" t="s">
        <v>490</v>
      </c>
      <c r="C41" s="88"/>
      <c r="D41" s="87"/>
      <c r="E41" s="87"/>
      <c r="F41" s="87"/>
      <c r="G41" s="87"/>
      <c r="H41" s="87"/>
      <c r="I41" s="88">
        <v>35881.823000000004</v>
      </c>
      <c r="J41" s="89">
        <v>21415.738000000001</v>
      </c>
      <c r="K41" s="89"/>
      <c r="L41" s="89"/>
      <c r="M41" s="89">
        <v>37061.061999999998</v>
      </c>
      <c r="N41" s="89">
        <v>-22594.976999999999</v>
      </c>
      <c r="O41" s="90"/>
      <c r="P41" s="91"/>
      <c r="Q41" s="91"/>
      <c r="R41" s="91"/>
      <c r="S41" s="91"/>
      <c r="T41" s="91"/>
      <c r="U41" s="90"/>
      <c r="V41" s="91"/>
      <c r="W41" s="91"/>
      <c r="X41" s="91"/>
      <c r="Y41" s="91"/>
      <c r="Z41" s="91"/>
      <c r="AA41" s="88">
        <v>435.38299999999998</v>
      </c>
      <c r="AB41" s="89">
        <f t="shared" si="0"/>
        <v>49.738</v>
      </c>
      <c r="AC41" s="89">
        <v>19.712</v>
      </c>
      <c r="AD41" s="89">
        <v>30.026</v>
      </c>
      <c r="AE41" s="89">
        <v>385.64499999999998</v>
      </c>
      <c r="AF41" s="89"/>
      <c r="AG41" s="88"/>
      <c r="AH41" s="89"/>
      <c r="AI41" s="89"/>
      <c r="AJ41" s="89"/>
      <c r="AK41" s="89"/>
      <c r="AL41" s="89"/>
      <c r="AM41" s="88"/>
      <c r="AN41" s="89"/>
      <c r="AO41" s="89"/>
      <c r="AP41" s="89"/>
      <c r="AQ41" s="89"/>
      <c r="AR41" s="89"/>
      <c r="AS41" s="88"/>
      <c r="AT41" s="89"/>
      <c r="AU41" s="89"/>
      <c r="AV41" s="89"/>
      <c r="AW41" s="89"/>
      <c r="AX41" s="89"/>
      <c r="AY41" s="88"/>
      <c r="AZ41" s="89"/>
      <c r="BA41" s="89"/>
      <c r="BB41" s="89"/>
      <c r="BC41" s="89"/>
      <c r="BD41" s="89"/>
      <c r="BE41" s="88"/>
      <c r="BF41" s="89"/>
      <c r="BG41" s="89"/>
      <c r="BH41" s="89"/>
      <c r="BI41" s="89"/>
      <c r="BJ41" s="89"/>
      <c r="BK41" s="88"/>
      <c r="BL41" s="89"/>
      <c r="BM41" s="89"/>
      <c r="BN41" s="89"/>
      <c r="BO41" s="89"/>
      <c r="BP41" s="89"/>
      <c r="BQ41" s="88"/>
      <c r="BR41" s="89"/>
      <c r="BS41" s="89"/>
      <c r="BT41" s="89"/>
      <c r="BU41" s="89"/>
      <c r="BV41" s="89"/>
      <c r="BW41" s="88"/>
      <c r="BX41" s="89"/>
      <c r="BY41" s="89"/>
      <c r="BZ41" s="89"/>
      <c r="CA41" s="89"/>
      <c r="CB41" s="89"/>
      <c r="CC41" s="88"/>
      <c r="CD41" s="89"/>
      <c r="CE41" s="89"/>
      <c r="CF41" s="89"/>
      <c r="CG41" s="89"/>
      <c r="CH41" s="89"/>
      <c r="CI41" s="88"/>
      <c r="CJ41" s="89"/>
      <c r="CK41" s="89"/>
      <c r="CL41" s="89"/>
      <c r="CM41" s="89"/>
      <c r="CN41" s="89"/>
      <c r="CO41" s="88"/>
      <c r="CP41" s="89"/>
      <c r="CQ41" s="89"/>
      <c r="CR41" s="89"/>
      <c r="CS41" s="89"/>
      <c r="CT41" s="89"/>
      <c r="CU41" s="88">
        <f t="shared" si="1"/>
        <v>6933.3306099999991</v>
      </c>
      <c r="CV41" s="89">
        <v>4653.3208999999997</v>
      </c>
      <c r="CW41" s="89">
        <v>4399.6596</v>
      </c>
      <c r="CX41" s="89">
        <v>253.66130000000001</v>
      </c>
      <c r="CY41" s="89">
        <v>2280.0097099999998</v>
      </c>
      <c r="CZ41" s="89"/>
      <c r="DA41" s="88"/>
      <c r="DB41" s="89"/>
      <c r="DC41" s="89"/>
      <c r="DD41" s="89"/>
      <c r="DE41" s="89"/>
      <c r="DF41" s="89"/>
      <c r="DG41" s="88">
        <v>10138</v>
      </c>
      <c r="DH41" s="89">
        <v>831</v>
      </c>
      <c r="DI41" s="89"/>
      <c r="DJ41" s="89"/>
      <c r="DK41" s="89">
        <v>13569.4</v>
      </c>
      <c r="DL41" s="89">
        <v>2600.4</v>
      </c>
      <c r="DM41" s="88"/>
      <c r="DN41" s="89"/>
      <c r="DO41" s="89"/>
      <c r="DP41" s="89"/>
      <c r="DQ41" s="89"/>
      <c r="DR41" s="89"/>
      <c r="DS41" s="88"/>
      <c r="DT41" s="89"/>
      <c r="DU41" s="89"/>
      <c r="DV41" s="89"/>
      <c r="DW41" s="89"/>
      <c r="DX41" s="89"/>
      <c r="DY41" s="88"/>
      <c r="DZ41" s="89"/>
      <c r="EA41" s="89"/>
      <c r="EB41" s="89"/>
      <c r="EC41" s="89"/>
      <c r="ED41" s="89"/>
      <c r="EE41" s="88"/>
      <c r="EF41" s="89"/>
      <c r="EG41" s="89"/>
      <c r="EH41" s="89"/>
      <c r="EI41" s="89"/>
      <c r="EJ41" s="89"/>
      <c r="EK41" s="88"/>
      <c r="EL41" s="89"/>
      <c r="EM41" s="89"/>
      <c r="EN41" s="89"/>
      <c r="EO41" s="89"/>
      <c r="EP41" s="89"/>
      <c r="EQ41" s="88"/>
      <c r="ER41" s="89"/>
      <c r="ES41" s="89"/>
      <c r="ET41" s="89"/>
      <c r="EU41" s="89"/>
      <c r="EV41" s="89"/>
      <c r="EW41" s="88"/>
      <c r="EX41" s="89"/>
      <c r="EY41" s="89"/>
      <c r="EZ41" s="89"/>
      <c r="FA41" s="89"/>
      <c r="FB41" s="89"/>
      <c r="FC41" s="88"/>
      <c r="FD41" s="89"/>
      <c r="FE41" s="89"/>
      <c r="FF41" s="89"/>
      <c r="FG41" s="89"/>
      <c r="FH41" s="89"/>
      <c r="FI41" s="88"/>
      <c r="FJ41" s="89"/>
      <c r="FK41" s="89"/>
      <c r="FL41" s="89"/>
      <c r="FM41" s="89"/>
      <c r="FN41" s="89"/>
      <c r="FO41" s="88"/>
      <c r="FP41" s="89"/>
      <c r="FQ41" s="89"/>
      <c r="FR41" s="89"/>
      <c r="FS41" s="89"/>
      <c r="FT41" s="89"/>
      <c r="FU41" s="88"/>
      <c r="FV41" s="89"/>
      <c r="FW41" s="89"/>
      <c r="FX41" s="89"/>
      <c r="FY41" s="89"/>
      <c r="FZ41" s="89"/>
      <c r="GA41" s="88"/>
      <c r="GB41" s="89"/>
      <c r="GC41" s="89"/>
      <c r="GD41" s="89"/>
      <c r="GE41" s="89"/>
      <c r="GF41" s="89"/>
      <c r="GG41" s="88"/>
      <c r="GH41" s="89"/>
      <c r="GI41" s="89"/>
      <c r="GJ41" s="89"/>
      <c r="GK41" s="89"/>
      <c r="GL41" s="89"/>
      <c r="GM41" s="88"/>
      <c r="GN41" s="89"/>
      <c r="GO41" s="89"/>
      <c r="GP41" s="89"/>
      <c r="GQ41" s="89"/>
      <c r="GR41" s="89"/>
      <c r="GS41" s="88"/>
      <c r="GT41" s="87"/>
      <c r="GU41" s="87"/>
      <c r="GV41" s="87"/>
      <c r="GW41" s="87"/>
      <c r="GX41" s="87"/>
      <c r="GY41" s="87"/>
      <c r="GZ41" s="88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8"/>
      <c r="HM41" s="87"/>
      <c r="HN41" s="87"/>
      <c r="HO41" s="87"/>
      <c r="HP41" s="87"/>
      <c r="HQ41" s="87"/>
      <c r="HR41" s="87"/>
      <c r="HS41" s="87"/>
    </row>
    <row r="42" spans="1:227">
      <c r="A42" s="69"/>
      <c r="B42" s="87" t="s">
        <v>491</v>
      </c>
      <c r="C42" s="88"/>
      <c r="D42" s="87"/>
      <c r="E42" s="87"/>
      <c r="F42" s="87"/>
      <c r="G42" s="87"/>
      <c r="H42" s="87"/>
      <c r="I42" s="88">
        <v>38347.366999999998</v>
      </c>
      <c r="J42" s="89">
        <v>23033.406999999999</v>
      </c>
      <c r="K42" s="89"/>
      <c r="L42" s="89"/>
      <c r="M42" s="89">
        <v>38148.817000000003</v>
      </c>
      <c r="N42" s="89">
        <v>-22834.857</v>
      </c>
      <c r="O42" s="90"/>
      <c r="P42" s="91"/>
      <c r="Q42" s="91"/>
      <c r="R42" s="91"/>
      <c r="S42" s="91"/>
      <c r="T42" s="91"/>
      <c r="U42" s="90"/>
      <c r="V42" s="91"/>
      <c r="W42" s="91"/>
      <c r="X42" s="91"/>
      <c r="Y42" s="91"/>
      <c r="Z42" s="91"/>
      <c r="AA42" s="90">
        <v>429.005</v>
      </c>
      <c r="AB42" s="91">
        <f t="shared" si="0"/>
        <v>50.965000000000003</v>
      </c>
      <c r="AC42" s="91">
        <v>21.411999999999999</v>
      </c>
      <c r="AD42" s="91">
        <v>29.553000000000001</v>
      </c>
      <c r="AE42" s="89">
        <v>378.04</v>
      </c>
      <c r="AF42" s="89"/>
      <c r="AG42" s="88"/>
      <c r="AH42" s="89"/>
      <c r="AI42" s="89"/>
      <c r="AJ42" s="89"/>
      <c r="AK42" s="89"/>
      <c r="AL42" s="89"/>
      <c r="AM42" s="88"/>
      <c r="AN42" s="89"/>
      <c r="AO42" s="89"/>
      <c r="AP42" s="89"/>
      <c r="AQ42" s="89"/>
      <c r="AR42" s="89"/>
      <c r="AS42" s="88"/>
      <c r="AT42" s="89"/>
      <c r="AU42" s="89"/>
      <c r="AV42" s="89"/>
      <c r="AW42" s="89"/>
      <c r="AX42" s="89"/>
      <c r="AY42" s="88"/>
      <c r="AZ42" s="89"/>
      <c r="BA42" s="89"/>
      <c r="BB42" s="89"/>
      <c r="BC42" s="89"/>
      <c r="BD42" s="89"/>
      <c r="BE42" s="88"/>
      <c r="BF42" s="89"/>
      <c r="BG42" s="89"/>
      <c r="BH42" s="89"/>
      <c r="BI42" s="89"/>
      <c r="BJ42" s="89"/>
      <c r="BK42" s="88"/>
      <c r="BL42" s="89"/>
      <c r="BM42" s="89"/>
      <c r="BN42" s="89"/>
      <c r="BO42" s="89"/>
      <c r="BP42" s="89"/>
      <c r="BQ42" s="88"/>
      <c r="BR42" s="89"/>
      <c r="BS42" s="89"/>
      <c r="BT42" s="89"/>
      <c r="BU42" s="89"/>
      <c r="BV42" s="89"/>
      <c r="BW42" s="88"/>
      <c r="BX42" s="89"/>
      <c r="BY42" s="89"/>
      <c r="BZ42" s="89"/>
      <c r="CA42" s="89"/>
      <c r="CB42" s="89"/>
      <c r="CC42" s="88"/>
      <c r="CD42" s="89"/>
      <c r="CE42" s="89"/>
      <c r="CF42" s="89"/>
      <c r="CG42" s="89"/>
      <c r="CH42" s="89"/>
      <c r="CI42" s="88"/>
      <c r="CJ42" s="89"/>
      <c r="CK42" s="89"/>
      <c r="CL42" s="89"/>
      <c r="CM42" s="89"/>
      <c r="CN42" s="89"/>
      <c r="CO42" s="88"/>
      <c r="CP42" s="89"/>
      <c r="CQ42" s="89"/>
      <c r="CR42" s="89"/>
      <c r="CS42" s="89"/>
      <c r="CT42" s="89"/>
      <c r="CU42" s="88">
        <f t="shared" si="1"/>
        <v>6969.1541900000002</v>
      </c>
      <c r="CV42" s="89">
        <v>4739.3663999999999</v>
      </c>
      <c r="CW42" s="89">
        <v>4462.9102000000003</v>
      </c>
      <c r="CX42" s="89">
        <v>276.45619999999997</v>
      </c>
      <c r="CY42" s="89">
        <v>2229.7877900000003</v>
      </c>
      <c r="CZ42" s="89"/>
      <c r="DA42" s="88"/>
      <c r="DB42" s="89"/>
      <c r="DC42" s="89"/>
      <c r="DD42" s="89"/>
      <c r="DE42" s="89"/>
      <c r="DF42" s="89"/>
      <c r="DG42" s="88">
        <v>11968.9</v>
      </c>
      <c r="DH42" s="89">
        <v>442.3</v>
      </c>
      <c r="DI42" s="89"/>
      <c r="DJ42" s="89"/>
      <c r="DK42" s="89">
        <v>14575.3</v>
      </c>
      <c r="DL42" s="89">
        <v>2164.1</v>
      </c>
      <c r="DM42" s="88"/>
      <c r="DN42" s="89"/>
      <c r="DO42" s="89"/>
      <c r="DP42" s="89"/>
      <c r="DQ42" s="89"/>
      <c r="DR42" s="89"/>
      <c r="DS42" s="88"/>
      <c r="DT42" s="89"/>
      <c r="DU42" s="89"/>
      <c r="DV42" s="89"/>
      <c r="DW42" s="89"/>
      <c r="DX42" s="89"/>
      <c r="DY42" s="88"/>
      <c r="DZ42" s="89"/>
      <c r="EA42" s="89"/>
      <c r="EB42" s="89"/>
      <c r="EC42" s="89"/>
      <c r="ED42" s="89"/>
      <c r="EE42" s="88"/>
      <c r="EF42" s="89"/>
      <c r="EG42" s="89"/>
      <c r="EH42" s="89"/>
      <c r="EI42" s="89"/>
      <c r="EJ42" s="89"/>
      <c r="EK42" s="88"/>
      <c r="EL42" s="89"/>
      <c r="EM42" s="89"/>
      <c r="EN42" s="89"/>
      <c r="EO42" s="89"/>
      <c r="EP42" s="89"/>
      <c r="EQ42" s="88"/>
      <c r="ER42" s="89"/>
      <c r="ES42" s="89"/>
      <c r="ET42" s="89"/>
      <c r="EU42" s="89"/>
      <c r="EV42" s="89"/>
      <c r="EW42" s="88"/>
      <c r="EX42" s="89"/>
      <c r="EY42" s="89"/>
      <c r="EZ42" s="89"/>
      <c r="FA42" s="89"/>
      <c r="FB42" s="89"/>
      <c r="FC42" s="88"/>
      <c r="FD42" s="89"/>
      <c r="FE42" s="89"/>
      <c r="FF42" s="89"/>
      <c r="FG42" s="89"/>
      <c r="FH42" s="89"/>
      <c r="FI42" s="88"/>
      <c r="FJ42" s="89"/>
      <c r="FK42" s="89"/>
      <c r="FL42" s="89"/>
      <c r="FM42" s="89"/>
      <c r="FN42" s="89"/>
      <c r="FO42" s="88"/>
      <c r="FP42" s="89"/>
      <c r="FQ42" s="89"/>
      <c r="FR42" s="89"/>
      <c r="FS42" s="89"/>
      <c r="FT42" s="89"/>
      <c r="FU42" s="88"/>
      <c r="FV42" s="89"/>
      <c r="FW42" s="89"/>
      <c r="FX42" s="89"/>
      <c r="FY42" s="89"/>
      <c r="FZ42" s="89"/>
      <c r="GA42" s="88"/>
      <c r="GB42" s="89"/>
      <c r="GC42" s="89"/>
      <c r="GD42" s="89"/>
      <c r="GE42" s="89"/>
      <c r="GF42" s="89"/>
      <c r="GG42" s="88"/>
      <c r="GH42" s="89"/>
      <c r="GI42" s="89"/>
      <c r="GJ42" s="89"/>
      <c r="GK42" s="89"/>
      <c r="GL42" s="89"/>
      <c r="GM42" s="88"/>
      <c r="GN42" s="89"/>
      <c r="GO42" s="89"/>
      <c r="GP42" s="89"/>
      <c r="GQ42" s="89"/>
      <c r="GR42" s="89"/>
      <c r="GS42" s="88"/>
      <c r="GT42" s="87"/>
      <c r="GU42" s="87"/>
      <c r="GV42" s="87"/>
      <c r="GW42" s="87"/>
      <c r="GX42" s="87"/>
      <c r="GY42" s="87"/>
      <c r="GZ42" s="88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8"/>
      <c r="HM42" s="87"/>
      <c r="HN42" s="87"/>
      <c r="HO42" s="87"/>
      <c r="HP42" s="87"/>
      <c r="HQ42" s="87"/>
      <c r="HR42" s="87"/>
      <c r="HS42" s="87"/>
    </row>
    <row r="43" spans="1:227">
      <c r="A43" s="69"/>
      <c r="B43" s="87" t="s">
        <v>492</v>
      </c>
      <c r="C43" s="88"/>
      <c r="D43" s="87"/>
      <c r="E43" s="87"/>
      <c r="F43" s="87"/>
      <c r="G43" s="87"/>
      <c r="H43" s="87"/>
      <c r="I43" s="88">
        <v>38454.597999999998</v>
      </c>
      <c r="J43" s="89">
        <v>23149.228999999999</v>
      </c>
      <c r="K43" s="89"/>
      <c r="L43" s="89"/>
      <c r="M43" s="89">
        <v>38899.538</v>
      </c>
      <c r="N43" s="89">
        <v>-23594.169000000002</v>
      </c>
      <c r="O43" s="90"/>
      <c r="P43" s="91"/>
      <c r="Q43" s="91"/>
      <c r="R43" s="91"/>
      <c r="S43" s="91"/>
      <c r="T43" s="91"/>
      <c r="U43" s="90"/>
      <c r="V43" s="91"/>
      <c r="W43" s="91"/>
      <c r="X43" s="91"/>
      <c r="Y43" s="91"/>
      <c r="Z43" s="91"/>
      <c r="AA43" s="90">
        <v>427.70400000000001</v>
      </c>
      <c r="AB43" s="91">
        <f t="shared" si="0"/>
        <v>53.772999999999996</v>
      </c>
      <c r="AC43" s="91">
        <v>31.760999999999999</v>
      </c>
      <c r="AD43" s="91">
        <v>22.012</v>
      </c>
      <c r="AE43" s="89">
        <v>373.93099999999998</v>
      </c>
      <c r="AF43" s="89"/>
      <c r="AG43" s="88"/>
      <c r="AH43" s="89"/>
      <c r="AI43" s="89"/>
      <c r="AJ43" s="89"/>
      <c r="AK43" s="89"/>
      <c r="AL43" s="89"/>
      <c r="AM43" s="88"/>
      <c r="AN43" s="89"/>
      <c r="AO43" s="89"/>
      <c r="AP43" s="89"/>
      <c r="AQ43" s="89"/>
      <c r="AR43" s="89"/>
      <c r="AS43" s="88"/>
      <c r="AT43" s="89"/>
      <c r="AU43" s="89"/>
      <c r="AV43" s="89"/>
      <c r="AW43" s="89"/>
      <c r="AX43" s="89"/>
      <c r="AY43" s="88"/>
      <c r="AZ43" s="89"/>
      <c r="BA43" s="89"/>
      <c r="BB43" s="89"/>
      <c r="BC43" s="89"/>
      <c r="BD43" s="89"/>
      <c r="BE43" s="88"/>
      <c r="BF43" s="89"/>
      <c r="BG43" s="89"/>
      <c r="BH43" s="89"/>
      <c r="BI43" s="89"/>
      <c r="BJ43" s="89"/>
      <c r="BK43" s="88"/>
      <c r="BL43" s="89"/>
      <c r="BM43" s="89"/>
      <c r="BN43" s="89"/>
      <c r="BO43" s="89"/>
      <c r="BP43" s="89"/>
      <c r="BQ43" s="88"/>
      <c r="BR43" s="89"/>
      <c r="BS43" s="89"/>
      <c r="BT43" s="89"/>
      <c r="BU43" s="89"/>
      <c r="BV43" s="89"/>
      <c r="BW43" s="88"/>
      <c r="BX43" s="89"/>
      <c r="BY43" s="89"/>
      <c r="BZ43" s="89"/>
      <c r="CA43" s="89"/>
      <c r="CB43" s="89"/>
      <c r="CC43" s="88"/>
      <c r="CD43" s="89"/>
      <c r="CE43" s="89"/>
      <c r="CF43" s="89"/>
      <c r="CG43" s="89"/>
      <c r="CH43" s="89"/>
      <c r="CI43" s="88"/>
      <c r="CJ43" s="89"/>
      <c r="CK43" s="89"/>
      <c r="CL43" s="89"/>
      <c r="CM43" s="89"/>
      <c r="CN43" s="89"/>
      <c r="CO43" s="88"/>
      <c r="CP43" s="89"/>
      <c r="CQ43" s="89"/>
      <c r="CR43" s="89"/>
      <c r="CS43" s="89"/>
      <c r="CT43" s="89"/>
      <c r="CU43" s="88">
        <f t="shared" si="1"/>
        <v>7271.7095100000006</v>
      </c>
      <c r="CV43" s="89">
        <v>4650.7075999999997</v>
      </c>
      <c r="CW43" s="89">
        <v>4374.8009000000002</v>
      </c>
      <c r="CX43" s="89">
        <v>275.9067</v>
      </c>
      <c r="CY43" s="89">
        <v>2621.0019100000004</v>
      </c>
      <c r="CZ43" s="89"/>
      <c r="DA43" s="88"/>
      <c r="DB43" s="89"/>
      <c r="DC43" s="89"/>
      <c r="DD43" s="89"/>
      <c r="DE43" s="89"/>
      <c r="DF43" s="89"/>
      <c r="DG43" s="88">
        <v>12162.7</v>
      </c>
      <c r="DH43" s="89">
        <v>0.2</v>
      </c>
      <c r="DI43" s="89"/>
      <c r="DJ43" s="89"/>
      <c r="DK43" s="89">
        <v>14840.7</v>
      </c>
      <c r="DL43" s="89">
        <v>2677.8</v>
      </c>
      <c r="DM43" s="88"/>
      <c r="DN43" s="89"/>
      <c r="DO43" s="89"/>
      <c r="DP43" s="89"/>
      <c r="DQ43" s="89"/>
      <c r="DR43" s="89"/>
      <c r="DS43" s="88"/>
      <c r="DT43" s="89"/>
      <c r="DU43" s="89"/>
      <c r="DV43" s="89"/>
      <c r="DW43" s="89"/>
      <c r="DX43" s="89"/>
      <c r="DY43" s="88"/>
      <c r="DZ43" s="89"/>
      <c r="EA43" s="89"/>
      <c r="EB43" s="89"/>
      <c r="EC43" s="89"/>
      <c r="ED43" s="89"/>
      <c r="EE43" s="88"/>
      <c r="EF43" s="89"/>
      <c r="EG43" s="89"/>
      <c r="EH43" s="89"/>
      <c r="EI43" s="89"/>
      <c r="EJ43" s="89"/>
      <c r="EK43" s="88"/>
      <c r="EL43" s="89"/>
      <c r="EM43" s="89"/>
      <c r="EN43" s="89"/>
      <c r="EO43" s="89"/>
      <c r="EP43" s="89"/>
      <c r="EQ43" s="88"/>
      <c r="ER43" s="89"/>
      <c r="ES43" s="89"/>
      <c r="ET43" s="89"/>
      <c r="EU43" s="89"/>
      <c r="EV43" s="89"/>
      <c r="EW43" s="88"/>
      <c r="EX43" s="89"/>
      <c r="EY43" s="89"/>
      <c r="EZ43" s="89"/>
      <c r="FA43" s="89"/>
      <c r="FB43" s="89"/>
      <c r="FC43" s="88"/>
      <c r="FD43" s="89"/>
      <c r="FE43" s="89"/>
      <c r="FF43" s="89"/>
      <c r="FG43" s="89"/>
      <c r="FH43" s="89"/>
      <c r="FI43" s="88"/>
      <c r="FJ43" s="89"/>
      <c r="FK43" s="89"/>
      <c r="FL43" s="89"/>
      <c r="FM43" s="89"/>
      <c r="FN43" s="89"/>
      <c r="FO43" s="88"/>
      <c r="FP43" s="89"/>
      <c r="FQ43" s="89"/>
      <c r="FR43" s="89"/>
      <c r="FS43" s="89"/>
      <c r="FT43" s="89"/>
      <c r="FU43" s="88"/>
      <c r="FV43" s="89"/>
      <c r="FW43" s="89"/>
      <c r="FX43" s="89"/>
      <c r="FY43" s="89"/>
      <c r="FZ43" s="89"/>
      <c r="GA43" s="88"/>
      <c r="GB43" s="89"/>
      <c r="GC43" s="89"/>
      <c r="GD43" s="89"/>
      <c r="GE43" s="89"/>
      <c r="GF43" s="89"/>
      <c r="GG43" s="88"/>
      <c r="GH43" s="89"/>
      <c r="GI43" s="89"/>
      <c r="GJ43" s="89"/>
      <c r="GK43" s="89"/>
      <c r="GL43" s="89"/>
      <c r="GM43" s="88"/>
      <c r="GN43" s="89"/>
      <c r="GO43" s="89"/>
      <c r="GP43" s="89"/>
      <c r="GQ43" s="89"/>
      <c r="GR43" s="89"/>
      <c r="GS43" s="88"/>
      <c r="GT43" s="87"/>
      <c r="GU43" s="87"/>
      <c r="GV43" s="87"/>
      <c r="GW43" s="87"/>
      <c r="GX43" s="87"/>
      <c r="GY43" s="87"/>
      <c r="GZ43" s="88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8"/>
      <c r="HM43" s="87"/>
      <c r="HN43" s="87"/>
      <c r="HO43" s="87"/>
      <c r="HP43" s="87"/>
      <c r="HQ43" s="87"/>
      <c r="HR43" s="87"/>
      <c r="HS43" s="87"/>
    </row>
    <row r="44" spans="1:227">
      <c r="A44" s="69"/>
      <c r="B44" s="87" t="s">
        <v>493</v>
      </c>
      <c r="C44" s="88"/>
      <c r="D44" s="87"/>
      <c r="E44" s="87"/>
      <c r="F44" s="87"/>
      <c r="G44" s="87"/>
      <c r="H44" s="87"/>
      <c r="I44" s="88">
        <v>37163.426999999996</v>
      </c>
      <c r="J44" s="89">
        <v>22179.524000000001</v>
      </c>
      <c r="K44" s="89"/>
      <c r="L44" s="89"/>
      <c r="M44" s="89">
        <v>38320.201999999997</v>
      </c>
      <c r="N44" s="89">
        <v>-23336.298999999999</v>
      </c>
      <c r="O44" s="90"/>
      <c r="P44" s="91"/>
      <c r="Q44" s="91"/>
      <c r="R44" s="91"/>
      <c r="S44" s="91"/>
      <c r="T44" s="91"/>
      <c r="U44" s="90"/>
      <c r="V44" s="91"/>
      <c r="W44" s="91"/>
      <c r="X44" s="91"/>
      <c r="Y44" s="91"/>
      <c r="Z44" s="91"/>
      <c r="AA44" s="90">
        <v>432.98500000000001</v>
      </c>
      <c r="AB44" s="91">
        <f t="shared" si="0"/>
        <v>57.373999999999995</v>
      </c>
      <c r="AC44" s="91">
        <v>35.43</v>
      </c>
      <c r="AD44" s="91">
        <v>21.943999999999999</v>
      </c>
      <c r="AE44" s="89">
        <v>375.61099999999999</v>
      </c>
      <c r="AF44" s="89"/>
      <c r="AG44" s="88"/>
      <c r="AH44" s="89"/>
      <c r="AI44" s="89"/>
      <c r="AJ44" s="89"/>
      <c r="AK44" s="89"/>
      <c r="AL44" s="89"/>
      <c r="AM44" s="88"/>
      <c r="AN44" s="89"/>
      <c r="AO44" s="89"/>
      <c r="AP44" s="89"/>
      <c r="AQ44" s="89"/>
      <c r="AR44" s="89"/>
      <c r="AS44" s="88"/>
      <c r="AT44" s="89"/>
      <c r="AU44" s="89"/>
      <c r="AV44" s="89"/>
      <c r="AW44" s="89"/>
      <c r="AX44" s="89"/>
      <c r="AY44" s="88"/>
      <c r="AZ44" s="89"/>
      <c r="BA44" s="89"/>
      <c r="BB44" s="89"/>
      <c r="BC44" s="89"/>
      <c r="BD44" s="89"/>
      <c r="BE44" s="88"/>
      <c r="BF44" s="89"/>
      <c r="BG44" s="89"/>
      <c r="BH44" s="89"/>
      <c r="BI44" s="89"/>
      <c r="BJ44" s="89"/>
      <c r="BK44" s="88"/>
      <c r="BL44" s="89"/>
      <c r="BM44" s="89"/>
      <c r="BN44" s="89"/>
      <c r="BO44" s="89"/>
      <c r="BP44" s="89"/>
      <c r="BQ44" s="88"/>
      <c r="BR44" s="89"/>
      <c r="BS44" s="89"/>
      <c r="BT44" s="89"/>
      <c r="BU44" s="89"/>
      <c r="BV44" s="89"/>
      <c r="BW44" s="88"/>
      <c r="BX44" s="89"/>
      <c r="BY44" s="89"/>
      <c r="BZ44" s="89"/>
      <c r="CA44" s="89"/>
      <c r="CB44" s="89"/>
      <c r="CC44" s="88"/>
      <c r="CD44" s="89"/>
      <c r="CE44" s="89"/>
      <c r="CF44" s="89"/>
      <c r="CG44" s="89"/>
      <c r="CH44" s="89"/>
      <c r="CI44" s="88"/>
      <c r="CJ44" s="89"/>
      <c r="CK44" s="89"/>
      <c r="CL44" s="89"/>
      <c r="CM44" s="89"/>
      <c r="CN44" s="89"/>
      <c r="CO44" s="88"/>
      <c r="CP44" s="89"/>
      <c r="CQ44" s="89"/>
      <c r="CR44" s="89"/>
      <c r="CS44" s="89"/>
      <c r="CT44" s="89"/>
      <c r="CU44" s="88">
        <f t="shared" si="1"/>
        <v>7533.9050500000003</v>
      </c>
      <c r="CV44" s="89">
        <v>4851.8040000000001</v>
      </c>
      <c r="CW44" s="89">
        <v>4569.8644999999997</v>
      </c>
      <c r="CX44" s="89">
        <v>281.93950000000001</v>
      </c>
      <c r="CY44" s="89">
        <v>2682.1010500000002</v>
      </c>
      <c r="CZ44" s="89"/>
      <c r="DA44" s="88"/>
      <c r="DB44" s="89"/>
      <c r="DC44" s="89"/>
      <c r="DD44" s="89"/>
      <c r="DE44" s="89"/>
      <c r="DF44" s="89"/>
      <c r="DG44" s="88">
        <v>12151.1</v>
      </c>
      <c r="DH44" s="89">
        <v>315</v>
      </c>
      <c r="DI44" s="89"/>
      <c r="DJ44" s="89"/>
      <c r="DK44" s="89">
        <v>15317.3</v>
      </c>
      <c r="DL44" s="89">
        <v>2851.2</v>
      </c>
      <c r="DM44" s="88"/>
      <c r="DN44" s="89"/>
      <c r="DO44" s="89"/>
      <c r="DP44" s="89"/>
      <c r="DQ44" s="89"/>
      <c r="DR44" s="89"/>
      <c r="DS44" s="88"/>
      <c r="DT44" s="89"/>
      <c r="DU44" s="89"/>
      <c r="DV44" s="89"/>
      <c r="DW44" s="89"/>
      <c r="DX44" s="89"/>
      <c r="DY44" s="88"/>
      <c r="DZ44" s="89"/>
      <c r="EA44" s="89"/>
      <c r="EB44" s="89"/>
      <c r="EC44" s="89"/>
      <c r="ED44" s="89"/>
      <c r="EE44" s="88"/>
      <c r="EF44" s="89"/>
      <c r="EG44" s="89"/>
      <c r="EH44" s="89"/>
      <c r="EI44" s="89"/>
      <c r="EJ44" s="89"/>
      <c r="EK44" s="88"/>
      <c r="EL44" s="89"/>
      <c r="EM44" s="89"/>
      <c r="EN44" s="89"/>
      <c r="EO44" s="89"/>
      <c r="EP44" s="89"/>
      <c r="EQ44" s="88"/>
      <c r="ER44" s="89"/>
      <c r="ES44" s="89"/>
      <c r="ET44" s="89"/>
      <c r="EU44" s="89"/>
      <c r="EV44" s="89"/>
      <c r="EW44" s="88"/>
      <c r="EX44" s="89"/>
      <c r="EY44" s="89"/>
      <c r="EZ44" s="89"/>
      <c r="FA44" s="89"/>
      <c r="FB44" s="89"/>
      <c r="FC44" s="88"/>
      <c r="FD44" s="89"/>
      <c r="FE44" s="89"/>
      <c r="FF44" s="89"/>
      <c r="FG44" s="89"/>
      <c r="FH44" s="89"/>
      <c r="FI44" s="88"/>
      <c r="FJ44" s="89"/>
      <c r="FK44" s="89"/>
      <c r="FL44" s="89"/>
      <c r="FM44" s="89"/>
      <c r="FN44" s="89"/>
      <c r="FO44" s="88"/>
      <c r="FP44" s="89"/>
      <c r="FQ44" s="89"/>
      <c r="FR44" s="89"/>
      <c r="FS44" s="89"/>
      <c r="FT44" s="89"/>
      <c r="FU44" s="88"/>
      <c r="FV44" s="89"/>
      <c r="FW44" s="89"/>
      <c r="FX44" s="89"/>
      <c r="FY44" s="89"/>
      <c r="FZ44" s="89"/>
      <c r="GA44" s="88"/>
      <c r="GB44" s="89"/>
      <c r="GC44" s="89"/>
      <c r="GD44" s="89"/>
      <c r="GE44" s="89"/>
      <c r="GF44" s="89"/>
      <c r="GG44" s="88"/>
      <c r="GH44" s="89"/>
      <c r="GI44" s="89"/>
      <c r="GJ44" s="89"/>
      <c r="GK44" s="89"/>
      <c r="GL44" s="89"/>
      <c r="GM44" s="88"/>
      <c r="GN44" s="89"/>
      <c r="GO44" s="89"/>
      <c r="GP44" s="89"/>
      <c r="GQ44" s="89"/>
      <c r="GR44" s="89"/>
      <c r="GS44" s="88"/>
      <c r="GT44" s="87"/>
      <c r="GU44" s="87"/>
      <c r="GV44" s="87"/>
      <c r="GW44" s="87"/>
      <c r="GX44" s="87"/>
      <c r="GY44" s="87"/>
      <c r="GZ44" s="88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8"/>
      <c r="HM44" s="87"/>
      <c r="HN44" s="87"/>
      <c r="HO44" s="87"/>
      <c r="HP44" s="87"/>
      <c r="HQ44" s="87"/>
      <c r="HR44" s="87"/>
      <c r="HS44" s="87"/>
    </row>
    <row r="45" spans="1:227">
      <c r="A45" s="69"/>
      <c r="B45" s="87" t="s">
        <v>494</v>
      </c>
      <c r="C45" s="88"/>
      <c r="D45" s="87"/>
      <c r="E45" s="87"/>
      <c r="F45" s="87"/>
      <c r="G45" s="87"/>
      <c r="H45" s="87"/>
      <c r="I45" s="88">
        <v>37882.686000000002</v>
      </c>
      <c r="J45" s="89">
        <v>21902.481</v>
      </c>
      <c r="K45" s="89"/>
      <c r="L45" s="89"/>
      <c r="M45" s="89">
        <v>39378.065999999999</v>
      </c>
      <c r="N45" s="89">
        <v>-23397.861000000001</v>
      </c>
      <c r="O45" s="90"/>
      <c r="P45" s="91"/>
      <c r="Q45" s="91"/>
      <c r="R45" s="91"/>
      <c r="S45" s="91"/>
      <c r="T45" s="91"/>
      <c r="U45" s="90"/>
      <c r="V45" s="91"/>
      <c r="W45" s="91"/>
      <c r="X45" s="91"/>
      <c r="Y45" s="91"/>
      <c r="Z45" s="91"/>
      <c r="AA45" s="90">
        <v>440.89</v>
      </c>
      <c r="AB45" s="91">
        <f t="shared" si="0"/>
        <v>65.323000000000008</v>
      </c>
      <c r="AC45" s="91">
        <v>43.841999999999999</v>
      </c>
      <c r="AD45" s="91">
        <v>21.481000000000002</v>
      </c>
      <c r="AE45" s="89">
        <v>375.56700000000001</v>
      </c>
      <c r="AF45" s="89"/>
      <c r="AG45" s="88"/>
      <c r="AH45" s="89"/>
      <c r="AI45" s="89"/>
      <c r="AJ45" s="89"/>
      <c r="AK45" s="89"/>
      <c r="AL45" s="89"/>
      <c r="AM45" s="88"/>
      <c r="AN45" s="89"/>
      <c r="AO45" s="89"/>
      <c r="AP45" s="89"/>
      <c r="AQ45" s="89"/>
      <c r="AR45" s="89"/>
      <c r="AS45" s="88"/>
      <c r="AT45" s="89"/>
      <c r="AU45" s="89"/>
      <c r="AV45" s="89"/>
      <c r="AW45" s="89"/>
      <c r="AX45" s="89"/>
      <c r="AY45" s="88"/>
      <c r="AZ45" s="89"/>
      <c r="BA45" s="89"/>
      <c r="BB45" s="89"/>
      <c r="BC45" s="89"/>
      <c r="BD45" s="89"/>
      <c r="BE45" s="88"/>
      <c r="BF45" s="89"/>
      <c r="BG45" s="89"/>
      <c r="BH45" s="89"/>
      <c r="BI45" s="89"/>
      <c r="BJ45" s="89"/>
      <c r="BK45" s="88"/>
      <c r="BL45" s="89"/>
      <c r="BM45" s="89"/>
      <c r="BN45" s="89"/>
      <c r="BO45" s="89"/>
      <c r="BP45" s="89"/>
      <c r="BQ45" s="88"/>
      <c r="BR45" s="89"/>
      <c r="BS45" s="89"/>
      <c r="BT45" s="89"/>
      <c r="BU45" s="89"/>
      <c r="BV45" s="89"/>
      <c r="BW45" s="88"/>
      <c r="BX45" s="89"/>
      <c r="BY45" s="89"/>
      <c r="BZ45" s="89"/>
      <c r="CA45" s="89"/>
      <c r="CB45" s="89"/>
      <c r="CC45" s="88"/>
      <c r="CD45" s="89"/>
      <c r="CE45" s="89"/>
      <c r="CF45" s="89"/>
      <c r="CG45" s="89"/>
      <c r="CH45" s="89"/>
      <c r="CI45" s="88"/>
      <c r="CJ45" s="89"/>
      <c r="CK45" s="89"/>
      <c r="CL45" s="89"/>
      <c r="CM45" s="89"/>
      <c r="CN45" s="89"/>
      <c r="CO45" s="88"/>
      <c r="CP45" s="89"/>
      <c r="CQ45" s="89"/>
      <c r="CR45" s="89"/>
      <c r="CS45" s="89"/>
      <c r="CT45" s="89"/>
      <c r="CU45" s="88">
        <f t="shared" si="1"/>
        <v>7608.4633899999999</v>
      </c>
      <c r="CV45" s="89">
        <v>4915.1338999999998</v>
      </c>
      <c r="CW45" s="89">
        <v>4633.2672000000002</v>
      </c>
      <c r="CX45" s="89">
        <v>281.86669999999998</v>
      </c>
      <c r="CY45" s="89">
        <v>2693.3294900000001</v>
      </c>
      <c r="CZ45" s="89"/>
      <c r="DA45" s="88"/>
      <c r="DB45" s="89"/>
      <c r="DC45" s="89"/>
      <c r="DD45" s="89"/>
      <c r="DE45" s="89"/>
      <c r="DF45" s="89"/>
      <c r="DG45" s="88">
        <v>11283.8</v>
      </c>
      <c r="DH45" s="89">
        <v>2908.3</v>
      </c>
      <c r="DI45" s="89"/>
      <c r="DJ45" s="89"/>
      <c r="DK45" s="89">
        <v>16396.599999999999</v>
      </c>
      <c r="DL45" s="89">
        <v>2204.5</v>
      </c>
      <c r="DM45" s="88"/>
      <c r="DN45" s="89"/>
      <c r="DO45" s="89"/>
      <c r="DP45" s="89"/>
      <c r="DQ45" s="89"/>
      <c r="DR45" s="89"/>
      <c r="DS45" s="88"/>
      <c r="DT45" s="89"/>
      <c r="DU45" s="89"/>
      <c r="DV45" s="89"/>
      <c r="DW45" s="89"/>
      <c r="DX45" s="89"/>
      <c r="DY45" s="88"/>
      <c r="DZ45" s="89"/>
      <c r="EA45" s="89"/>
      <c r="EB45" s="89"/>
      <c r="EC45" s="89"/>
      <c r="ED45" s="89"/>
      <c r="EE45" s="88"/>
      <c r="EF45" s="89"/>
      <c r="EG45" s="89"/>
      <c r="EH45" s="89"/>
      <c r="EI45" s="89"/>
      <c r="EJ45" s="89"/>
      <c r="EK45" s="88"/>
      <c r="EL45" s="89"/>
      <c r="EM45" s="89"/>
      <c r="EN45" s="89"/>
      <c r="EO45" s="89"/>
      <c r="EP45" s="89"/>
      <c r="EQ45" s="88"/>
      <c r="ER45" s="89"/>
      <c r="ES45" s="89"/>
      <c r="ET45" s="89"/>
      <c r="EU45" s="89"/>
      <c r="EV45" s="89"/>
      <c r="EW45" s="88"/>
      <c r="EX45" s="89"/>
      <c r="EY45" s="89"/>
      <c r="EZ45" s="89"/>
      <c r="FA45" s="89"/>
      <c r="FB45" s="89"/>
      <c r="FC45" s="88"/>
      <c r="FD45" s="89"/>
      <c r="FE45" s="89"/>
      <c r="FF45" s="89"/>
      <c r="FG45" s="89"/>
      <c r="FH45" s="89"/>
      <c r="FI45" s="88"/>
      <c r="FJ45" s="89"/>
      <c r="FK45" s="89"/>
      <c r="FL45" s="89"/>
      <c r="FM45" s="89"/>
      <c r="FN45" s="89"/>
      <c r="FO45" s="88"/>
      <c r="FP45" s="89"/>
      <c r="FQ45" s="89"/>
      <c r="FR45" s="89"/>
      <c r="FS45" s="89"/>
      <c r="FT45" s="89"/>
      <c r="FU45" s="88"/>
      <c r="FV45" s="89"/>
      <c r="FW45" s="89"/>
      <c r="FX45" s="89"/>
      <c r="FY45" s="89"/>
      <c r="FZ45" s="89"/>
      <c r="GA45" s="88"/>
      <c r="GB45" s="89"/>
      <c r="GC45" s="89"/>
      <c r="GD45" s="89"/>
      <c r="GE45" s="89"/>
      <c r="GF45" s="89"/>
      <c r="GG45" s="88"/>
      <c r="GH45" s="89"/>
      <c r="GI45" s="89"/>
      <c r="GJ45" s="89"/>
      <c r="GK45" s="89"/>
      <c r="GL45" s="89"/>
      <c r="GM45" s="88"/>
      <c r="GN45" s="89"/>
      <c r="GO45" s="89"/>
      <c r="GP45" s="89"/>
      <c r="GQ45" s="89"/>
      <c r="GR45" s="89"/>
      <c r="GS45" s="88"/>
      <c r="GT45" s="87"/>
      <c r="GU45" s="87"/>
      <c r="GV45" s="87"/>
      <c r="GW45" s="87"/>
      <c r="GX45" s="87"/>
      <c r="GY45" s="87"/>
      <c r="GZ45" s="88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8"/>
      <c r="HM45" s="87"/>
      <c r="HN45" s="87"/>
      <c r="HO45" s="87"/>
      <c r="HP45" s="87"/>
      <c r="HQ45" s="87"/>
      <c r="HR45" s="87"/>
      <c r="HS45" s="87"/>
    </row>
    <row r="46" spans="1:227">
      <c r="A46" s="69"/>
      <c r="B46" s="87" t="s">
        <v>495</v>
      </c>
      <c r="C46" s="88"/>
      <c r="D46" s="87"/>
      <c r="E46" s="87"/>
      <c r="F46" s="87"/>
      <c r="G46" s="87"/>
      <c r="H46" s="87"/>
      <c r="I46" s="88">
        <v>39364.643000000004</v>
      </c>
      <c r="J46" s="89">
        <v>22942.246999999999</v>
      </c>
      <c r="K46" s="89"/>
      <c r="L46" s="89"/>
      <c r="M46" s="89">
        <v>40063.682000000001</v>
      </c>
      <c r="N46" s="89">
        <v>-23641.286</v>
      </c>
      <c r="O46" s="90"/>
      <c r="P46" s="91"/>
      <c r="Q46" s="91"/>
      <c r="R46" s="91"/>
      <c r="S46" s="91"/>
      <c r="T46" s="91"/>
      <c r="U46" s="90"/>
      <c r="V46" s="91"/>
      <c r="W46" s="91"/>
      <c r="X46" s="91"/>
      <c r="Y46" s="91"/>
      <c r="Z46" s="91"/>
      <c r="AA46" s="88">
        <v>451.95600000000002</v>
      </c>
      <c r="AB46" s="89">
        <f t="shared" si="0"/>
        <v>69.561000000000007</v>
      </c>
      <c r="AC46" s="89">
        <v>47.887</v>
      </c>
      <c r="AD46" s="89">
        <v>21.673999999999999</v>
      </c>
      <c r="AE46" s="89">
        <v>382.39499999999998</v>
      </c>
      <c r="AF46" s="89"/>
      <c r="AG46" s="88"/>
      <c r="AH46" s="89"/>
      <c r="AI46" s="89"/>
      <c r="AJ46" s="89"/>
      <c r="AK46" s="89"/>
      <c r="AL46" s="89"/>
      <c r="AM46" s="88"/>
      <c r="AN46" s="89"/>
      <c r="AO46" s="89"/>
      <c r="AP46" s="89"/>
      <c r="AQ46" s="89"/>
      <c r="AR46" s="89"/>
      <c r="AS46" s="88"/>
      <c r="AT46" s="89"/>
      <c r="AU46" s="89"/>
      <c r="AV46" s="89"/>
      <c r="AW46" s="89"/>
      <c r="AX46" s="89"/>
      <c r="AY46" s="88"/>
      <c r="AZ46" s="89"/>
      <c r="BA46" s="89"/>
      <c r="BB46" s="89"/>
      <c r="BC46" s="89"/>
      <c r="BD46" s="89"/>
      <c r="BE46" s="88"/>
      <c r="BF46" s="89"/>
      <c r="BG46" s="89"/>
      <c r="BH46" s="89"/>
      <c r="BI46" s="89"/>
      <c r="BJ46" s="89"/>
      <c r="BK46" s="88"/>
      <c r="BL46" s="89"/>
      <c r="BM46" s="89"/>
      <c r="BN46" s="89"/>
      <c r="BO46" s="89"/>
      <c r="BP46" s="89"/>
      <c r="BQ46" s="88"/>
      <c r="BR46" s="89"/>
      <c r="BS46" s="89"/>
      <c r="BT46" s="89"/>
      <c r="BU46" s="89"/>
      <c r="BV46" s="89"/>
      <c r="BW46" s="88"/>
      <c r="BX46" s="89"/>
      <c r="BY46" s="89"/>
      <c r="BZ46" s="89"/>
      <c r="CA46" s="89"/>
      <c r="CB46" s="89"/>
      <c r="CC46" s="88"/>
      <c r="CD46" s="89"/>
      <c r="CE46" s="89"/>
      <c r="CF46" s="89"/>
      <c r="CG46" s="89"/>
      <c r="CH46" s="89"/>
      <c r="CI46" s="88"/>
      <c r="CJ46" s="89"/>
      <c r="CK46" s="89"/>
      <c r="CL46" s="89"/>
      <c r="CM46" s="89"/>
      <c r="CN46" s="89"/>
      <c r="CO46" s="88"/>
      <c r="CP46" s="89"/>
      <c r="CQ46" s="89"/>
      <c r="CR46" s="89"/>
      <c r="CS46" s="89"/>
      <c r="CT46" s="89"/>
      <c r="CU46" s="88">
        <f t="shared" si="1"/>
        <v>7662.3643400000001</v>
      </c>
      <c r="CV46" s="89">
        <v>4969.6075000000001</v>
      </c>
      <c r="CW46" s="89">
        <v>4682.4195</v>
      </c>
      <c r="CX46" s="89">
        <v>287.18799999999999</v>
      </c>
      <c r="CY46" s="89">
        <v>2692.7568399999996</v>
      </c>
      <c r="CZ46" s="89"/>
      <c r="DA46" s="88"/>
      <c r="DB46" s="89"/>
      <c r="DC46" s="89"/>
      <c r="DD46" s="89"/>
      <c r="DE46" s="89"/>
      <c r="DF46" s="89"/>
      <c r="DG46" s="88">
        <v>13318.2</v>
      </c>
      <c r="DH46" s="89">
        <v>1612.5</v>
      </c>
      <c r="DI46" s="89"/>
      <c r="DJ46" s="89"/>
      <c r="DK46" s="89">
        <v>17150.900000000001</v>
      </c>
      <c r="DL46" s="89">
        <v>2220.1999999999998</v>
      </c>
      <c r="DM46" s="88"/>
      <c r="DN46" s="89"/>
      <c r="DO46" s="89"/>
      <c r="DP46" s="89"/>
      <c r="DQ46" s="89"/>
      <c r="DR46" s="89"/>
      <c r="DS46" s="88"/>
      <c r="DT46" s="89"/>
      <c r="DU46" s="89"/>
      <c r="DV46" s="89"/>
      <c r="DW46" s="89"/>
      <c r="DX46" s="89"/>
      <c r="DY46" s="88"/>
      <c r="DZ46" s="89"/>
      <c r="EA46" s="89"/>
      <c r="EB46" s="89"/>
      <c r="EC46" s="89"/>
      <c r="ED46" s="89"/>
      <c r="EE46" s="88"/>
      <c r="EF46" s="89"/>
      <c r="EG46" s="89"/>
      <c r="EH46" s="89"/>
      <c r="EI46" s="89"/>
      <c r="EJ46" s="89"/>
      <c r="EK46" s="88"/>
      <c r="EL46" s="89"/>
      <c r="EM46" s="89"/>
      <c r="EN46" s="89"/>
      <c r="EO46" s="89"/>
      <c r="EP46" s="89"/>
      <c r="EQ46" s="88"/>
      <c r="ER46" s="89"/>
      <c r="ES46" s="89"/>
      <c r="ET46" s="89"/>
      <c r="EU46" s="89"/>
      <c r="EV46" s="89"/>
      <c r="EW46" s="88"/>
      <c r="EX46" s="89"/>
      <c r="EY46" s="89"/>
      <c r="EZ46" s="89"/>
      <c r="FA46" s="89"/>
      <c r="FB46" s="89"/>
      <c r="FC46" s="88"/>
      <c r="FD46" s="89"/>
      <c r="FE46" s="89"/>
      <c r="FF46" s="89"/>
      <c r="FG46" s="89"/>
      <c r="FH46" s="89"/>
      <c r="FI46" s="88"/>
      <c r="FJ46" s="89"/>
      <c r="FK46" s="89"/>
      <c r="FL46" s="89"/>
      <c r="FM46" s="89"/>
      <c r="FN46" s="89"/>
      <c r="FO46" s="88"/>
      <c r="FP46" s="89"/>
      <c r="FQ46" s="89"/>
      <c r="FR46" s="89"/>
      <c r="FS46" s="89"/>
      <c r="FT46" s="89"/>
      <c r="FU46" s="88"/>
      <c r="FV46" s="89"/>
      <c r="FW46" s="89"/>
      <c r="FX46" s="89"/>
      <c r="FY46" s="89"/>
      <c r="FZ46" s="89"/>
      <c r="GA46" s="88"/>
      <c r="GB46" s="89"/>
      <c r="GC46" s="89"/>
      <c r="GD46" s="89"/>
      <c r="GE46" s="89"/>
      <c r="GF46" s="89"/>
      <c r="GG46" s="88"/>
      <c r="GH46" s="89"/>
      <c r="GI46" s="89"/>
      <c r="GJ46" s="89"/>
      <c r="GK46" s="89"/>
      <c r="GL46" s="89"/>
      <c r="GM46" s="88"/>
      <c r="GN46" s="89"/>
      <c r="GO46" s="89"/>
      <c r="GP46" s="89"/>
      <c r="GQ46" s="89"/>
      <c r="GR46" s="89"/>
      <c r="GS46" s="88"/>
      <c r="GT46" s="87"/>
      <c r="GU46" s="87"/>
      <c r="GV46" s="87"/>
      <c r="GW46" s="87"/>
      <c r="GX46" s="87"/>
      <c r="GY46" s="87"/>
      <c r="GZ46" s="88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8"/>
      <c r="HM46" s="87"/>
      <c r="HN46" s="87"/>
      <c r="HO46" s="87"/>
      <c r="HP46" s="87"/>
      <c r="HQ46" s="87"/>
      <c r="HR46" s="87"/>
      <c r="HS46" s="87"/>
    </row>
    <row r="47" spans="1:227">
      <c r="A47" s="69"/>
      <c r="B47" s="87" t="s">
        <v>496</v>
      </c>
      <c r="C47" s="88"/>
      <c r="D47" s="87"/>
      <c r="E47" s="87"/>
      <c r="F47" s="87"/>
      <c r="G47" s="87"/>
      <c r="H47" s="87"/>
      <c r="I47" s="88">
        <v>39427.759999999995</v>
      </c>
      <c r="J47" s="89">
        <v>22598.678</v>
      </c>
      <c r="K47" s="89"/>
      <c r="L47" s="89"/>
      <c r="M47" s="89">
        <v>40199.440999999999</v>
      </c>
      <c r="N47" s="89">
        <v>-23370.359</v>
      </c>
      <c r="O47" s="90"/>
      <c r="P47" s="91"/>
      <c r="Q47" s="91"/>
      <c r="R47" s="91"/>
      <c r="S47" s="91"/>
      <c r="T47" s="91"/>
      <c r="U47" s="90"/>
      <c r="V47" s="91"/>
      <c r="W47" s="91"/>
      <c r="X47" s="91"/>
      <c r="Y47" s="91"/>
      <c r="Z47" s="91"/>
      <c r="AA47" s="88">
        <v>449.11599999999999</v>
      </c>
      <c r="AB47" s="89">
        <f t="shared" si="0"/>
        <v>70.599000000000004</v>
      </c>
      <c r="AC47" s="89">
        <v>48.923000000000002</v>
      </c>
      <c r="AD47" s="89">
        <v>21.675999999999998</v>
      </c>
      <c r="AE47" s="89">
        <v>378.517</v>
      </c>
      <c r="AF47" s="89"/>
      <c r="AG47" s="88"/>
      <c r="AH47" s="89"/>
      <c r="AI47" s="89"/>
      <c r="AJ47" s="89"/>
      <c r="AK47" s="89"/>
      <c r="AL47" s="89"/>
      <c r="AM47" s="88"/>
      <c r="AN47" s="89"/>
      <c r="AO47" s="89"/>
      <c r="AP47" s="89"/>
      <c r="AQ47" s="89"/>
      <c r="AR47" s="89"/>
      <c r="AS47" s="88"/>
      <c r="AT47" s="89"/>
      <c r="AU47" s="89"/>
      <c r="AV47" s="89"/>
      <c r="AW47" s="89"/>
      <c r="AX47" s="89"/>
      <c r="AY47" s="88"/>
      <c r="AZ47" s="89"/>
      <c r="BA47" s="89"/>
      <c r="BB47" s="89"/>
      <c r="BC47" s="89"/>
      <c r="BD47" s="89"/>
      <c r="BE47" s="88"/>
      <c r="BF47" s="89"/>
      <c r="BG47" s="89"/>
      <c r="BH47" s="89"/>
      <c r="BI47" s="89"/>
      <c r="BJ47" s="89"/>
      <c r="BK47" s="88"/>
      <c r="BL47" s="89"/>
      <c r="BM47" s="89"/>
      <c r="BN47" s="89"/>
      <c r="BO47" s="89"/>
      <c r="BP47" s="89"/>
      <c r="BQ47" s="88"/>
      <c r="BR47" s="89"/>
      <c r="BS47" s="89"/>
      <c r="BT47" s="89"/>
      <c r="BU47" s="89"/>
      <c r="BV47" s="89"/>
      <c r="BW47" s="88"/>
      <c r="BX47" s="89"/>
      <c r="BY47" s="89"/>
      <c r="BZ47" s="89"/>
      <c r="CA47" s="89"/>
      <c r="CB47" s="89"/>
      <c r="CC47" s="88"/>
      <c r="CD47" s="89"/>
      <c r="CE47" s="89"/>
      <c r="CF47" s="89"/>
      <c r="CG47" s="89"/>
      <c r="CH47" s="89"/>
      <c r="CI47" s="88"/>
      <c r="CJ47" s="89"/>
      <c r="CK47" s="89"/>
      <c r="CL47" s="89"/>
      <c r="CM47" s="89"/>
      <c r="CN47" s="89"/>
      <c r="CO47" s="88"/>
      <c r="CP47" s="89"/>
      <c r="CQ47" s="89"/>
      <c r="CR47" s="89"/>
      <c r="CS47" s="89"/>
      <c r="CT47" s="89"/>
      <c r="CU47" s="88">
        <f t="shared" si="1"/>
        <v>7782.0228600000009</v>
      </c>
      <c r="CV47" s="89">
        <v>5023.7339000000002</v>
      </c>
      <c r="CW47" s="89">
        <v>4723.2316000000001</v>
      </c>
      <c r="CX47" s="89">
        <v>300.50229999999999</v>
      </c>
      <c r="CY47" s="89">
        <v>2758.2889600000003</v>
      </c>
      <c r="CZ47" s="89"/>
      <c r="DA47" s="88"/>
      <c r="DB47" s="89"/>
      <c r="DC47" s="89"/>
      <c r="DD47" s="89"/>
      <c r="DE47" s="89"/>
      <c r="DF47" s="89"/>
      <c r="DG47" s="88">
        <v>15776.3</v>
      </c>
      <c r="DH47" s="89">
        <v>481.1</v>
      </c>
      <c r="DI47" s="89"/>
      <c r="DJ47" s="89"/>
      <c r="DK47" s="89">
        <v>17248.400000000001</v>
      </c>
      <c r="DL47" s="89">
        <v>1953.2</v>
      </c>
      <c r="DM47" s="88"/>
      <c r="DN47" s="89"/>
      <c r="DO47" s="89"/>
      <c r="DP47" s="89"/>
      <c r="DQ47" s="89"/>
      <c r="DR47" s="89"/>
      <c r="DS47" s="88"/>
      <c r="DT47" s="89"/>
      <c r="DU47" s="89"/>
      <c r="DV47" s="89"/>
      <c r="DW47" s="89"/>
      <c r="DX47" s="89"/>
      <c r="DY47" s="88"/>
      <c r="DZ47" s="89"/>
      <c r="EA47" s="89"/>
      <c r="EB47" s="89"/>
      <c r="EC47" s="89"/>
      <c r="ED47" s="89"/>
      <c r="EE47" s="88"/>
      <c r="EF47" s="89"/>
      <c r="EG47" s="89"/>
      <c r="EH47" s="89"/>
      <c r="EI47" s="89"/>
      <c r="EJ47" s="89"/>
      <c r="EK47" s="88"/>
      <c r="EL47" s="89"/>
      <c r="EM47" s="89"/>
      <c r="EN47" s="89"/>
      <c r="EO47" s="89"/>
      <c r="EP47" s="89"/>
      <c r="EQ47" s="88"/>
      <c r="ER47" s="89"/>
      <c r="ES47" s="89"/>
      <c r="ET47" s="89"/>
      <c r="EU47" s="89"/>
      <c r="EV47" s="89"/>
      <c r="EW47" s="88"/>
      <c r="EX47" s="89"/>
      <c r="EY47" s="89"/>
      <c r="EZ47" s="89"/>
      <c r="FA47" s="89"/>
      <c r="FB47" s="89"/>
      <c r="FC47" s="88"/>
      <c r="FD47" s="89"/>
      <c r="FE47" s="89"/>
      <c r="FF47" s="89"/>
      <c r="FG47" s="89"/>
      <c r="FH47" s="89"/>
      <c r="FI47" s="88"/>
      <c r="FJ47" s="89"/>
      <c r="FK47" s="89"/>
      <c r="FL47" s="89"/>
      <c r="FM47" s="89"/>
      <c r="FN47" s="89"/>
      <c r="FO47" s="88"/>
      <c r="FP47" s="89"/>
      <c r="FQ47" s="89"/>
      <c r="FR47" s="89"/>
      <c r="FS47" s="89"/>
      <c r="FT47" s="89"/>
      <c r="FU47" s="88"/>
      <c r="FV47" s="89"/>
      <c r="FW47" s="89"/>
      <c r="FX47" s="89"/>
      <c r="FY47" s="89"/>
      <c r="FZ47" s="89"/>
      <c r="GA47" s="88"/>
      <c r="GB47" s="89"/>
      <c r="GC47" s="89"/>
      <c r="GD47" s="89"/>
      <c r="GE47" s="89"/>
      <c r="GF47" s="89"/>
      <c r="GG47" s="88"/>
      <c r="GH47" s="89"/>
      <c r="GI47" s="89"/>
      <c r="GJ47" s="89"/>
      <c r="GK47" s="89"/>
      <c r="GL47" s="89"/>
      <c r="GM47" s="88"/>
      <c r="GN47" s="89"/>
      <c r="GO47" s="89"/>
      <c r="GP47" s="89"/>
      <c r="GQ47" s="89"/>
      <c r="GR47" s="89"/>
      <c r="GS47" s="88"/>
      <c r="GT47" s="87"/>
      <c r="GU47" s="87"/>
      <c r="GV47" s="87"/>
      <c r="GW47" s="87"/>
      <c r="GX47" s="87"/>
      <c r="GY47" s="87"/>
      <c r="GZ47" s="88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8"/>
      <c r="HM47" s="87"/>
      <c r="HN47" s="87"/>
      <c r="HO47" s="87"/>
      <c r="HP47" s="87"/>
      <c r="HQ47" s="87"/>
      <c r="HR47" s="87"/>
      <c r="HS47" s="87"/>
    </row>
    <row r="48" spans="1:227">
      <c r="A48" s="69"/>
      <c r="B48" s="87" t="s">
        <v>497</v>
      </c>
      <c r="C48" s="88"/>
      <c r="D48" s="87"/>
      <c r="E48" s="87"/>
      <c r="F48" s="87"/>
      <c r="G48" s="87"/>
      <c r="H48" s="87"/>
      <c r="I48" s="88">
        <v>41415.387000000002</v>
      </c>
      <c r="J48" s="89">
        <v>23672.345000000001</v>
      </c>
      <c r="K48" s="89"/>
      <c r="L48" s="89"/>
      <c r="M48" s="89">
        <v>40671.822</v>
      </c>
      <c r="N48" s="89">
        <v>-22928.78</v>
      </c>
      <c r="O48" s="90"/>
      <c r="P48" s="91"/>
      <c r="Q48" s="91"/>
      <c r="R48" s="91"/>
      <c r="S48" s="91"/>
      <c r="T48" s="91"/>
      <c r="U48" s="90"/>
      <c r="V48" s="91"/>
      <c r="W48" s="91"/>
      <c r="X48" s="91"/>
      <c r="Y48" s="91"/>
      <c r="Z48" s="91"/>
      <c r="AA48" s="88">
        <v>465.28800000000001</v>
      </c>
      <c r="AB48" s="89">
        <f t="shared" si="0"/>
        <v>75.957999999999998</v>
      </c>
      <c r="AC48" s="89">
        <v>54.28</v>
      </c>
      <c r="AD48" s="89">
        <v>21.678000000000001</v>
      </c>
      <c r="AE48" s="89">
        <v>389.33</v>
      </c>
      <c r="AF48" s="89"/>
      <c r="AG48" s="88"/>
      <c r="AH48" s="89"/>
      <c r="AI48" s="89"/>
      <c r="AJ48" s="89"/>
      <c r="AK48" s="89"/>
      <c r="AL48" s="89"/>
      <c r="AM48" s="88"/>
      <c r="AN48" s="89"/>
      <c r="AO48" s="89"/>
      <c r="AP48" s="89"/>
      <c r="AQ48" s="89"/>
      <c r="AR48" s="89"/>
      <c r="AS48" s="88"/>
      <c r="AT48" s="89"/>
      <c r="AU48" s="89"/>
      <c r="AV48" s="89"/>
      <c r="AW48" s="89"/>
      <c r="AX48" s="89"/>
      <c r="AY48" s="88"/>
      <c r="AZ48" s="89"/>
      <c r="BA48" s="89"/>
      <c r="BB48" s="89"/>
      <c r="BC48" s="89"/>
      <c r="BD48" s="89"/>
      <c r="BE48" s="88"/>
      <c r="BF48" s="89"/>
      <c r="BG48" s="89"/>
      <c r="BH48" s="89"/>
      <c r="BI48" s="89"/>
      <c r="BJ48" s="89"/>
      <c r="BK48" s="88"/>
      <c r="BL48" s="89"/>
      <c r="BM48" s="89"/>
      <c r="BN48" s="89"/>
      <c r="BO48" s="89"/>
      <c r="BP48" s="89"/>
      <c r="BQ48" s="88"/>
      <c r="BR48" s="89"/>
      <c r="BS48" s="89"/>
      <c r="BT48" s="89"/>
      <c r="BU48" s="89"/>
      <c r="BV48" s="89"/>
      <c r="BW48" s="88"/>
      <c r="BX48" s="89"/>
      <c r="BY48" s="89"/>
      <c r="BZ48" s="89"/>
      <c r="CA48" s="89"/>
      <c r="CB48" s="89"/>
      <c r="CC48" s="88"/>
      <c r="CD48" s="89"/>
      <c r="CE48" s="89"/>
      <c r="CF48" s="89"/>
      <c r="CG48" s="89"/>
      <c r="CH48" s="89"/>
      <c r="CI48" s="88"/>
      <c r="CJ48" s="89"/>
      <c r="CK48" s="89"/>
      <c r="CL48" s="89"/>
      <c r="CM48" s="89"/>
      <c r="CN48" s="89"/>
      <c r="CO48" s="88"/>
      <c r="CP48" s="89"/>
      <c r="CQ48" s="89"/>
      <c r="CR48" s="89"/>
      <c r="CS48" s="89"/>
      <c r="CT48" s="89"/>
      <c r="CU48" s="88">
        <f t="shared" si="1"/>
        <v>8025.3795800000007</v>
      </c>
      <c r="CV48" s="89">
        <v>4903.0136000000002</v>
      </c>
      <c r="CW48" s="89">
        <v>4381.8642</v>
      </c>
      <c r="CX48" s="89">
        <v>521.14940000000001</v>
      </c>
      <c r="CY48" s="89">
        <v>3122.3659800000005</v>
      </c>
      <c r="CZ48" s="89"/>
      <c r="DA48" s="88"/>
      <c r="DB48" s="89"/>
      <c r="DC48" s="89"/>
      <c r="DD48" s="89"/>
      <c r="DE48" s="89"/>
      <c r="DF48" s="89"/>
      <c r="DG48" s="88">
        <v>15274.6</v>
      </c>
      <c r="DH48" s="89">
        <v>2188.6</v>
      </c>
      <c r="DI48" s="89"/>
      <c r="DJ48" s="89"/>
      <c r="DK48" s="89">
        <v>19049.599999999999</v>
      </c>
      <c r="DL48" s="89">
        <v>1586.4</v>
      </c>
      <c r="DM48" s="88"/>
      <c r="DN48" s="89"/>
      <c r="DO48" s="89"/>
      <c r="DP48" s="89"/>
      <c r="DQ48" s="89"/>
      <c r="DR48" s="89"/>
      <c r="DS48" s="88"/>
      <c r="DT48" s="89"/>
      <c r="DU48" s="89"/>
      <c r="DV48" s="89"/>
      <c r="DW48" s="89"/>
      <c r="DX48" s="89"/>
      <c r="DY48" s="88"/>
      <c r="DZ48" s="89"/>
      <c r="EA48" s="89"/>
      <c r="EB48" s="89"/>
      <c r="EC48" s="89"/>
      <c r="ED48" s="89"/>
      <c r="EE48" s="88"/>
      <c r="EF48" s="89"/>
      <c r="EG48" s="89"/>
      <c r="EH48" s="89"/>
      <c r="EI48" s="89"/>
      <c r="EJ48" s="89"/>
      <c r="EK48" s="88"/>
      <c r="EL48" s="89"/>
      <c r="EM48" s="89"/>
      <c r="EN48" s="89"/>
      <c r="EO48" s="89"/>
      <c r="EP48" s="89"/>
      <c r="EQ48" s="88"/>
      <c r="ER48" s="89"/>
      <c r="ES48" s="89"/>
      <c r="ET48" s="89"/>
      <c r="EU48" s="89"/>
      <c r="EV48" s="89"/>
      <c r="EW48" s="88"/>
      <c r="EX48" s="89"/>
      <c r="EY48" s="89"/>
      <c r="EZ48" s="89"/>
      <c r="FA48" s="89"/>
      <c r="FB48" s="89"/>
      <c r="FC48" s="88"/>
      <c r="FD48" s="89"/>
      <c r="FE48" s="89"/>
      <c r="FF48" s="89"/>
      <c r="FG48" s="89"/>
      <c r="FH48" s="89"/>
      <c r="FI48" s="88"/>
      <c r="FJ48" s="89"/>
      <c r="FK48" s="89"/>
      <c r="FL48" s="89"/>
      <c r="FM48" s="89"/>
      <c r="FN48" s="89"/>
      <c r="FO48" s="88"/>
      <c r="FP48" s="89"/>
      <c r="FQ48" s="89"/>
      <c r="FR48" s="89"/>
      <c r="FS48" s="89"/>
      <c r="FT48" s="89"/>
      <c r="FU48" s="88"/>
      <c r="FV48" s="89"/>
      <c r="FW48" s="89"/>
      <c r="FX48" s="89"/>
      <c r="FY48" s="89"/>
      <c r="FZ48" s="89"/>
      <c r="GA48" s="88"/>
      <c r="GB48" s="89"/>
      <c r="GC48" s="89"/>
      <c r="GD48" s="89"/>
      <c r="GE48" s="89"/>
      <c r="GF48" s="89"/>
      <c r="GG48" s="88"/>
      <c r="GH48" s="89"/>
      <c r="GI48" s="89"/>
      <c r="GJ48" s="89"/>
      <c r="GK48" s="89"/>
      <c r="GL48" s="89"/>
      <c r="GM48" s="88"/>
      <c r="GN48" s="89"/>
      <c r="GO48" s="89"/>
      <c r="GP48" s="89"/>
      <c r="GQ48" s="89"/>
      <c r="GR48" s="89"/>
      <c r="GS48" s="88"/>
      <c r="GT48" s="87"/>
      <c r="GU48" s="87"/>
      <c r="GV48" s="87"/>
      <c r="GW48" s="87"/>
      <c r="GX48" s="87"/>
      <c r="GY48" s="87"/>
      <c r="GZ48" s="88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8"/>
      <c r="HM48" s="87"/>
      <c r="HN48" s="87"/>
      <c r="HO48" s="87"/>
      <c r="HP48" s="87"/>
      <c r="HQ48" s="87"/>
      <c r="HR48" s="87"/>
      <c r="HS48" s="87"/>
    </row>
    <row r="49" spans="1:231" ht="13.5" customHeight="1">
      <c r="A49" s="69"/>
      <c r="B49" s="87" t="s">
        <v>498</v>
      </c>
      <c r="C49" s="88"/>
      <c r="D49" s="87"/>
      <c r="E49" s="87"/>
      <c r="F49" s="87"/>
      <c r="G49" s="87"/>
      <c r="H49" s="87"/>
      <c r="I49" s="88">
        <v>41074.642</v>
      </c>
      <c r="J49" s="89">
        <v>22295.787</v>
      </c>
      <c r="K49" s="89"/>
      <c r="L49" s="89"/>
      <c r="M49" s="89">
        <v>41004.584000000003</v>
      </c>
      <c r="N49" s="89">
        <v>-22225.728999999999</v>
      </c>
      <c r="O49" s="90"/>
      <c r="P49" s="91"/>
      <c r="Q49" s="91"/>
      <c r="R49" s="91"/>
      <c r="S49" s="91"/>
      <c r="T49" s="91"/>
      <c r="U49" s="90"/>
      <c r="V49" s="91"/>
      <c r="W49" s="91"/>
      <c r="X49" s="91"/>
      <c r="Y49" s="89"/>
      <c r="Z49" s="89"/>
      <c r="AA49" s="88">
        <v>475.642</v>
      </c>
      <c r="AB49" s="89">
        <f t="shared" si="0"/>
        <v>80.399000000000001</v>
      </c>
      <c r="AC49" s="89">
        <v>58.872</v>
      </c>
      <c r="AD49" s="89">
        <v>21.527000000000001</v>
      </c>
      <c r="AE49" s="89">
        <v>395.24299999999999</v>
      </c>
      <c r="AF49" s="89"/>
      <c r="AG49" s="88"/>
      <c r="AH49" s="89"/>
      <c r="AI49" s="89"/>
      <c r="AJ49" s="89"/>
      <c r="AK49" s="89"/>
      <c r="AL49" s="89"/>
      <c r="AM49" s="88"/>
      <c r="AN49" s="89"/>
      <c r="AO49" s="89"/>
      <c r="AP49" s="89"/>
      <c r="AQ49" s="89"/>
      <c r="AR49" s="89"/>
      <c r="AS49" s="88"/>
      <c r="AT49" s="89"/>
      <c r="AU49" s="89"/>
      <c r="AV49" s="89"/>
      <c r="AW49" s="89"/>
      <c r="AX49" s="89"/>
      <c r="AY49" s="88"/>
      <c r="AZ49" s="89"/>
      <c r="BA49" s="89"/>
      <c r="BB49" s="89"/>
      <c r="BC49" s="89"/>
      <c r="BD49" s="89"/>
      <c r="BE49" s="88"/>
      <c r="BF49" s="89"/>
      <c r="BG49" s="89"/>
      <c r="BH49" s="89"/>
      <c r="BI49" s="89"/>
      <c r="BJ49" s="89"/>
      <c r="BK49" s="88"/>
      <c r="BL49" s="89"/>
      <c r="BM49" s="89"/>
      <c r="BN49" s="89"/>
      <c r="BO49" s="89"/>
      <c r="BP49" s="89"/>
      <c r="BQ49" s="88"/>
      <c r="BR49" s="89"/>
      <c r="BS49" s="89"/>
      <c r="BT49" s="89"/>
      <c r="BU49" s="89"/>
      <c r="BV49" s="89"/>
      <c r="BW49" s="88"/>
      <c r="BX49" s="89"/>
      <c r="BY49" s="89"/>
      <c r="BZ49" s="89"/>
      <c r="CA49" s="89"/>
      <c r="CB49" s="89"/>
      <c r="CC49" s="88"/>
      <c r="CD49" s="89"/>
      <c r="CE49" s="89"/>
      <c r="CF49" s="89"/>
      <c r="CG49" s="89"/>
      <c r="CH49" s="89"/>
      <c r="CI49" s="88"/>
      <c r="CJ49" s="89"/>
      <c r="CK49" s="89"/>
      <c r="CL49" s="89"/>
      <c r="CM49" s="89"/>
      <c r="CN49" s="89"/>
      <c r="CO49" s="88"/>
      <c r="CP49" s="89"/>
      <c r="CQ49" s="89"/>
      <c r="CR49" s="89"/>
      <c r="CS49" s="89"/>
      <c r="CT49" s="89"/>
      <c r="CU49" s="88">
        <f t="shared" si="1"/>
        <v>8001.2262199999986</v>
      </c>
      <c r="CV49" s="89">
        <v>4972.779199999999</v>
      </c>
      <c r="CW49" s="89">
        <v>4449.0572999999995</v>
      </c>
      <c r="CX49" s="89">
        <v>523.72190000000001</v>
      </c>
      <c r="CY49" s="89">
        <v>3028.4470199999996</v>
      </c>
      <c r="CZ49" s="89"/>
      <c r="DA49" s="88"/>
      <c r="DB49" s="89"/>
      <c r="DC49" s="89"/>
      <c r="DD49" s="89"/>
      <c r="DE49" s="89"/>
      <c r="DF49" s="89"/>
      <c r="DG49" s="88">
        <v>18073.400000000001</v>
      </c>
      <c r="DH49" s="89">
        <v>736.9</v>
      </c>
      <c r="DI49" s="89"/>
      <c r="DJ49" s="89"/>
      <c r="DK49" s="89">
        <v>19494.099999999999</v>
      </c>
      <c r="DL49" s="89">
        <v>2157.6</v>
      </c>
      <c r="DM49" s="88"/>
      <c r="DN49" s="89"/>
      <c r="DO49" s="89"/>
      <c r="DP49" s="89"/>
      <c r="DQ49" s="89"/>
      <c r="DR49" s="89"/>
      <c r="DS49" s="88"/>
      <c r="DT49" s="89"/>
      <c r="DU49" s="89"/>
      <c r="DV49" s="89"/>
      <c r="DW49" s="89"/>
      <c r="DX49" s="89"/>
      <c r="DY49" s="88"/>
      <c r="DZ49" s="89"/>
      <c r="EA49" s="89"/>
      <c r="EB49" s="89"/>
      <c r="EC49" s="89"/>
      <c r="ED49" s="89"/>
      <c r="EE49" s="88"/>
      <c r="EF49" s="89"/>
      <c r="EG49" s="89"/>
      <c r="EH49" s="89"/>
      <c r="EI49" s="89"/>
      <c r="EJ49" s="89"/>
      <c r="EK49" s="88"/>
      <c r="EL49" s="89"/>
      <c r="EM49" s="89"/>
      <c r="EN49" s="89"/>
      <c r="EO49" s="89"/>
      <c r="EP49" s="89"/>
      <c r="EQ49" s="88"/>
      <c r="ER49" s="89"/>
      <c r="ES49" s="89"/>
      <c r="ET49" s="89"/>
      <c r="EU49" s="89"/>
      <c r="EV49" s="89"/>
      <c r="EW49" s="88"/>
      <c r="EX49" s="89"/>
      <c r="EY49" s="89"/>
      <c r="EZ49" s="89"/>
      <c r="FA49" s="89"/>
      <c r="FB49" s="89"/>
      <c r="FC49" s="88"/>
      <c r="FD49" s="89"/>
      <c r="FE49" s="89"/>
      <c r="FF49" s="89"/>
      <c r="FG49" s="89"/>
      <c r="FH49" s="89"/>
      <c r="FI49" s="88"/>
      <c r="FJ49" s="89"/>
      <c r="FK49" s="89"/>
      <c r="FL49" s="89"/>
      <c r="FM49" s="89"/>
      <c r="FN49" s="89"/>
      <c r="FO49" s="88"/>
      <c r="FP49" s="89"/>
      <c r="FQ49" s="89"/>
      <c r="FR49" s="89"/>
      <c r="FS49" s="89"/>
      <c r="FT49" s="89"/>
      <c r="FU49" s="88"/>
      <c r="FV49" s="89"/>
      <c r="FW49" s="89"/>
      <c r="FX49" s="89"/>
      <c r="FY49" s="89"/>
      <c r="FZ49" s="89"/>
      <c r="GA49" s="88"/>
      <c r="GB49" s="89"/>
      <c r="GC49" s="89"/>
      <c r="GD49" s="89"/>
      <c r="GE49" s="89"/>
      <c r="GF49" s="89"/>
      <c r="GG49" s="88"/>
      <c r="GH49" s="89"/>
      <c r="GI49" s="89"/>
      <c r="GJ49" s="89"/>
      <c r="GK49" s="89"/>
      <c r="GL49" s="89"/>
      <c r="GM49" s="88"/>
      <c r="GN49" s="89"/>
      <c r="GO49" s="89"/>
      <c r="GP49" s="89"/>
      <c r="GQ49" s="89"/>
      <c r="GR49" s="89"/>
      <c r="GS49" s="88"/>
      <c r="GT49" s="87"/>
      <c r="GU49" s="87"/>
      <c r="GV49" s="87"/>
      <c r="GW49" s="87"/>
      <c r="GX49" s="87"/>
      <c r="GY49" s="87"/>
      <c r="GZ49" s="88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8"/>
      <c r="HM49" s="87"/>
      <c r="HN49" s="87"/>
      <c r="HO49" s="87"/>
      <c r="HP49" s="87"/>
      <c r="HQ49" s="87"/>
      <c r="HR49" s="87"/>
      <c r="HS49" s="87"/>
    </row>
    <row r="50" spans="1:231" ht="13.5" customHeight="1">
      <c r="A50" s="69"/>
      <c r="B50" s="87" t="s">
        <v>499</v>
      </c>
      <c r="C50" s="88"/>
      <c r="D50" s="87"/>
      <c r="E50" s="87"/>
      <c r="F50" s="87"/>
      <c r="G50" s="87"/>
      <c r="H50" s="87"/>
      <c r="I50" s="88">
        <v>42463.028000000006</v>
      </c>
      <c r="J50" s="89">
        <v>22628.216</v>
      </c>
      <c r="K50" s="89"/>
      <c r="L50" s="89"/>
      <c r="M50" s="89">
        <v>42212.063000000002</v>
      </c>
      <c r="N50" s="89">
        <v>-22377.251</v>
      </c>
      <c r="O50" s="90"/>
      <c r="P50" s="91"/>
      <c r="Q50" s="91"/>
      <c r="R50" s="91"/>
      <c r="S50" s="91"/>
      <c r="T50" s="91"/>
      <c r="U50" s="90"/>
      <c r="V50" s="91"/>
      <c r="W50" s="91"/>
      <c r="X50" s="91"/>
      <c r="Y50" s="91"/>
      <c r="Z50" s="91"/>
      <c r="AA50" s="88">
        <v>474.27199999999999</v>
      </c>
      <c r="AB50" s="89">
        <f t="shared" si="0"/>
        <v>81.371000000000009</v>
      </c>
      <c r="AC50" s="89">
        <v>59.844000000000001</v>
      </c>
      <c r="AD50" s="89">
        <v>21.527000000000001</v>
      </c>
      <c r="AE50" s="89">
        <v>392.90100000000001</v>
      </c>
      <c r="AF50" s="89"/>
      <c r="AG50" s="88"/>
      <c r="AH50" s="89"/>
      <c r="AI50" s="89"/>
      <c r="AJ50" s="89"/>
      <c r="AK50" s="89"/>
      <c r="AL50" s="89"/>
      <c r="AM50" s="88"/>
      <c r="AN50" s="89"/>
      <c r="AO50" s="89"/>
      <c r="AP50" s="89"/>
      <c r="AQ50" s="89"/>
      <c r="AR50" s="89"/>
      <c r="AS50" s="88"/>
      <c r="AT50" s="89"/>
      <c r="AU50" s="89"/>
      <c r="AV50" s="89"/>
      <c r="AW50" s="89"/>
      <c r="AX50" s="89"/>
      <c r="AY50" s="88"/>
      <c r="AZ50" s="89"/>
      <c r="BA50" s="89"/>
      <c r="BB50" s="89"/>
      <c r="BC50" s="89"/>
      <c r="BD50" s="101"/>
      <c r="BE50" s="88"/>
      <c r="BF50" s="89"/>
      <c r="BG50" s="89"/>
      <c r="BH50" s="89"/>
      <c r="BI50" s="89"/>
      <c r="BJ50" s="89"/>
      <c r="BK50" s="88"/>
      <c r="BL50" s="89"/>
      <c r="BM50" s="89"/>
      <c r="BN50" s="89"/>
      <c r="BO50" s="89"/>
      <c r="BP50" s="89"/>
      <c r="BQ50" s="88"/>
      <c r="BR50" s="89"/>
      <c r="BS50" s="89"/>
      <c r="BT50" s="89"/>
      <c r="BU50" s="89"/>
      <c r="BV50" s="89"/>
      <c r="BW50" s="88"/>
      <c r="BX50" s="89"/>
      <c r="BY50" s="89"/>
      <c r="BZ50" s="89"/>
      <c r="CA50" s="89"/>
      <c r="CB50" s="89"/>
      <c r="CC50" s="88"/>
      <c r="CD50" s="89"/>
      <c r="CE50" s="89"/>
      <c r="CF50" s="89"/>
      <c r="CG50" s="89"/>
      <c r="CH50" s="89"/>
      <c r="CI50" s="88"/>
      <c r="CJ50" s="89"/>
      <c r="CK50" s="89"/>
      <c r="CL50" s="89"/>
      <c r="CM50" s="89"/>
      <c r="CN50" s="89"/>
      <c r="CO50" s="88"/>
      <c r="CP50" s="89"/>
      <c r="CQ50" s="89"/>
      <c r="CR50" s="89"/>
      <c r="CS50" s="89"/>
      <c r="CT50" s="89"/>
      <c r="CU50" s="88">
        <f t="shared" si="1"/>
        <v>8076.2978999999996</v>
      </c>
      <c r="CV50" s="89">
        <v>5031.2795999999998</v>
      </c>
      <c r="CW50" s="89">
        <v>4503.3355000000001</v>
      </c>
      <c r="CX50" s="89">
        <v>527.94409999999993</v>
      </c>
      <c r="CY50" s="89">
        <v>3045.0183000000002</v>
      </c>
      <c r="CZ50" s="89"/>
      <c r="DA50" s="88"/>
      <c r="DB50" s="89"/>
      <c r="DC50" s="89"/>
      <c r="DD50" s="89"/>
      <c r="DE50" s="89"/>
      <c r="DF50" s="89"/>
      <c r="DG50" s="88">
        <v>19707.599999999999</v>
      </c>
      <c r="DH50" s="89">
        <v>1500.1</v>
      </c>
      <c r="DI50" s="89"/>
      <c r="DJ50" s="89"/>
      <c r="DK50" s="89">
        <v>20114.900000000001</v>
      </c>
      <c r="DL50" s="89">
        <v>1907.4</v>
      </c>
      <c r="DM50" s="88"/>
      <c r="DN50" s="89"/>
      <c r="DO50" s="89"/>
      <c r="DP50" s="89"/>
      <c r="DQ50" s="89"/>
      <c r="DR50" s="89"/>
      <c r="DS50" s="88"/>
      <c r="DT50" s="89"/>
      <c r="DU50" s="89"/>
      <c r="DV50" s="89"/>
      <c r="DW50" s="89"/>
      <c r="DX50" s="89"/>
      <c r="DY50" s="88"/>
      <c r="DZ50" s="89"/>
      <c r="EA50" s="89"/>
      <c r="EB50" s="89"/>
      <c r="EC50" s="89"/>
      <c r="ED50" s="89"/>
      <c r="EE50" s="88"/>
      <c r="EF50" s="89"/>
      <c r="EG50" s="89"/>
      <c r="EH50" s="89"/>
      <c r="EI50" s="89"/>
      <c r="EJ50" s="89"/>
      <c r="EK50" s="88"/>
      <c r="EL50" s="89"/>
      <c r="EM50" s="89"/>
      <c r="EN50" s="89"/>
      <c r="EO50" s="89"/>
      <c r="EP50" s="89"/>
      <c r="EQ50" s="88"/>
      <c r="ER50" s="89"/>
      <c r="ES50" s="89"/>
      <c r="ET50" s="89"/>
      <c r="EU50" s="89"/>
      <c r="EV50" s="89"/>
      <c r="EW50" s="88"/>
      <c r="EX50" s="89"/>
      <c r="EY50" s="89"/>
      <c r="EZ50" s="89"/>
      <c r="FA50" s="89"/>
      <c r="FB50" s="89"/>
      <c r="FC50" s="88"/>
      <c r="FD50" s="89"/>
      <c r="FE50" s="89"/>
      <c r="FF50" s="89"/>
      <c r="FG50" s="89"/>
      <c r="FH50" s="89"/>
      <c r="FI50" s="88"/>
      <c r="FJ50" s="89"/>
      <c r="FK50" s="89"/>
      <c r="FL50" s="89"/>
      <c r="FM50" s="89"/>
      <c r="FN50" s="89"/>
      <c r="FO50" s="88"/>
      <c r="FP50" s="89"/>
      <c r="FQ50" s="89"/>
      <c r="FR50" s="89"/>
      <c r="FS50" s="89"/>
      <c r="FT50" s="89"/>
      <c r="FU50" s="88"/>
      <c r="FV50" s="89"/>
      <c r="FW50" s="89"/>
      <c r="FX50" s="89"/>
      <c r="FY50" s="89"/>
      <c r="FZ50" s="89"/>
      <c r="GA50" s="88"/>
      <c r="GB50" s="89"/>
      <c r="GC50" s="89"/>
      <c r="GD50" s="89"/>
      <c r="GE50" s="89"/>
      <c r="GF50" s="89"/>
      <c r="GG50" s="88"/>
      <c r="GH50" s="89"/>
      <c r="GI50" s="89"/>
      <c r="GJ50" s="89"/>
      <c r="GK50" s="89"/>
      <c r="GL50" s="89"/>
      <c r="GM50" s="88"/>
      <c r="GN50" s="89"/>
      <c r="GO50" s="89"/>
      <c r="GP50" s="89"/>
      <c r="GQ50" s="89"/>
      <c r="GR50" s="89"/>
      <c r="GS50" s="88"/>
      <c r="GT50" s="87"/>
      <c r="GU50" s="87"/>
      <c r="GV50" s="87"/>
      <c r="GW50" s="87"/>
      <c r="GX50" s="87"/>
      <c r="GY50" s="87"/>
      <c r="GZ50" s="88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8"/>
      <c r="HM50" s="87"/>
      <c r="HN50" s="87"/>
      <c r="HO50" s="87"/>
      <c r="HP50" s="87"/>
      <c r="HQ50" s="87"/>
      <c r="HR50" s="87"/>
      <c r="HS50" s="87"/>
    </row>
    <row r="51" spans="1:231" ht="13.5" customHeight="1" thickBot="1">
      <c r="A51" s="102"/>
      <c r="B51" s="103" t="s">
        <v>500</v>
      </c>
      <c r="C51" s="104"/>
      <c r="D51" s="105"/>
      <c r="E51" s="105"/>
      <c r="F51" s="105"/>
      <c r="G51" s="105"/>
      <c r="H51" s="105"/>
      <c r="I51" s="104">
        <v>44492.857000000004</v>
      </c>
      <c r="J51" s="105">
        <v>24625.502</v>
      </c>
      <c r="K51" s="105"/>
      <c r="L51" s="105"/>
      <c r="M51" s="105">
        <v>43243.603999999999</v>
      </c>
      <c r="N51" s="105">
        <v>-23376.249</v>
      </c>
      <c r="O51" s="106">
        <v>2206.1999999999998</v>
      </c>
      <c r="P51" s="107">
        <f>Q51+R51</f>
        <v>538.20000000000005</v>
      </c>
      <c r="Q51" s="107">
        <v>436.6</v>
      </c>
      <c r="R51" s="107">
        <v>101.6</v>
      </c>
      <c r="S51" s="107">
        <v>1668</v>
      </c>
      <c r="T51" s="107"/>
      <c r="U51" s="106"/>
      <c r="V51" s="107"/>
      <c r="W51" s="107"/>
      <c r="X51" s="107"/>
      <c r="Y51" s="107"/>
      <c r="Z51" s="107"/>
      <c r="AA51" s="104">
        <v>477.32</v>
      </c>
      <c r="AB51" s="105">
        <f t="shared" si="0"/>
        <v>87.13300000000001</v>
      </c>
      <c r="AC51" s="105">
        <v>66.093000000000004</v>
      </c>
      <c r="AD51" s="105">
        <v>21.04</v>
      </c>
      <c r="AE51" s="105">
        <v>390.18700000000001</v>
      </c>
      <c r="AF51" s="103"/>
      <c r="AG51" s="104">
        <v>17377.964</v>
      </c>
      <c r="AH51" s="105">
        <v>5566.9380000000001</v>
      </c>
      <c r="AI51" s="105">
        <v>4733.3329999999996</v>
      </c>
      <c r="AJ51" s="105"/>
      <c r="AK51" s="105">
        <v>11811.026</v>
      </c>
      <c r="AL51" s="105"/>
      <c r="AM51" s="104"/>
      <c r="AN51" s="105"/>
      <c r="AO51" s="105"/>
      <c r="AP51" s="105"/>
      <c r="AQ51" s="105"/>
      <c r="AR51" s="105"/>
      <c r="AS51" s="104"/>
      <c r="AT51" s="105"/>
      <c r="AU51" s="105"/>
      <c r="AV51" s="105"/>
      <c r="AW51" s="105"/>
      <c r="AX51" s="105"/>
      <c r="AY51" s="104"/>
      <c r="AZ51" s="105"/>
      <c r="BA51" s="105"/>
      <c r="BB51" s="105"/>
      <c r="BC51" s="105"/>
      <c r="BD51" s="103"/>
      <c r="BE51" s="104"/>
      <c r="BF51" s="105"/>
      <c r="BG51" s="105"/>
      <c r="BH51" s="105"/>
      <c r="BI51" s="105"/>
      <c r="BJ51" s="105"/>
      <c r="BK51" s="104"/>
      <c r="BL51" s="105"/>
      <c r="BM51" s="105"/>
      <c r="BN51" s="105"/>
      <c r="BO51" s="105"/>
      <c r="BP51" s="105"/>
      <c r="BQ51" s="104"/>
      <c r="BR51" s="105"/>
      <c r="BS51" s="105"/>
      <c r="BT51" s="105"/>
      <c r="BU51" s="105"/>
      <c r="BV51" s="105"/>
      <c r="BW51" s="104"/>
      <c r="BX51" s="105"/>
      <c r="BY51" s="105"/>
      <c r="BZ51" s="105"/>
      <c r="CA51" s="105"/>
      <c r="CB51" s="105"/>
      <c r="CC51" s="104"/>
      <c r="CD51" s="105"/>
      <c r="CE51" s="105"/>
      <c r="CF51" s="105"/>
      <c r="CG51" s="105"/>
      <c r="CH51" s="105"/>
      <c r="CI51" s="104"/>
      <c r="CJ51" s="105"/>
      <c r="CK51" s="105"/>
      <c r="CL51" s="105"/>
      <c r="CM51" s="105"/>
      <c r="CN51" s="105"/>
      <c r="CO51" s="104"/>
      <c r="CP51" s="105"/>
      <c r="CQ51" s="105"/>
      <c r="CR51" s="105"/>
      <c r="CS51" s="105"/>
      <c r="CT51" s="105"/>
      <c r="CU51" s="104">
        <f t="shared" si="1"/>
        <v>8292.6389600000002</v>
      </c>
      <c r="CV51" s="105">
        <v>5102.1155999999992</v>
      </c>
      <c r="CW51" s="105">
        <v>4555.5145999999995</v>
      </c>
      <c r="CX51" s="105">
        <v>546.601</v>
      </c>
      <c r="CY51" s="105">
        <v>3190.5233600000006</v>
      </c>
      <c r="CZ51" s="105"/>
      <c r="DA51" s="104"/>
      <c r="DB51" s="105"/>
      <c r="DC51" s="105"/>
      <c r="DD51" s="105"/>
      <c r="DE51" s="105"/>
      <c r="DF51" s="105"/>
      <c r="DG51" s="104">
        <v>16365.3</v>
      </c>
      <c r="DH51" s="105">
        <v>2408.1</v>
      </c>
      <c r="DI51" s="105"/>
      <c r="DJ51" s="105"/>
      <c r="DK51" s="105">
        <v>21148</v>
      </c>
      <c r="DL51" s="105">
        <v>2374.6</v>
      </c>
      <c r="DM51" s="104"/>
      <c r="DN51" s="105"/>
      <c r="DO51" s="105"/>
      <c r="DP51" s="105"/>
      <c r="DQ51" s="105"/>
      <c r="DR51" s="105"/>
      <c r="DS51" s="104"/>
      <c r="DT51" s="105"/>
      <c r="DU51" s="105"/>
      <c r="DV51" s="105"/>
      <c r="DW51" s="105"/>
      <c r="DX51" s="105"/>
      <c r="DY51" s="104"/>
      <c r="DZ51" s="105"/>
      <c r="EA51" s="105"/>
      <c r="EB51" s="105"/>
      <c r="EC51" s="105"/>
      <c r="ED51" s="105"/>
      <c r="EE51" s="104"/>
      <c r="EF51" s="105"/>
      <c r="EG51" s="105"/>
      <c r="EH51" s="105"/>
      <c r="EI51" s="105"/>
      <c r="EJ51" s="105"/>
      <c r="EK51" s="104"/>
      <c r="EL51" s="105"/>
      <c r="EM51" s="105"/>
      <c r="EN51" s="105"/>
      <c r="EO51" s="105"/>
      <c r="EP51" s="103"/>
      <c r="EQ51" s="104"/>
      <c r="ER51" s="105"/>
      <c r="ES51" s="105"/>
      <c r="ET51" s="105"/>
      <c r="EU51" s="105"/>
      <c r="EV51" s="105"/>
      <c r="EW51" s="104"/>
      <c r="EX51" s="105"/>
      <c r="EY51" s="105"/>
      <c r="EZ51" s="105"/>
      <c r="FA51" s="105"/>
      <c r="FB51" s="108"/>
      <c r="FC51" s="109"/>
      <c r="FD51" s="108"/>
      <c r="FE51" s="108"/>
      <c r="FF51" s="108"/>
      <c r="FG51" s="108"/>
      <c r="FH51" s="108"/>
      <c r="FI51" s="109"/>
      <c r="FJ51" s="108"/>
      <c r="FK51" s="108"/>
      <c r="FL51" s="108"/>
      <c r="FM51" s="108"/>
      <c r="FN51" s="108"/>
      <c r="FO51" s="109"/>
      <c r="FP51" s="108"/>
      <c r="FQ51" s="108"/>
      <c r="FR51" s="108"/>
      <c r="FS51" s="108"/>
      <c r="FT51" s="108"/>
      <c r="FU51" s="109"/>
      <c r="FV51" s="108"/>
      <c r="FW51" s="108"/>
      <c r="FX51" s="108"/>
      <c r="FY51" s="108"/>
      <c r="FZ51" s="108"/>
      <c r="GA51" s="109"/>
      <c r="GB51" s="108"/>
      <c r="GC51" s="108"/>
      <c r="GD51" s="108"/>
      <c r="GE51" s="108"/>
      <c r="GF51" s="108"/>
      <c r="GG51" s="104"/>
      <c r="GH51" s="105"/>
      <c r="GI51" s="105"/>
      <c r="GJ51" s="105"/>
      <c r="GK51" s="105"/>
      <c r="GL51" s="105"/>
      <c r="GM51" s="104"/>
      <c r="GN51" s="105"/>
      <c r="GO51" s="105"/>
      <c r="GP51" s="105"/>
      <c r="GQ51" s="105"/>
      <c r="GR51" s="103"/>
      <c r="GS51" s="88"/>
      <c r="GT51" s="87"/>
      <c r="GU51" s="87"/>
      <c r="GV51" s="87"/>
      <c r="GW51" s="87"/>
      <c r="GX51" s="87"/>
      <c r="GY51" s="87"/>
      <c r="GZ51" s="88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8"/>
      <c r="HM51" s="87"/>
      <c r="HN51" s="87"/>
      <c r="HO51" s="87"/>
      <c r="HP51" s="87"/>
      <c r="HQ51" s="87"/>
      <c r="HR51" s="87"/>
      <c r="HS51" s="87"/>
    </row>
    <row r="52" spans="1:231" ht="13.5" customHeight="1">
      <c r="A52" s="86">
        <v>1994</v>
      </c>
      <c r="B52" s="87" t="s">
        <v>489</v>
      </c>
      <c r="C52" s="88"/>
      <c r="D52" s="87"/>
      <c r="E52" s="87"/>
      <c r="F52" s="87"/>
      <c r="G52" s="87"/>
      <c r="H52" s="87"/>
      <c r="I52" s="88">
        <v>45103.208999999995</v>
      </c>
      <c r="J52" s="89">
        <v>24350.367999999999</v>
      </c>
      <c r="K52" s="89"/>
      <c r="L52" s="89"/>
      <c r="M52" s="89">
        <v>44361.025000000001</v>
      </c>
      <c r="N52" s="89">
        <v>-23608.184000000001</v>
      </c>
      <c r="O52" s="90"/>
      <c r="P52" s="91"/>
      <c r="Q52" s="91"/>
      <c r="R52" s="91"/>
      <c r="S52" s="91"/>
      <c r="T52" s="91"/>
      <c r="U52" s="90"/>
      <c r="V52" s="91"/>
      <c r="W52" s="91"/>
      <c r="X52" s="91"/>
      <c r="Y52" s="91"/>
      <c r="Z52" s="91"/>
      <c r="AA52" s="88">
        <v>482.988</v>
      </c>
      <c r="AB52" s="89">
        <f t="shared" si="0"/>
        <v>92.11</v>
      </c>
      <c r="AC52" s="89">
        <v>71.064999999999998</v>
      </c>
      <c r="AD52" s="89">
        <v>21.045000000000002</v>
      </c>
      <c r="AE52" s="89">
        <v>390.87799999999999</v>
      </c>
      <c r="AF52" s="89"/>
      <c r="AG52" s="88"/>
      <c r="AH52" s="89"/>
      <c r="AI52" s="89"/>
      <c r="AJ52" s="89"/>
      <c r="AK52" s="89"/>
      <c r="AL52" s="89"/>
      <c r="AM52" s="88"/>
      <c r="AN52" s="89"/>
      <c r="AO52" s="89"/>
      <c r="AP52" s="89"/>
      <c r="AQ52" s="89"/>
      <c r="AR52" s="89"/>
      <c r="AS52" s="88"/>
      <c r="AT52" s="89"/>
      <c r="AU52" s="89"/>
      <c r="AV52" s="89"/>
      <c r="AW52" s="89"/>
      <c r="AX52" s="89"/>
      <c r="AY52" s="88"/>
      <c r="AZ52" s="89"/>
      <c r="BA52" s="89"/>
      <c r="BB52" s="89"/>
      <c r="BC52" s="89"/>
      <c r="BD52" s="89"/>
      <c r="BE52" s="88"/>
      <c r="BF52" s="89"/>
      <c r="BG52" s="89"/>
      <c r="BH52" s="89"/>
      <c r="BI52" s="89"/>
      <c r="BJ52" s="89"/>
      <c r="BK52" s="88"/>
      <c r="BL52" s="89"/>
      <c r="BM52" s="89"/>
      <c r="BN52" s="89"/>
      <c r="BO52" s="89"/>
      <c r="BP52" s="89"/>
      <c r="BQ52" s="88"/>
      <c r="BR52" s="89"/>
      <c r="BS52" s="89"/>
      <c r="BT52" s="89"/>
      <c r="BU52" s="89"/>
      <c r="BV52" s="89"/>
      <c r="BW52" s="88"/>
      <c r="BX52" s="89"/>
      <c r="BY52" s="89"/>
      <c r="BZ52" s="89"/>
      <c r="CA52" s="89"/>
      <c r="CB52" s="89"/>
      <c r="CC52" s="88"/>
      <c r="CD52" s="89"/>
      <c r="CE52" s="89"/>
      <c r="CF52" s="89"/>
      <c r="CG52" s="89"/>
      <c r="CH52" s="89"/>
      <c r="CI52" s="88"/>
      <c r="CJ52" s="89"/>
      <c r="CK52" s="89"/>
      <c r="CL52" s="89"/>
      <c r="CM52" s="89"/>
      <c r="CN52" s="89"/>
      <c r="CO52" s="88"/>
      <c r="CP52" s="89"/>
      <c r="CQ52" s="89"/>
      <c r="CR52" s="89"/>
      <c r="CS52" s="89"/>
      <c r="CT52" s="89"/>
      <c r="CU52" s="88">
        <f t="shared" si="1"/>
        <v>8106.383249999999</v>
      </c>
      <c r="CV52" s="89">
        <v>5106.4069999999992</v>
      </c>
      <c r="CW52" s="89">
        <v>4560.7820999999994</v>
      </c>
      <c r="CX52" s="89">
        <v>545.62490000000003</v>
      </c>
      <c r="CY52" s="89">
        <v>2999.9762500000002</v>
      </c>
      <c r="CZ52" s="89"/>
      <c r="DA52" s="88"/>
      <c r="DB52" s="89"/>
      <c r="DC52" s="89"/>
      <c r="DD52" s="89"/>
      <c r="DE52" s="89"/>
      <c r="DF52" s="89"/>
      <c r="DG52" s="88">
        <v>16605.2</v>
      </c>
      <c r="DH52" s="89">
        <v>1935.8</v>
      </c>
      <c r="DI52" s="89"/>
      <c r="DJ52" s="89"/>
      <c r="DK52" s="89">
        <v>21557.7</v>
      </c>
      <c r="DL52" s="89">
        <v>3016.7</v>
      </c>
      <c r="DM52" s="88"/>
      <c r="DN52" s="89"/>
      <c r="DO52" s="89"/>
      <c r="DP52" s="89"/>
      <c r="DQ52" s="89"/>
      <c r="DR52" s="89"/>
      <c r="DS52" s="88"/>
      <c r="DT52" s="89"/>
      <c r="DU52" s="89"/>
      <c r="DV52" s="89"/>
      <c r="DW52" s="89"/>
      <c r="DX52" s="89"/>
      <c r="DY52" s="88"/>
      <c r="DZ52" s="89"/>
      <c r="EA52" s="89"/>
      <c r="EB52" s="89"/>
      <c r="EC52" s="89"/>
      <c r="ED52" s="89"/>
      <c r="EE52" s="88"/>
      <c r="EF52" s="89"/>
      <c r="EG52" s="89"/>
      <c r="EH52" s="89"/>
      <c r="EI52" s="89"/>
      <c r="EJ52" s="89"/>
      <c r="EK52" s="88"/>
      <c r="EL52" s="89"/>
      <c r="EM52" s="89"/>
      <c r="EN52" s="89"/>
      <c r="EO52" s="89"/>
      <c r="EP52" s="89"/>
      <c r="EQ52" s="88"/>
      <c r="ER52" s="89"/>
      <c r="ES52" s="89"/>
      <c r="ET52" s="89"/>
      <c r="EU52" s="89"/>
      <c r="EV52" s="89"/>
      <c r="EW52" s="88"/>
      <c r="EX52" s="89"/>
      <c r="EY52" s="89"/>
      <c r="EZ52" s="89"/>
      <c r="FA52" s="89"/>
      <c r="FB52" s="89"/>
      <c r="FC52" s="88"/>
      <c r="FD52" s="89"/>
      <c r="FE52" s="89"/>
      <c r="FF52" s="89"/>
      <c r="FG52" s="89"/>
      <c r="FH52" s="89"/>
      <c r="FI52" s="88"/>
      <c r="FJ52" s="89"/>
      <c r="FK52" s="89"/>
      <c r="FL52" s="89"/>
      <c r="FM52" s="89"/>
      <c r="FN52" s="89"/>
      <c r="FO52" s="88"/>
      <c r="FP52" s="89"/>
      <c r="FQ52" s="89"/>
      <c r="FR52" s="89"/>
      <c r="FS52" s="89"/>
      <c r="FT52" s="89"/>
      <c r="FU52" s="88"/>
      <c r="FV52" s="89"/>
      <c r="FW52" s="89"/>
      <c r="FX52" s="89"/>
      <c r="FY52" s="89"/>
      <c r="FZ52" s="89"/>
      <c r="GA52" s="88"/>
      <c r="GB52" s="89"/>
      <c r="GC52" s="89"/>
      <c r="GD52" s="89"/>
      <c r="GE52" s="89"/>
      <c r="GF52" s="89"/>
      <c r="GG52" s="88"/>
      <c r="GH52" s="89"/>
      <c r="GI52" s="89"/>
      <c r="GJ52" s="89"/>
      <c r="GK52" s="89"/>
      <c r="GL52" s="89"/>
      <c r="GM52" s="88"/>
      <c r="GN52" s="89"/>
      <c r="GO52" s="89"/>
      <c r="GP52" s="89"/>
      <c r="GQ52" s="89"/>
      <c r="GR52" s="89"/>
      <c r="GS52" s="88"/>
      <c r="GT52" s="87"/>
      <c r="GU52" s="87"/>
      <c r="GV52" s="87"/>
      <c r="GW52" s="87"/>
      <c r="GX52" s="87"/>
      <c r="GY52" s="87"/>
      <c r="GZ52" s="88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8"/>
      <c r="HM52" s="87"/>
      <c r="HN52" s="87"/>
      <c r="HO52" s="87"/>
      <c r="HP52" s="87"/>
      <c r="HQ52" s="87"/>
      <c r="HR52" s="87"/>
      <c r="HS52" s="87"/>
    </row>
    <row r="53" spans="1:231" ht="13.5" customHeight="1">
      <c r="A53" s="69"/>
      <c r="B53" s="87" t="s">
        <v>490</v>
      </c>
      <c r="C53" s="115"/>
      <c r="D53" s="110"/>
      <c r="E53" s="110"/>
      <c r="F53" s="110"/>
      <c r="G53" s="110"/>
      <c r="H53" s="110"/>
      <c r="I53" s="88">
        <v>46094.576000000001</v>
      </c>
      <c r="J53" s="89">
        <v>24683.494999999999</v>
      </c>
      <c r="K53" s="89"/>
      <c r="L53" s="89"/>
      <c r="M53" s="89">
        <v>45144.955000000002</v>
      </c>
      <c r="N53" s="89">
        <v>-23733.874</v>
      </c>
      <c r="O53" s="90"/>
      <c r="P53" s="91"/>
      <c r="Q53" s="91"/>
      <c r="R53" s="91"/>
      <c r="S53" s="91"/>
      <c r="T53" s="91"/>
      <c r="U53" s="90"/>
      <c r="V53" s="91"/>
      <c r="W53" s="91"/>
      <c r="X53" s="91"/>
      <c r="Y53" s="91"/>
      <c r="Z53" s="91"/>
      <c r="AA53" s="88">
        <v>483.26600000000002</v>
      </c>
      <c r="AB53" s="89">
        <f t="shared" si="0"/>
        <v>93.469000000000008</v>
      </c>
      <c r="AC53" s="89">
        <v>72.462000000000003</v>
      </c>
      <c r="AD53" s="89">
        <v>21.007000000000001</v>
      </c>
      <c r="AE53" s="89">
        <v>389.79700000000003</v>
      </c>
      <c r="AF53" s="89"/>
      <c r="AG53" s="88"/>
      <c r="AH53" s="89"/>
      <c r="AI53" s="89"/>
      <c r="AJ53" s="89"/>
      <c r="AK53" s="89"/>
      <c r="AL53" s="89"/>
      <c r="AM53" s="88"/>
      <c r="AN53" s="89"/>
      <c r="AO53" s="89"/>
      <c r="AP53" s="89"/>
      <c r="AQ53" s="89"/>
      <c r="AR53" s="89"/>
      <c r="AS53" s="88"/>
      <c r="AT53" s="89"/>
      <c r="AU53" s="89"/>
      <c r="AV53" s="89"/>
      <c r="AW53" s="89"/>
      <c r="AX53" s="89"/>
      <c r="AY53" s="88"/>
      <c r="AZ53" s="89"/>
      <c r="BA53" s="89"/>
      <c r="BB53" s="89"/>
      <c r="BC53" s="89"/>
      <c r="BD53" s="89"/>
      <c r="BE53" s="88"/>
      <c r="BF53" s="89"/>
      <c r="BG53" s="89"/>
      <c r="BH53" s="89"/>
      <c r="BI53" s="89"/>
      <c r="BJ53" s="89"/>
      <c r="BK53" s="88"/>
      <c r="BL53" s="89"/>
      <c r="BM53" s="89"/>
      <c r="BN53" s="89"/>
      <c r="BO53" s="89"/>
      <c r="BP53" s="89"/>
      <c r="BQ53" s="88"/>
      <c r="BR53" s="89"/>
      <c r="BS53" s="89"/>
      <c r="BT53" s="89"/>
      <c r="BU53" s="89"/>
      <c r="BV53" s="89"/>
      <c r="BW53" s="88"/>
      <c r="BX53" s="89"/>
      <c r="BY53" s="89"/>
      <c r="BZ53" s="89"/>
      <c r="CA53" s="89"/>
      <c r="CB53" s="89"/>
      <c r="CC53" s="88"/>
      <c r="CD53" s="89"/>
      <c r="CE53" s="89"/>
      <c r="CF53" s="89"/>
      <c r="CG53" s="89"/>
      <c r="CH53" s="89"/>
      <c r="CI53" s="88"/>
      <c r="CJ53" s="89"/>
      <c r="CK53" s="89"/>
      <c r="CL53" s="89"/>
      <c r="CM53" s="89"/>
      <c r="CN53" s="89"/>
      <c r="CO53" s="88"/>
      <c r="CP53" s="89"/>
      <c r="CQ53" s="89"/>
      <c r="CR53" s="89"/>
      <c r="CS53" s="89"/>
      <c r="CT53" s="89"/>
      <c r="CU53" s="88">
        <f t="shared" si="1"/>
        <v>8390.4854199999991</v>
      </c>
      <c r="CV53" s="89">
        <v>5155.7532999999994</v>
      </c>
      <c r="CW53" s="89">
        <v>4606.6967999999997</v>
      </c>
      <c r="CX53" s="89">
        <v>549.05650000000003</v>
      </c>
      <c r="CY53" s="89">
        <v>3234.7321200000001</v>
      </c>
      <c r="CZ53" s="89"/>
      <c r="DA53" s="88"/>
      <c r="DB53" s="89"/>
      <c r="DC53" s="89"/>
      <c r="DD53" s="89"/>
      <c r="DE53" s="89"/>
      <c r="DF53" s="89"/>
      <c r="DG53" s="88">
        <v>18167.8</v>
      </c>
      <c r="DH53" s="89">
        <v>684.9</v>
      </c>
      <c r="DI53" s="89"/>
      <c r="DJ53" s="89"/>
      <c r="DK53" s="89">
        <v>22079.5</v>
      </c>
      <c r="DL53" s="89">
        <v>3226.8</v>
      </c>
      <c r="DM53" s="88"/>
      <c r="DN53" s="89"/>
      <c r="DO53" s="89"/>
      <c r="DP53" s="98"/>
      <c r="DQ53" s="89"/>
      <c r="DR53" s="89"/>
      <c r="DS53" s="88"/>
      <c r="DT53" s="89"/>
      <c r="DU53" s="89"/>
      <c r="DV53" s="89"/>
      <c r="DW53" s="89"/>
      <c r="DX53" s="89"/>
      <c r="DY53" s="88"/>
      <c r="DZ53" s="89"/>
      <c r="EA53" s="89"/>
      <c r="EB53" s="89"/>
      <c r="EC53" s="89"/>
      <c r="ED53" s="89"/>
      <c r="EE53" s="88"/>
      <c r="EF53" s="89"/>
      <c r="EG53" s="89"/>
      <c r="EH53" s="89"/>
      <c r="EI53" s="89"/>
      <c r="EJ53" s="89"/>
      <c r="EK53" s="88"/>
      <c r="EL53" s="89"/>
      <c r="EM53" s="89"/>
      <c r="EN53" s="89"/>
      <c r="EO53" s="89"/>
      <c r="EP53" s="89"/>
      <c r="EQ53" s="88"/>
      <c r="ER53" s="89"/>
      <c r="ES53" s="89"/>
      <c r="ET53" s="89"/>
      <c r="EU53" s="89"/>
      <c r="EV53" s="89"/>
      <c r="EW53" s="88"/>
      <c r="EX53" s="89"/>
      <c r="EY53" s="89"/>
      <c r="EZ53" s="89"/>
      <c r="FA53" s="89"/>
      <c r="FB53" s="89"/>
      <c r="FC53" s="88"/>
      <c r="FD53" s="89"/>
      <c r="FE53" s="89"/>
      <c r="FF53" s="89"/>
      <c r="FG53" s="89"/>
      <c r="FH53" s="89"/>
      <c r="FI53" s="88"/>
      <c r="FJ53" s="89"/>
      <c r="FK53" s="89"/>
      <c r="FL53" s="89"/>
      <c r="FM53" s="89"/>
      <c r="FN53" s="89"/>
      <c r="FO53" s="88"/>
      <c r="FP53" s="89"/>
      <c r="FQ53" s="89"/>
      <c r="FR53" s="89"/>
      <c r="FS53" s="89"/>
      <c r="FT53" s="89"/>
      <c r="FU53" s="88"/>
      <c r="FV53" s="89"/>
      <c r="FW53" s="89"/>
      <c r="FX53" s="89"/>
      <c r="FY53" s="89"/>
      <c r="FZ53" s="89"/>
      <c r="GA53" s="88"/>
      <c r="GB53" s="89"/>
      <c r="GC53" s="89"/>
      <c r="GD53" s="89"/>
      <c r="GE53" s="89"/>
      <c r="GF53" s="89"/>
      <c r="GG53" s="88"/>
      <c r="GH53" s="89"/>
      <c r="GI53" s="89"/>
      <c r="GJ53" s="89"/>
      <c r="GK53" s="89"/>
      <c r="GL53" s="89"/>
      <c r="GM53" s="88"/>
      <c r="GN53" s="89"/>
      <c r="GO53" s="89"/>
      <c r="GP53" s="89"/>
      <c r="GQ53" s="89"/>
      <c r="GR53" s="89"/>
      <c r="GS53" s="88"/>
      <c r="GT53" s="87"/>
      <c r="GU53" s="87"/>
      <c r="GV53" s="87"/>
      <c r="GW53" s="87"/>
      <c r="GX53" s="87"/>
      <c r="GY53" s="87"/>
      <c r="GZ53" s="95"/>
      <c r="HA53" s="92"/>
      <c r="HB53" s="92"/>
      <c r="HC53" s="92"/>
      <c r="HD53" s="92"/>
      <c r="HE53" s="92"/>
      <c r="HF53" s="92"/>
      <c r="HG53" s="92"/>
      <c r="HH53" s="92"/>
      <c r="HI53" s="92"/>
      <c r="HJ53" s="92"/>
      <c r="HK53" s="92"/>
      <c r="HL53" s="95"/>
      <c r="HM53" s="92"/>
      <c r="HN53" s="92"/>
      <c r="HO53" s="92"/>
      <c r="HP53" s="110"/>
      <c r="HQ53" s="110"/>
      <c r="HR53" s="110"/>
      <c r="HS53" s="110"/>
      <c r="HT53" s="111"/>
      <c r="HU53" s="111"/>
      <c r="HV53" s="111"/>
      <c r="HW53" s="111"/>
    </row>
    <row r="54" spans="1:231" ht="13.5" customHeight="1">
      <c r="A54" s="69"/>
      <c r="B54" s="110" t="s">
        <v>491</v>
      </c>
      <c r="C54" s="95"/>
      <c r="D54" s="92"/>
      <c r="E54" s="92"/>
      <c r="F54" s="92"/>
      <c r="G54" s="92"/>
      <c r="H54" s="92"/>
      <c r="I54" s="115">
        <v>47751.763999999996</v>
      </c>
      <c r="J54" s="116">
        <v>25283.998</v>
      </c>
      <c r="K54" s="116"/>
      <c r="L54" s="116"/>
      <c r="M54" s="116">
        <v>45700.361000000004</v>
      </c>
      <c r="N54" s="116">
        <v>-23232.595000000001</v>
      </c>
      <c r="O54" s="117"/>
      <c r="P54" s="114"/>
      <c r="Q54" s="114"/>
      <c r="R54" s="114"/>
      <c r="S54" s="114"/>
      <c r="T54" s="114"/>
      <c r="U54" s="117"/>
      <c r="V54" s="114"/>
      <c r="W54" s="114"/>
      <c r="X54" s="114"/>
      <c r="Y54" s="114"/>
      <c r="Z54" s="114"/>
      <c r="AA54" s="115">
        <v>476.83199999999999</v>
      </c>
      <c r="AB54" s="116">
        <f t="shared" si="0"/>
        <v>88.265999999999991</v>
      </c>
      <c r="AC54" s="116">
        <v>67.257999999999996</v>
      </c>
      <c r="AD54" s="116">
        <v>21.007999999999999</v>
      </c>
      <c r="AE54" s="116">
        <v>388.56599999999997</v>
      </c>
      <c r="AF54" s="116"/>
      <c r="AG54" s="115"/>
      <c r="AH54" s="116"/>
      <c r="AI54" s="116"/>
      <c r="AJ54" s="116"/>
      <c r="AK54" s="116"/>
      <c r="AL54" s="116"/>
      <c r="AM54" s="115"/>
      <c r="AN54" s="116"/>
      <c r="AO54" s="116"/>
      <c r="AP54" s="116"/>
      <c r="AQ54" s="116"/>
      <c r="AR54" s="116"/>
      <c r="AS54" s="115"/>
      <c r="AT54" s="116"/>
      <c r="AU54" s="116"/>
      <c r="AV54" s="116"/>
      <c r="AW54" s="116"/>
      <c r="AX54" s="116"/>
      <c r="AY54" s="115"/>
      <c r="AZ54" s="116"/>
      <c r="BA54" s="116"/>
      <c r="BB54" s="116"/>
      <c r="BC54" s="116"/>
      <c r="BD54" s="116"/>
      <c r="BE54" s="115"/>
      <c r="BF54" s="116"/>
      <c r="BG54" s="116"/>
      <c r="BH54" s="116"/>
      <c r="BI54" s="116"/>
      <c r="BJ54" s="116"/>
      <c r="BK54" s="115"/>
      <c r="BL54" s="116"/>
      <c r="BM54" s="116"/>
      <c r="BN54" s="116"/>
      <c r="BO54" s="116"/>
      <c r="BP54" s="116"/>
      <c r="BQ54" s="115"/>
      <c r="BR54" s="116"/>
      <c r="BS54" s="116"/>
      <c r="BT54" s="116"/>
      <c r="BU54" s="116"/>
      <c r="BV54" s="116"/>
      <c r="BW54" s="115"/>
      <c r="BX54" s="116"/>
      <c r="BY54" s="116"/>
      <c r="BZ54" s="116"/>
      <c r="CA54" s="116"/>
      <c r="CB54" s="116"/>
      <c r="CC54" s="115"/>
      <c r="CD54" s="116"/>
      <c r="CE54" s="116"/>
      <c r="CF54" s="116"/>
      <c r="CG54" s="116"/>
      <c r="CH54" s="116"/>
      <c r="CI54" s="115"/>
      <c r="CJ54" s="116"/>
      <c r="CK54" s="116"/>
      <c r="CL54" s="116"/>
      <c r="CM54" s="116"/>
      <c r="CN54" s="116"/>
      <c r="CO54" s="115"/>
      <c r="CP54" s="116"/>
      <c r="CQ54" s="116"/>
      <c r="CR54" s="116"/>
      <c r="CS54" s="116"/>
      <c r="CT54" s="116"/>
      <c r="CU54" s="88">
        <f t="shared" si="1"/>
        <v>8301.5118000000002</v>
      </c>
      <c r="CV54" s="89">
        <v>5175.4303</v>
      </c>
      <c r="CW54" s="89">
        <v>4623.0617000000002</v>
      </c>
      <c r="CX54" s="89">
        <v>552.36860000000001</v>
      </c>
      <c r="CY54" s="89">
        <v>3126.0815000000002</v>
      </c>
      <c r="CZ54" s="89"/>
      <c r="DA54" s="115"/>
      <c r="DB54" s="116"/>
      <c r="DC54" s="116"/>
      <c r="DD54" s="116"/>
      <c r="DE54" s="116"/>
      <c r="DF54" s="116"/>
      <c r="DG54" s="88">
        <v>14192.4</v>
      </c>
      <c r="DH54" s="89">
        <v>5909.8</v>
      </c>
      <c r="DI54" s="89"/>
      <c r="DJ54" s="89"/>
      <c r="DK54" s="89">
        <v>22811.4</v>
      </c>
      <c r="DL54" s="89">
        <v>2709.2</v>
      </c>
      <c r="DM54" s="115"/>
      <c r="DN54" s="116"/>
      <c r="DO54" s="116"/>
      <c r="DP54" s="98"/>
      <c r="DQ54" s="116"/>
      <c r="DR54" s="116"/>
      <c r="DS54" s="115"/>
      <c r="DT54" s="116"/>
      <c r="DU54" s="116"/>
      <c r="DV54" s="116"/>
      <c r="DW54" s="116"/>
      <c r="DX54" s="116"/>
      <c r="DY54" s="115"/>
      <c r="DZ54" s="116"/>
      <c r="EA54" s="116"/>
      <c r="EB54" s="98"/>
      <c r="EC54" s="116"/>
      <c r="ED54" s="116"/>
      <c r="EE54" s="115"/>
      <c r="EF54" s="116"/>
      <c r="EG54" s="116"/>
      <c r="EH54" s="116"/>
      <c r="EI54" s="116"/>
      <c r="EJ54" s="116"/>
      <c r="EK54" s="88"/>
      <c r="EL54" s="89"/>
      <c r="EM54" s="89"/>
      <c r="EN54" s="89"/>
      <c r="EO54" s="98"/>
      <c r="EP54" s="98"/>
      <c r="EQ54" s="95"/>
      <c r="ER54" s="98"/>
      <c r="ES54" s="98"/>
      <c r="ET54" s="98"/>
      <c r="EU54" s="98"/>
      <c r="EV54" s="98"/>
      <c r="EW54" s="95"/>
      <c r="EX54" s="98"/>
      <c r="EY54" s="98"/>
      <c r="EZ54" s="98"/>
      <c r="FA54" s="98"/>
      <c r="FB54" s="98"/>
      <c r="FC54" s="95"/>
      <c r="FD54" s="98"/>
      <c r="FE54" s="98"/>
      <c r="FF54" s="98"/>
      <c r="FG54" s="98"/>
      <c r="FH54" s="98"/>
      <c r="FI54" s="95"/>
      <c r="FJ54" s="98"/>
      <c r="FK54" s="98"/>
      <c r="FL54" s="98"/>
      <c r="FM54" s="98"/>
      <c r="FN54" s="98"/>
      <c r="FO54" s="95"/>
      <c r="FP54" s="98"/>
      <c r="FQ54" s="98"/>
      <c r="FR54" s="98"/>
      <c r="FS54" s="98"/>
      <c r="FT54" s="98"/>
      <c r="FU54" s="95"/>
      <c r="FV54" s="98"/>
      <c r="FW54" s="98"/>
      <c r="FX54" s="98"/>
      <c r="FY54" s="98"/>
      <c r="FZ54" s="98"/>
      <c r="GA54" s="95"/>
      <c r="GB54" s="98"/>
      <c r="GC54" s="98"/>
      <c r="GD54" s="98"/>
      <c r="GE54" s="98"/>
      <c r="GF54" s="98"/>
      <c r="GG54" s="95"/>
      <c r="GH54" s="98"/>
      <c r="GI54" s="98"/>
      <c r="GJ54" s="98"/>
      <c r="GK54" s="98"/>
      <c r="GL54" s="98"/>
      <c r="GM54" s="95"/>
      <c r="GN54" s="98"/>
      <c r="GO54" s="98"/>
      <c r="GP54" s="98"/>
      <c r="GQ54" s="89"/>
      <c r="GR54" s="89"/>
      <c r="GS54" s="88"/>
      <c r="GT54" s="87"/>
      <c r="GU54" s="87"/>
      <c r="GV54" s="87"/>
      <c r="GW54" s="87"/>
      <c r="GX54" s="87"/>
      <c r="GY54" s="87"/>
      <c r="GZ54" s="95"/>
      <c r="HA54" s="92"/>
      <c r="HB54" s="92"/>
      <c r="HC54" s="92"/>
      <c r="HD54" s="92"/>
      <c r="HE54" s="92"/>
      <c r="HF54" s="92"/>
      <c r="HG54" s="92"/>
      <c r="HH54" s="92"/>
      <c r="HI54" s="92"/>
      <c r="HJ54" s="92"/>
      <c r="HK54" s="92"/>
      <c r="HL54" s="95"/>
      <c r="HM54" s="92"/>
      <c r="HN54" s="92"/>
      <c r="HO54" s="92"/>
      <c r="HP54" s="92"/>
      <c r="HQ54" s="92"/>
      <c r="HR54" s="92"/>
      <c r="HS54" s="92"/>
      <c r="HT54" s="97"/>
      <c r="HU54" s="97"/>
      <c r="HV54" s="97"/>
      <c r="HW54" s="97"/>
    </row>
    <row r="55" spans="1:231" ht="13.5" customHeight="1">
      <c r="A55" s="69"/>
      <c r="B55" s="92" t="s">
        <v>492</v>
      </c>
      <c r="C55" s="115"/>
      <c r="D55" s="110"/>
      <c r="E55" s="110"/>
      <c r="F55" s="110"/>
      <c r="G55" s="110"/>
      <c r="H55" s="110"/>
      <c r="I55" s="95">
        <v>47839.533999999985</v>
      </c>
      <c r="J55" s="98">
        <v>24485.172999999999</v>
      </c>
      <c r="K55" s="98"/>
      <c r="L55" s="98"/>
      <c r="M55" s="98">
        <v>46561.797999999995</v>
      </c>
      <c r="N55" s="98">
        <v>-23207.437000000002</v>
      </c>
      <c r="O55" s="95"/>
      <c r="P55" s="98"/>
      <c r="Q55" s="98"/>
      <c r="R55" s="98"/>
      <c r="S55" s="98"/>
      <c r="T55" s="98"/>
      <c r="U55" s="95"/>
      <c r="V55" s="98"/>
      <c r="W55" s="98"/>
      <c r="X55" s="98"/>
      <c r="Y55" s="98"/>
      <c r="Z55" s="98"/>
      <c r="AA55" s="95">
        <v>479.85199999999998</v>
      </c>
      <c r="AB55" s="98">
        <f t="shared" si="0"/>
        <v>91.14</v>
      </c>
      <c r="AC55" s="98">
        <v>70.153000000000006</v>
      </c>
      <c r="AD55" s="98">
        <v>20.986999999999998</v>
      </c>
      <c r="AE55" s="98">
        <v>388.71199999999999</v>
      </c>
      <c r="AF55" s="98"/>
      <c r="AG55" s="95"/>
      <c r="AH55" s="98"/>
      <c r="AI55" s="98"/>
      <c r="AJ55" s="98"/>
      <c r="AK55" s="98"/>
      <c r="AL55" s="98"/>
      <c r="AM55" s="95"/>
      <c r="AN55" s="98"/>
      <c r="AO55" s="98"/>
      <c r="AP55" s="98"/>
      <c r="AQ55" s="98"/>
      <c r="AR55" s="98"/>
      <c r="AS55" s="95"/>
      <c r="AT55" s="98"/>
      <c r="AU55" s="98"/>
      <c r="AV55" s="98"/>
      <c r="AW55" s="98"/>
      <c r="AX55" s="98"/>
      <c r="AY55" s="95"/>
      <c r="AZ55" s="98"/>
      <c r="BA55" s="98"/>
      <c r="BB55" s="98"/>
      <c r="BC55" s="98"/>
      <c r="BD55" s="98"/>
      <c r="BE55" s="95"/>
      <c r="BF55" s="98"/>
      <c r="BG55" s="98"/>
      <c r="BH55" s="98"/>
      <c r="BI55" s="98"/>
      <c r="BJ55" s="98"/>
      <c r="BK55" s="95"/>
      <c r="BL55" s="98"/>
      <c r="BM55" s="98"/>
      <c r="BN55" s="98"/>
      <c r="BO55" s="98"/>
      <c r="BP55" s="98"/>
      <c r="BQ55" s="95"/>
      <c r="BR55" s="98"/>
      <c r="BS55" s="98"/>
      <c r="BT55" s="98"/>
      <c r="BU55" s="98"/>
      <c r="BV55" s="98"/>
      <c r="BW55" s="95"/>
      <c r="BX55" s="98"/>
      <c r="BY55" s="98"/>
      <c r="BZ55" s="98"/>
      <c r="CA55" s="98"/>
      <c r="CB55" s="98"/>
      <c r="CC55" s="95"/>
      <c r="CD55" s="98"/>
      <c r="CE55" s="98"/>
      <c r="CF55" s="98"/>
      <c r="CG55" s="98"/>
      <c r="CH55" s="98"/>
      <c r="CI55" s="95"/>
      <c r="CJ55" s="98"/>
      <c r="CK55" s="98"/>
      <c r="CL55" s="98"/>
      <c r="CM55" s="98"/>
      <c r="CN55" s="98"/>
      <c r="CO55" s="95"/>
      <c r="CP55" s="98"/>
      <c r="CQ55" s="98"/>
      <c r="CR55" s="98"/>
      <c r="CS55" s="98"/>
      <c r="CT55" s="98"/>
      <c r="CU55" s="88">
        <f t="shared" si="1"/>
        <v>8588.5155999999988</v>
      </c>
      <c r="CV55" s="89">
        <v>5207.2457999999997</v>
      </c>
      <c r="CW55" s="89">
        <v>4647.6050999999998</v>
      </c>
      <c r="CX55" s="89">
        <v>559.64070000000004</v>
      </c>
      <c r="CY55" s="89">
        <v>3381.2698</v>
      </c>
      <c r="CZ55" s="89"/>
      <c r="DA55" s="95"/>
      <c r="DB55" s="98"/>
      <c r="DC55" s="98"/>
      <c r="DD55" s="98"/>
      <c r="DE55" s="98"/>
      <c r="DF55" s="98"/>
      <c r="DG55" s="95">
        <v>18054.400000000001</v>
      </c>
      <c r="DH55" s="98">
        <v>2074.3000000000002</v>
      </c>
      <c r="DI55" s="98"/>
      <c r="DJ55" s="98"/>
      <c r="DK55" s="98">
        <v>23118.2</v>
      </c>
      <c r="DL55" s="98">
        <v>2989.5</v>
      </c>
      <c r="DM55" s="95"/>
      <c r="DN55" s="98"/>
      <c r="DO55" s="98"/>
      <c r="DP55" s="98"/>
      <c r="DQ55" s="98"/>
      <c r="DR55" s="98"/>
      <c r="DS55" s="95"/>
      <c r="DT55" s="98"/>
      <c r="DU55" s="98"/>
      <c r="DV55" s="98"/>
      <c r="DW55" s="98"/>
      <c r="DX55" s="98"/>
      <c r="DY55" s="95"/>
      <c r="DZ55" s="98"/>
      <c r="EA55" s="98"/>
      <c r="EB55" s="98"/>
      <c r="EC55" s="98"/>
      <c r="ED55" s="98"/>
      <c r="EE55" s="95"/>
      <c r="EF55" s="98"/>
      <c r="EG55" s="98"/>
      <c r="EH55" s="98"/>
      <c r="EI55" s="98"/>
      <c r="EJ55" s="98"/>
      <c r="EK55" s="88"/>
      <c r="EL55" s="89"/>
      <c r="EM55" s="89"/>
      <c r="EN55" s="89"/>
      <c r="EO55" s="98"/>
      <c r="EP55" s="98"/>
      <c r="EQ55" s="95"/>
      <c r="ER55" s="98"/>
      <c r="ES55" s="98"/>
      <c r="ET55" s="98"/>
      <c r="EU55" s="98"/>
      <c r="EV55" s="98"/>
      <c r="EW55" s="95"/>
      <c r="EX55" s="98"/>
      <c r="EY55" s="98"/>
      <c r="EZ55" s="98"/>
      <c r="FA55" s="98"/>
      <c r="FB55" s="98"/>
      <c r="FC55" s="95"/>
      <c r="FD55" s="98"/>
      <c r="FE55" s="98"/>
      <c r="FF55" s="98"/>
      <c r="FG55" s="98"/>
      <c r="FH55" s="98"/>
      <c r="FI55" s="95"/>
      <c r="FJ55" s="98"/>
      <c r="FK55" s="98"/>
      <c r="FL55" s="98"/>
      <c r="FM55" s="98"/>
      <c r="FN55" s="98"/>
      <c r="FO55" s="95"/>
      <c r="FP55" s="98"/>
      <c r="FQ55" s="98"/>
      <c r="FR55" s="98"/>
      <c r="FS55" s="98"/>
      <c r="FT55" s="98"/>
      <c r="FU55" s="95"/>
      <c r="FV55" s="98"/>
      <c r="FW55" s="98"/>
      <c r="FX55" s="98"/>
      <c r="FY55" s="98"/>
      <c r="FZ55" s="98"/>
      <c r="GA55" s="95"/>
      <c r="GB55" s="98"/>
      <c r="GC55" s="98"/>
      <c r="GD55" s="98"/>
      <c r="GE55" s="98"/>
      <c r="GF55" s="98"/>
      <c r="GG55" s="95"/>
      <c r="GH55" s="98"/>
      <c r="GI55" s="98"/>
      <c r="GJ55" s="98"/>
      <c r="GK55" s="98"/>
      <c r="GL55" s="98"/>
      <c r="GM55" s="95"/>
      <c r="GN55" s="98"/>
      <c r="GO55" s="98"/>
      <c r="GP55" s="98"/>
      <c r="GQ55" s="89"/>
      <c r="GR55" s="89"/>
      <c r="GS55" s="88"/>
      <c r="GT55" s="87"/>
      <c r="GU55" s="87"/>
      <c r="GV55" s="87"/>
      <c r="GW55" s="87"/>
      <c r="GX55" s="87"/>
      <c r="GY55" s="87"/>
      <c r="GZ55" s="95"/>
      <c r="HA55" s="92"/>
      <c r="HB55" s="92"/>
      <c r="HC55" s="92"/>
      <c r="HD55" s="92"/>
      <c r="HE55" s="92"/>
      <c r="HF55" s="92"/>
      <c r="HG55" s="92"/>
      <c r="HH55" s="92"/>
      <c r="HI55" s="92"/>
      <c r="HJ55" s="92"/>
      <c r="HK55" s="92"/>
      <c r="HL55" s="95"/>
      <c r="HM55" s="92"/>
      <c r="HN55" s="92"/>
      <c r="HO55" s="92"/>
      <c r="HP55" s="110"/>
      <c r="HQ55" s="110"/>
      <c r="HR55" s="110"/>
      <c r="HS55" s="110"/>
      <c r="HT55" s="111"/>
      <c r="HU55" s="111"/>
      <c r="HV55" s="111"/>
      <c r="HW55" s="111"/>
    </row>
    <row r="56" spans="1:231" ht="13.5" customHeight="1">
      <c r="A56" s="69"/>
      <c r="B56" s="110" t="s">
        <v>493</v>
      </c>
      <c r="C56" s="115"/>
      <c r="D56" s="110"/>
      <c r="E56" s="110"/>
      <c r="F56" s="110"/>
      <c r="G56" s="110"/>
      <c r="H56" s="110"/>
      <c r="I56" s="115">
        <v>48452.744000000006</v>
      </c>
      <c r="J56" s="116">
        <v>24520.507000000001</v>
      </c>
      <c r="K56" s="116"/>
      <c r="L56" s="116"/>
      <c r="M56" s="116">
        <v>47749.597000000002</v>
      </c>
      <c r="N56" s="116">
        <v>-23817.360000000001</v>
      </c>
      <c r="O56" s="117"/>
      <c r="P56" s="114"/>
      <c r="Q56" s="114"/>
      <c r="R56" s="114"/>
      <c r="S56" s="114"/>
      <c r="T56" s="114"/>
      <c r="U56" s="117"/>
      <c r="V56" s="114"/>
      <c r="W56" s="114"/>
      <c r="X56" s="114"/>
      <c r="Y56" s="114"/>
      <c r="Z56" s="114"/>
      <c r="AA56" s="115">
        <v>483.72199999999998</v>
      </c>
      <c r="AB56" s="116">
        <f t="shared" si="0"/>
        <v>100.023</v>
      </c>
      <c r="AC56" s="116">
        <v>79.031999999999996</v>
      </c>
      <c r="AD56" s="116">
        <v>20.991</v>
      </c>
      <c r="AE56" s="116">
        <v>383.69900000000001</v>
      </c>
      <c r="AF56" s="116"/>
      <c r="AG56" s="115"/>
      <c r="AH56" s="116"/>
      <c r="AI56" s="116"/>
      <c r="AJ56" s="116"/>
      <c r="AK56" s="116"/>
      <c r="AL56" s="116"/>
      <c r="AM56" s="115"/>
      <c r="AN56" s="116"/>
      <c r="AO56" s="116"/>
      <c r="AP56" s="116"/>
      <c r="AQ56" s="116"/>
      <c r="AR56" s="116"/>
      <c r="AS56" s="115"/>
      <c r="AT56" s="116"/>
      <c r="AU56" s="116"/>
      <c r="AV56" s="116"/>
      <c r="AW56" s="116"/>
      <c r="AX56" s="116"/>
      <c r="AY56" s="115"/>
      <c r="AZ56" s="116"/>
      <c r="BA56" s="116"/>
      <c r="BB56" s="116"/>
      <c r="BC56" s="116"/>
      <c r="BD56" s="116"/>
      <c r="BE56" s="115"/>
      <c r="BF56" s="116"/>
      <c r="BG56" s="116"/>
      <c r="BH56" s="116"/>
      <c r="BI56" s="116"/>
      <c r="BJ56" s="116"/>
      <c r="BK56" s="115"/>
      <c r="BL56" s="116"/>
      <c r="BM56" s="116"/>
      <c r="BN56" s="116"/>
      <c r="BO56" s="116"/>
      <c r="BP56" s="116"/>
      <c r="BQ56" s="115"/>
      <c r="BR56" s="116"/>
      <c r="BS56" s="116"/>
      <c r="BT56" s="116"/>
      <c r="BU56" s="116"/>
      <c r="BV56" s="116"/>
      <c r="BW56" s="115"/>
      <c r="BX56" s="116"/>
      <c r="BY56" s="116"/>
      <c r="BZ56" s="116"/>
      <c r="CA56" s="116"/>
      <c r="CB56" s="116"/>
      <c r="CC56" s="115"/>
      <c r="CD56" s="116"/>
      <c r="CE56" s="116"/>
      <c r="CF56" s="116"/>
      <c r="CG56" s="116"/>
      <c r="CH56" s="116"/>
      <c r="CI56" s="115"/>
      <c r="CJ56" s="116"/>
      <c r="CK56" s="116"/>
      <c r="CL56" s="116"/>
      <c r="CM56" s="116"/>
      <c r="CN56" s="116"/>
      <c r="CO56" s="115"/>
      <c r="CP56" s="116"/>
      <c r="CQ56" s="116"/>
      <c r="CR56" s="116"/>
      <c r="CS56" s="116"/>
      <c r="CT56" s="116"/>
      <c r="CU56" s="88">
        <f t="shared" si="1"/>
        <v>8842.2530900000002</v>
      </c>
      <c r="CV56" s="89">
        <v>5300.1810000000005</v>
      </c>
      <c r="CW56" s="89">
        <v>4737.3644000000004</v>
      </c>
      <c r="CX56" s="89">
        <v>562.81659999999999</v>
      </c>
      <c r="CY56" s="89">
        <v>3542.0720899999997</v>
      </c>
      <c r="CZ56" s="89"/>
      <c r="DA56" s="115"/>
      <c r="DB56" s="116"/>
      <c r="DC56" s="116"/>
      <c r="DD56" s="116"/>
      <c r="DE56" s="116"/>
      <c r="DF56" s="116"/>
      <c r="DG56" s="115">
        <v>16994.7</v>
      </c>
      <c r="DH56" s="116">
        <v>3599.1</v>
      </c>
      <c r="DI56" s="116"/>
      <c r="DJ56" s="116"/>
      <c r="DK56" s="116">
        <v>23291.9</v>
      </c>
      <c r="DL56" s="116">
        <v>2698.1</v>
      </c>
      <c r="DM56" s="115"/>
      <c r="DN56" s="116"/>
      <c r="DO56" s="116"/>
      <c r="DP56" s="98"/>
      <c r="DQ56" s="116"/>
      <c r="DR56" s="116"/>
      <c r="DS56" s="115"/>
      <c r="DT56" s="116"/>
      <c r="DU56" s="116"/>
      <c r="DV56" s="116"/>
      <c r="DW56" s="116"/>
      <c r="DX56" s="116"/>
      <c r="DY56" s="115"/>
      <c r="DZ56" s="116"/>
      <c r="EA56" s="116"/>
      <c r="EB56" s="98"/>
      <c r="EC56" s="116"/>
      <c r="ED56" s="116"/>
      <c r="EE56" s="115"/>
      <c r="EF56" s="116"/>
      <c r="EG56" s="116"/>
      <c r="EH56" s="116"/>
      <c r="EI56" s="116"/>
      <c r="EJ56" s="116"/>
      <c r="EK56" s="88"/>
      <c r="EL56" s="89"/>
      <c r="EM56" s="89"/>
      <c r="EN56" s="89"/>
      <c r="EO56" s="98"/>
      <c r="EP56" s="98"/>
      <c r="EQ56" s="95"/>
      <c r="ER56" s="98"/>
      <c r="ES56" s="98"/>
      <c r="ET56" s="98"/>
      <c r="EU56" s="98"/>
      <c r="EV56" s="98"/>
      <c r="EW56" s="95"/>
      <c r="EX56" s="98"/>
      <c r="EY56" s="98"/>
      <c r="EZ56" s="98"/>
      <c r="FA56" s="98"/>
      <c r="FB56" s="98"/>
      <c r="FC56" s="95"/>
      <c r="FD56" s="98"/>
      <c r="FE56" s="98"/>
      <c r="FF56" s="98"/>
      <c r="FG56" s="98"/>
      <c r="FH56" s="98"/>
      <c r="FI56" s="95"/>
      <c r="FJ56" s="98"/>
      <c r="FK56" s="98"/>
      <c r="FL56" s="98"/>
      <c r="FM56" s="98"/>
      <c r="FN56" s="98"/>
      <c r="FO56" s="95"/>
      <c r="FP56" s="98"/>
      <c r="FQ56" s="98"/>
      <c r="FR56" s="98"/>
      <c r="FS56" s="98"/>
      <c r="FT56" s="98"/>
      <c r="FU56" s="95"/>
      <c r="FV56" s="98"/>
      <c r="FW56" s="98"/>
      <c r="FX56" s="98"/>
      <c r="FY56" s="98"/>
      <c r="FZ56" s="98"/>
      <c r="GA56" s="95"/>
      <c r="GB56" s="98"/>
      <c r="GC56" s="98"/>
      <c r="GD56" s="98"/>
      <c r="GE56" s="98"/>
      <c r="GF56" s="98"/>
      <c r="GG56" s="95"/>
      <c r="GH56" s="98"/>
      <c r="GI56" s="98"/>
      <c r="GJ56" s="98"/>
      <c r="GK56" s="98"/>
      <c r="GL56" s="98"/>
      <c r="GM56" s="95"/>
      <c r="GN56" s="98"/>
      <c r="GO56" s="98"/>
      <c r="GP56" s="98"/>
      <c r="GQ56" s="89"/>
      <c r="GR56" s="89"/>
      <c r="GS56" s="88"/>
      <c r="GT56" s="87"/>
      <c r="GU56" s="87"/>
      <c r="GV56" s="87"/>
      <c r="GW56" s="87"/>
      <c r="GX56" s="87"/>
      <c r="GY56" s="87"/>
      <c r="GZ56" s="95"/>
      <c r="HA56" s="92"/>
      <c r="HB56" s="92"/>
      <c r="HC56" s="92"/>
      <c r="HD56" s="92"/>
      <c r="HE56" s="92"/>
      <c r="HF56" s="92"/>
      <c r="HG56" s="92"/>
      <c r="HH56" s="92"/>
      <c r="HI56" s="92"/>
      <c r="HJ56" s="92"/>
      <c r="HK56" s="92"/>
      <c r="HL56" s="95"/>
      <c r="HM56" s="92"/>
      <c r="HN56" s="92"/>
      <c r="HO56" s="92"/>
      <c r="HP56" s="110"/>
      <c r="HQ56" s="110"/>
      <c r="HR56" s="110"/>
      <c r="HS56" s="110"/>
      <c r="HT56" s="111"/>
      <c r="HU56" s="111"/>
      <c r="HV56" s="111"/>
      <c r="HW56" s="111"/>
    </row>
    <row r="57" spans="1:231" ht="13.5" customHeight="1">
      <c r="A57" s="69"/>
      <c r="B57" s="110" t="s">
        <v>494</v>
      </c>
      <c r="C57" s="95"/>
      <c r="D57" s="92"/>
      <c r="E57" s="92"/>
      <c r="F57" s="92"/>
      <c r="G57" s="92"/>
      <c r="H57" s="92"/>
      <c r="I57" s="115">
        <v>50521.479999999996</v>
      </c>
      <c r="J57" s="116">
        <v>25528.441999999999</v>
      </c>
      <c r="K57" s="116"/>
      <c r="L57" s="116"/>
      <c r="M57" s="116">
        <v>48123.025999999998</v>
      </c>
      <c r="N57" s="116">
        <v>-23129.988000000001</v>
      </c>
      <c r="O57" s="117"/>
      <c r="P57" s="114"/>
      <c r="Q57" s="114"/>
      <c r="R57" s="114"/>
      <c r="S57" s="114"/>
      <c r="T57" s="114"/>
      <c r="U57" s="117"/>
      <c r="V57" s="114"/>
      <c r="W57" s="114"/>
      <c r="X57" s="114"/>
      <c r="Y57" s="114"/>
      <c r="Z57" s="114"/>
      <c r="AA57" s="115">
        <v>483.11099999999999</v>
      </c>
      <c r="AB57" s="116">
        <f t="shared" si="0"/>
        <v>98.206000000000003</v>
      </c>
      <c r="AC57" s="116">
        <v>77.207999999999998</v>
      </c>
      <c r="AD57" s="116">
        <v>20.998000000000001</v>
      </c>
      <c r="AE57" s="116">
        <v>384.90499999999997</v>
      </c>
      <c r="AF57" s="116"/>
      <c r="AG57" s="115"/>
      <c r="AH57" s="116"/>
      <c r="AI57" s="116"/>
      <c r="AJ57" s="116"/>
      <c r="AK57" s="116"/>
      <c r="AL57" s="116"/>
      <c r="AM57" s="115"/>
      <c r="AN57" s="116"/>
      <c r="AO57" s="116"/>
      <c r="AP57" s="116"/>
      <c r="AQ57" s="116"/>
      <c r="AR57" s="116"/>
      <c r="AS57" s="115"/>
      <c r="AT57" s="116"/>
      <c r="AU57" s="116"/>
      <c r="AV57" s="116"/>
      <c r="AW57" s="116"/>
      <c r="AX57" s="116"/>
      <c r="AY57" s="115"/>
      <c r="AZ57" s="116"/>
      <c r="BA57" s="116"/>
      <c r="BB57" s="116"/>
      <c r="BC57" s="116"/>
      <c r="BD57" s="116"/>
      <c r="BE57" s="115"/>
      <c r="BF57" s="116"/>
      <c r="BG57" s="116"/>
      <c r="BH57" s="116"/>
      <c r="BI57" s="116"/>
      <c r="BJ57" s="116"/>
      <c r="BK57" s="115"/>
      <c r="BL57" s="116"/>
      <c r="BM57" s="116"/>
      <c r="BN57" s="116"/>
      <c r="BO57" s="116"/>
      <c r="BP57" s="116"/>
      <c r="BQ57" s="115"/>
      <c r="BR57" s="116"/>
      <c r="BS57" s="116"/>
      <c r="BT57" s="116"/>
      <c r="BU57" s="116"/>
      <c r="BV57" s="116"/>
      <c r="BW57" s="115"/>
      <c r="BX57" s="116"/>
      <c r="BY57" s="116"/>
      <c r="BZ57" s="116"/>
      <c r="CA57" s="116"/>
      <c r="CB57" s="116"/>
      <c r="CC57" s="115"/>
      <c r="CD57" s="116"/>
      <c r="CE57" s="116"/>
      <c r="CF57" s="116"/>
      <c r="CG57" s="116"/>
      <c r="CH57" s="116"/>
      <c r="CI57" s="115"/>
      <c r="CJ57" s="116"/>
      <c r="CK57" s="116"/>
      <c r="CL57" s="116"/>
      <c r="CM57" s="116"/>
      <c r="CN57" s="116"/>
      <c r="CO57" s="115"/>
      <c r="CP57" s="116"/>
      <c r="CQ57" s="116"/>
      <c r="CR57" s="116"/>
      <c r="CS57" s="116"/>
      <c r="CT57" s="116"/>
      <c r="CU57" s="88">
        <f t="shared" si="1"/>
        <v>8912.9699299999993</v>
      </c>
      <c r="CV57" s="89">
        <v>5396.7937000000002</v>
      </c>
      <c r="CW57" s="89">
        <v>4831.7936</v>
      </c>
      <c r="CX57" s="89">
        <v>565.00010000000009</v>
      </c>
      <c r="CY57" s="89">
        <v>3516.17623</v>
      </c>
      <c r="CZ57" s="89"/>
      <c r="DA57" s="115"/>
      <c r="DB57" s="116"/>
      <c r="DC57" s="116"/>
      <c r="DD57" s="116"/>
      <c r="DE57" s="116"/>
      <c r="DF57" s="116"/>
      <c r="DG57" s="115">
        <v>17421.900000000001</v>
      </c>
      <c r="DH57" s="116">
        <v>5905.9</v>
      </c>
      <c r="DI57" s="116"/>
      <c r="DJ57" s="116"/>
      <c r="DK57" s="116">
        <v>25034.799999999999</v>
      </c>
      <c r="DL57" s="116">
        <v>1707</v>
      </c>
      <c r="DM57" s="115"/>
      <c r="DN57" s="116"/>
      <c r="DO57" s="116"/>
      <c r="DP57" s="98"/>
      <c r="DQ57" s="116"/>
      <c r="DR57" s="116"/>
      <c r="DS57" s="115"/>
      <c r="DT57" s="116"/>
      <c r="DU57" s="116"/>
      <c r="DV57" s="116"/>
      <c r="DW57" s="116"/>
      <c r="DX57" s="116"/>
      <c r="DY57" s="115"/>
      <c r="DZ57" s="116"/>
      <c r="EA57" s="116"/>
      <c r="EB57" s="98"/>
      <c r="EC57" s="116"/>
      <c r="ED57" s="116"/>
      <c r="EE57" s="115"/>
      <c r="EF57" s="116"/>
      <c r="EG57" s="116"/>
      <c r="EH57" s="116"/>
      <c r="EI57" s="116"/>
      <c r="EJ57" s="116"/>
      <c r="EK57" s="88"/>
      <c r="EL57" s="89"/>
      <c r="EM57" s="89"/>
      <c r="EN57" s="89"/>
      <c r="EO57" s="98"/>
      <c r="EP57" s="98"/>
      <c r="EQ57" s="95"/>
      <c r="ER57" s="98"/>
      <c r="ES57" s="98"/>
      <c r="ET57" s="98"/>
      <c r="EU57" s="98"/>
      <c r="EV57" s="98"/>
      <c r="EW57" s="95"/>
      <c r="EX57" s="98"/>
      <c r="EY57" s="98"/>
      <c r="EZ57" s="98"/>
      <c r="FA57" s="98"/>
      <c r="FB57" s="98"/>
      <c r="FC57" s="95"/>
      <c r="FD57" s="98"/>
      <c r="FE57" s="98"/>
      <c r="FF57" s="98"/>
      <c r="FG57" s="98"/>
      <c r="FH57" s="98"/>
      <c r="FI57" s="95"/>
      <c r="FJ57" s="98"/>
      <c r="FK57" s="98"/>
      <c r="FL57" s="98"/>
      <c r="FM57" s="98"/>
      <c r="FN57" s="98"/>
      <c r="FO57" s="95"/>
      <c r="FP57" s="98"/>
      <c r="FQ57" s="98"/>
      <c r="FR57" s="98"/>
      <c r="FS57" s="98"/>
      <c r="FT57" s="98"/>
      <c r="FU57" s="95"/>
      <c r="FV57" s="98"/>
      <c r="FW57" s="98"/>
      <c r="FX57" s="98"/>
      <c r="FY57" s="98"/>
      <c r="FZ57" s="98"/>
      <c r="GA57" s="95"/>
      <c r="GB57" s="98"/>
      <c r="GC57" s="98"/>
      <c r="GD57" s="98"/>
      <c r="GE57" s="98"/>
      <c r="GF57" s="98"/>
      <c r="GG57" s="95"/>
      <c r="GH57" s="98"/>
      <c r="GI57" s="98"/>
      <c r="GJ57" s="98"/>
      <c r="GK57" s="98"/>
      <c r="GL57" s="98"/>
      <c r="GM57" s="95"/>
      <c r="GN57" s="98"/>
      <c r="GO57" s="98"/>
      <c r="GP57" s="98"/>
      <c r="GQ57" s="89"/>
      <c r="GR57" s="89"/>
      <c r="GS57" s="88"/>
      <c r="GT57" s="87"/>
      <c r="GU57" s="87"/>
      <c r="GV57" s="87"/>
      <c r="GW57" s="87"/>
      <c r="GX57" s="87"/>
      <c r="GY57" s="87"/>
      <c r="GZ57" s="95"/>
      <c r="HA57" s="92"/>
      <c r="HB57" s="92"/>
      <c r="HC57" s="92"/>
      <c r="HD57" s="92"/>
      <c r="HE57" s="92"/>
      <c r="HF57" s="92"/>
      <c r="HG57" s="92"/>
      <c r="HH57" s="92"/>
      <c r="HI57" s="92"/>
      <c r="HJ57" s="92"/>
      <c r="HK57" s="92"/>
      <c r="HL57" s="95"/>
      <c r="HM57" s="92"/>
      <c r="HN57" s="92"/>
      <c r="HO57" s="92"/>
      <c r="HP57" s="92"/>
      <c r="HQ57" s="92"/>
      <c r="HR57" s="92"/>
      <c r="HS57" s="92"/>
      <c r="HT57" s="97"/>
      <c r="HU57" s="97"/>
      <c r="HV57" s="97"/>
      <c r="HW57" s="97"/>
    </row>
    <row r="58" spans="1:231" ht="13.5" customHeight="1">
      <c r="A58" s="69"/>
      <c r="B58" s="97" t="s">
        <v>495</v>
      </c>
      <c r="C58" s="115"/>
      <c r="D58" s="110"/>
      <c r="E58" s="110"/>
      <c r="F58" s="110"/>
      <c r="G58" s="110"/>
      <c r="H58" s="110"/>
      <c r="I58" s="95">
        <v>50240.267</v>
      </c>
      <c r="J58" s="98">
        <v>24752.79</v>
      </c>
      <c r="K58" s="98"/>
      <c r="L58" s="98"/>
      <c r="M58" s="98">
        <v>48812.771000000001</v>
      </c>
      <c r="N58" s="98">
        <v>-23325.294000000002</v>
      </c>
      <c r="O58" s="99"/>
      <c r="P58" s="100"/>
      <c r="Q58" s="100"/>
      <c r="R58" s="100"/>
      <c r="S58" s="100"/>
      <c r="T58" s="100"/>
      <c r="U58" s="99"/>
      <c r="V58" s="100"/>
      <c r="W58" s="100"/>
      <c r="X58" s="100"/>
      <c r="Y58" s="98"/>
      <c r="Z58" s="98"/>
      <c r="AA58" s="95">
        <v>486.61900000000003</v>
      </c>
      <c r="AB58" s="98">
        <f t="shared" si="0"/>
        <v>104.73699999999999</v>
      </c>
      <c r="AC58" s="98">
        <v>82.876999999999995</v>
      </c>
      <c r="AD58" s="98">
        <v>21.86</v>
      </c>
      <c r="AE58" s="98">
        <v>381.88200000000001</v>
      </c>
      <c r="AF58" s="98"/>
      <c r="AG58" s="95"/>
      <c r="AH58" s="98"/>
      <c r="AI58" s="98"/>
      <c r="AJ58" s="98"/>
      <c r="AK58" s="98"/>
      <c r="AL58" s="98"/>
      <c r="AM58" s="95"/>
      <c r="AN58" s="98"/>
      <c r="AO58" s="98"/>
      <c r="AP58" s="98"/>
      <c r="AQ58" s="98"/>
      <c r="AR58" s="98"/>
      <c r="AS58" s="95"/>
      <c r="AT58" s="98"/>
      <c r="AU58" s="98"/>
      <c r="AV58" s="98"/>
      <c r="AW58" s="98"/>
      <c r="AX58" s="98"/>
      <c r="AY58" s="95"/>
      <c r="AZ58" s="98"/>
      <c r="BA58" s="98"/>
      <c r="BB58" s="98"/>
      <c r="BC58" s="98"/>
      <c r="BD58" s="98"/>
      <c r="BE58" s="95"/>
      <c r="BF58" s="98"/>
      <c r="BG58" s="98"/>
      <c r="BH58" s="98"/>
      <c r="BI58" s="98"/>
      <c r="BJ58" s="98"/>
      <c r="BK58" s="95"/>
      <c r="BL58" s="98"/>
      <c r="BM58" s="98"/>
      <c r="BN58" s="98"/>
      <c r="BO58" s="98"/>
      <c r="BP58" s="98"/>
      <c r="BQ58" s="95"/>
      <c r="BR58" s="98"/>
      <c r="BS58" s="98"/>
      <c r="BT58" s="98"/>
      <c r="BU58" s="98"/>
      <c r="BV58" s="98"/>
      <c r="BW58" s="95"/>
      <c r="BX58" s="98"/>
      <c r="BY58" s="98"/>
      <c r="BZ58" s="98"/>
      <c r="CA58" s="98"/>
      <c r="CB58" s="98"/>
      <c r="CC58" s="95"/>
      <c r="CD58" s="98"/>
      <c r="CE58" s="98"/>
      <c r="CF58" s="98"/>
      <c r="CG58" s="98"/>
      <c r="CH58" s="98"/>
      <c r="CI58" s="95"/>
      <c r="CJ58" s="98"/>
      <c r="CK58" s="98"/>
      <c r="CL58" s="98"/>
      <c r="CM58" s="98"/>
      <c r="CN58" s="98"/>
      <c r="CO58" s="95"/>
      <c r="CP58" s="98"/>
      <c r="CQ58" s="98"/>
      <c r="CR58" s="98"/>
      <c r="CS58" s="98"/>
      <c r="CT58" s="98"/>
      <c r="CU58" s="88">
        <f t="shared" si="1"/>
        <v>8973.0602499999986</v>
      </c>
      <c r="CV58" s="89">
        <v>5537.9217999999992</v>
      </c>
      <c r="CW58" s="89">
        <v>4978.1210999999994</v>
      </c>
      <c r="CX58" s="89">
        <v>559.80070000000001</v>
      </c>
      <c r="CY58" s="89">
        <v>3435.1384499999999</v>
      </c>
      <c r="CZ58" s="89"/>
      <c r="DA58" s="95"/>
      <c r="DB58" s="98"/>
      <c r="DC58" s="98"/>
      <c r="DD58" s="98"/>
      <c r="DE58" s="98"/>
      <c r="DF58" s="98"/>
      <c r="DG58" s="95">
        <v>17489.5</v>
      </c>
      <c r="DH58" s="98">
        <v>3769.6</v>
      </c>
      <c r="DI58" s="98"/>
      <c r="DJ58" s="98"/>
      <c r="DK58" s="98">
        <v>24687.1</v>
      </c>
      <c r="DL58" s="98">
        <v>3428</v>
      </c>
      <c r="DM58" s="95"/>
      <c r="DN58" s="98"/>
      <c r="DO58" s="98"/>
      <c r="DP58" s="98"/>
      <c r="DQ58" s="98"/>
      <c r="DR58" s="98"/>
      <c r="DS58" s="95"/>
      <c r="DT58" s="98"/>
      <c r="DU58" s="98"/>
      <c r="DV58" s="98"/>
      <c r="DW58" s="98"/>
      <c r="DX58" s="98"/>
      <c r="DY58" s="95"/>
      <c r="DZ58" s="98"/>
      <c r="EA58" s="98"/>
      <c r="EB58" s="98"/>
      <c r="EC58" s="98"/>
      <c r="ED58" s="98"/>
      <c r="EE58" s="95"/>
      <c r="EF58" s="98"/>
      <c r="EG58" s="98"/>
      <c r="EH58" s="98"/>
      <c r="EI58" s="98"/>
      <c r="EJ58" s="98"/>
      <c r="EK58" s="88"/>
      <c r="EL58" s="89"/>
      <c r="EM58" s="89"/>
      <c r="EN58" s="89"/>
      <c r="EO58" s="98"/>
      <c r="EP58" s="98"/>
      <c r="EQ58" s="95"/>
      <c r="ER58" s="98"/>
      <c r="ES58" s="98"/>
      <c r="ET58" s="98"/>
      <c r="EU58" s="98"/>
      <c r="EV58" s="98"/>
      <c r="EW58" s="95"/>
      <c r="EX58" s="98"/>
      <c r="EY58" s="98"/>
      <c r="EZ58" s="98"/>
      <c r="FA58" s="98"/>
      <c r="FB58" s="98"/>
      <c r="FC58" s="95"/>
      <c r="FD58" s="98"/>
      <c r="FE58" s="98"/>
      <c r="FF58" s="98"/>
      <c r="FG58" s="98"/>
      <c r="FH58" s="98"/>
      <c r="FI58" s="95"/>
      <c r="FJ58" s="98"/>
      <c r="FK58" s="98"/>
      <c r="FL58" s="98"/>
      <c r="FM58" s="98"/>
      <c r="FN58" s="98"/>
      <c r="FO58" s="95"/>
      <c r="FP58" s="98"/>
      <c r="FQ58" s="98"/>
      <c r="FR58" s="98"/>
      <c r="FS58" s="98"/>
      <c r="FT58" s="98"/>
      <c r="FU58" s="95"/>
      <c r="FV58" s="98"/>
      <c r="FW58" s="98"/>
      <c r="FX58" s="98"/>
      <c r="FY58" s="98"/>
      <c r="FZ58" s="98"/>
      <c r="GA58" s="95"/>
      <c r="GB58" s="98"/>
      <c r="GC58" s="98"/>
      <c r="GD58" s="98"/>
      <c r="GE58" s="98"/>
      <c r="GF58" s="98"/>
      <c r="GG58" s="95"/>
      <c r="GH58" s="98"/>
      <c r="GI58" s="98"/>
      <c r="GJ58" s="98"/>
      <c r="GK58" s="98"/>
      <c r="GL58" s="98"/>
      <c r="GM58" s="95"/>
      <c r="GN58" s="98"/>
      <c r="GO58" s="98"/>
      <c r="GP58" s="98"/>
      <c r="GQ58" s="89"/>
      <c r="GR58" s="89"/>
      <c r="GS58" s="88"/>
      <c r="GT58" s="110"/>
      <c r="GU58" s="110"/>
      <c r="GV58" s="110"/>
      <c r="GW58" s="110"/>
      <c r="GX58" s="110"/>
      <c r="GY58" s="110"/>
      <c r="GZ58" s="115"/>
      <c r="HA58" s="110"/>
      <c r="HB58" s="110"/>
      <c r="HC58" s="110"/>
      <c r="HD58" s="110"/>
      <c r="HE58" s="110"/>
      <c r="HF58" s="110"/>
      <c r="HG58" s="110"/>
      <c r="HH58" s="110"/>
      <c r="HI58" s="110"/>
      <c r="HJ58" s="110"/>
      <c r="HK58" s="110"/>
      <c r="HL58" s="115"/>
      <c r="HM58" s="110"/>
      <c r="HN58" s="110"/>
      <c r="HO58" s="110"/>
      <c r="HP58" s="110"/>
      <c r="HQ58" s="110"/>
      <c r="HR58" s="110"/>
      <c r="HS58" s="110"/>
      <c r="HT58" s="111"/>
      <c r="HU58" s="111"/>
      <c r="HV58" s="111"/>
      <c r="HW58" s="111"/>
    </row>
    <row r="59" spans="1:231" ht="13.5" customHeight="1">
      <c r="A59" s="69"/>
      <c r="B59" s="87" t="s">
        <v>496</v>
      </c>
      <c r="C59" s="115"/>
      <c r="D59" s="110"/>
      <c r="E59" s="110"/>
      <c r="F59" s="110"/>
      <c r="G59" s="110"/>
      <c r="H59" s="110"/>
      <c r="I59" s="115">
        <v>49920.157000000007</v>
      </c>
      <c r="J59" s="116">
        <v>24658.169000000002</v>
      </c>
      <c r="K59" s="116"/>
      <c r="L59" s="116"/>
      <c r="M59" s="116">
        <v>49486.031000000003</v>
      </c>
      <c r="N59" s="116">
        <v>-24224.043000000001</v>
      </c>
      <c r="O59" s="115"/>
      <c r="P59" s="116"/>
      <c r="Q59" s="116"/>
      <c r="R59" s="116"/>
      <c r="S59" s="116"/>
      <c r="T59" s="116"/>
      <c r="U59" s="115"/>
      <c r="V59" s="116"/>
      <c r="W59" s="116"/>
      <c r="X59" s="116"/>
      <c r="Y59" s="116"/>
      <c r="Z59" s="116"/>
      <c r="AA59" s="115">
        <v>485.81400000000002</v>
      </c>
      <c r="AB59" s="116">
        <f t="shared" si="0"/>
        <v>99.174000000000007</v>
      </c>
      <c r="AC59" s="116">
        <v>77.649000000000001</v>
      </c>
      <c r="AD59" s="116">
        <v>21.524999999999999</v>
      </c>
      <c r="AE59" s="116">
        <v>386.64</v>
      </c>
      <c r="AF59" s="116"/>
      <c r="AG59" s="115"/>
      <c r="AH59" s="116"/>
      <c r="AI59" s="116"/>
      <c r="AJ59" s="116"/>
      <c r="AK59" s="116"/>
      <c r="AL59" s="116"/>
      <c r="AM59" s="115"/>
      <c r="AN59" s="116"/>
      <c r="AO59" s="116"/>
      <c r="AP59" s="116"/>
      <c r="AQ59" s="116"/>
      <c r="AR59" s="116"/>
      <c r="AS59" s="115"/>
      <c r="AT59" s="116"/>
      <c r="AU59" s="116"/>
      <c r="AV59" s="116"/>
      <c r="AW59" s="116"/>
      <c r="AX59" s="116"/>
      <c r="AY59" s="115"/>
      <c r="AZ59" s="116"/>
      <c r="BA59" s="116"/>
      <c r="BB59" s="116"/>
      <c r="BC59" s="116"/>
      <c r="BD59" s="116"/>
      <c r="BE59" s="115"/>
      <c r="BF59" s="116"/>
      <c r="BG59" s="116"/>
      <c r="BH59" s="116"/>
      <c r="BI59" s="116"/>
      <c r="BJ59" s="116"/>
      <c r="BK59" s="115"/>
      <c r="BL59" s="116"/>
      <c r="BM59" s="116"/>
      <c r="BN59" s="116"/>
      <c r="BO59" s="116"/>
      <c r="BP59" s="116"/>
      <c r="BQ59" s="115"/>
      <c r="BR59" s="116"/>
      <c r="BS59" s="116"/>
      <c r="BT59" s="116"/>
      <c r="BU59" s="116"/>
      <c r="BV59" s="116"/>
      <c r="BW59" s="115"/>
      <c r="BX59" s="116"/>
      <c r="BY59" s="116"/>
      <c r="BZ59" s="116"/>
      <c r="CA59" s="116"/>
      <c r="CB59" s="116"/>
      <c r="CC59" s="115"/>
      <c r="CD59" s="116"/>
      <c r="CE59" s="116"/>
      <c r="CF59" s="116"/>
      <c r="CG59" s="116"/>
      <c r="CH59" s="116"/>
      <c r="CI59" s="115"/>
      <c r="CJ59" s="116"/>
      <c r="CK59" s="116"/>
      <c r="CL59" s="116"/>
      <c r="CM59" s="116"/>
      <c r="CN59" s="116"/>
      <c r="CO59" s="115"/>
      <c r="CP59" s="116"/>
      <c r="CQ59" s="116"/>
      <c r="CR59" s="116"/>
      <c r="CS59" s="116"/>
      <c r="CT59" s="116"/>
      <c r="CU59" s="88">
        <f t="shared" si="1"/>
        <v>9065.7335300000013</v>
      </c>
      <c r="CV59" s="89">
        <v>5635.9412000000002</v>
      </c>
      <c r="CW59" s="89">
        <v>5066.1819000000005</v>
      </c>
      <c r="CX59" s="89">
        <v>569.75929999999994</v>
      </c>
      <c r="CY59" s="89">
        <v>3429.7923300000002</v>
      </c>
      <c r="CZ59" s="89"/>
      <c r="DA59" s="115"/>
      <c r="DB59" s="116"/>
      <c r="DC59" s="116"/>
      <c r="DD59" s="116"/>
      <c r="DE59" s="116"/>
      <c r="DF59" s="116"/>
      <c r="DG59" s="115">
        <v>20472.5</v>
      </c>
      <c r="DH59" s="116">
        <v>634.6</v>
      </c>
      <c r="DI59" s="116"/>
      <c r="DJ59" s="116"/>
      <c r="DK59" s="116">
        <v>25553.1</v>
      </c>
      <c r="DL59" s="116">
        <v>4446</v>
      </c>
      <c r="DM59" s="115"/>
      <c r="DN59" s="116"/>
      <c r="DO59" s="116"/>
      <c r="DP59" s="116"/>
      <c r="DQ59" s="116"/>
      <c r="DR59" s="116"/>
      <c r="DS59" s="115"/>
      <c r="DT59" s="116"/>
      <c r="DU59" s="116"/>
      <c r="DV59" s="116"/>
      <c r="DW59" s="116"/>
      <c r="DX59" s="116"/>
      <c r="DY59" s="115"/>
      <c r="DZ59" s="116"/>
      <c r="EA59" s="116"/>
      <c r="EB59" s="116"/>
      <c r="EC59" s="116"/>
      <c r="ED59" s="116"/>
      <c r="EE59" s="115"/>
      <c r="EF59" s="116"/>
      <c r="EG59" s="116"/>
      <c r="EH59" s="116"/>
      <c r="EI59" s="116"/>
      <c r="EJ59" s="116"/>
      <c r="EK59" s="88"/>
      <c r="EL59" s="89"/>
      <c r="EM59" s="89"/>
      <c r="EN59" s="89"/>
      <c r="EO59" s="98"/>
      <c r="EP59" s="98"/>
      <c r="EQ59" s="115"/>
      <c r="ER59" s="116"/>
      <c r="ES59" s="116"/>
      <c r="ET59" s="116"/>
      <c r="EU59" s="116"/>
      <c r="EV59" s="116"/>
      <c r="EW59" s="115"/>
      <c r="EX59" s="116"/>
      <c r="EY59" s="116"/>
      <c r="EZ59" s="116"/>
      <c r="FA59" s="116"/>
      <c r="FB59" s="116"/>
      <c r="FC59" s="115"/>
      <c r="FD59" s="116"/>
      <c r="FE59" s="116"/>
      <c r="FF59" s="116"/>
      <c r="FG59" s="116"/>
      <c r="FH59" s="116"/>
      <c r="FI59" s="115"/>
      <c r="FJ59" s="116"/>
      <c r="FK59" s="116"/>
      <c r="FL59" s="116"/>
      <c r="FM59" s="116"/>
      <c r="FN59" s="116"/>
      <c r="FO59" s="115"/>
      <c r="FP59" s="116"/>
      <c r="FQ59" s="116"/>
      <c r="FR59" s="116"/>
      <c r="FS59" s="116"/>
      <c r="FT59" s="116"/>
      <c r="FU59" s="115"/>
      <c r="FV59" s="116"/>
      <c r="FW59" s="116"/>
      <c r="FX59" s="116"/>
      <c r="FY59" s="116"/>
      <c r="FZ59" s="116"/>
      <c r="GA59" s="115"/>
      <c r="GB59" s="116"/>
      <c r="GC59" s="116"/>
      <c r="GD59" s="116"/>
      <c r="GE59" s="116"/>
      <c r="GF59" s="116"/>
      <c r="GG59" s="115"/>
      <c r="GH59" s="116"/>
      <c r="GI59" s="116"/>
      <c r="GJ59" s="116"/>
      <c r="GK59" s="116"/>
      <c r="GL59" s="116"/>
      <c r="GM59" s="115"/>
      <c r="GN59" s="116"/>
      <c r="GO59" s="116"/>
      <c r="GP59" s="116"/>
      <c r="GQ59" s="116"/>
      <c r="GR59" s="116"/>
      <c r="GS59" s="115"/>
      <c r="GT59" s="87"/>
      <c r="GU59" s="87"/>
      <c r="GV59" s="87"/>
      <c r="GW59" s="87"/>
      <c r="GX59" s="87"/>
      <c r="GY59" s="87"/>
      <c r="GZ59" s="88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8"/>
      <c r="HM59" s="87"/>
      <c r="HN59" s="87"/>
      <c r="HO59" s="87"/>
      <c r="HP59" s="87"/>
      <c r="HQ59" s="87"/>
      <c r="HR59" s="87"/>
      <c r="HS59" s="87"/>
      <c r="HT59" s="111"/>
      <c r="HU59" s="111"/>
      <c r="HV59" s="111"/>
      <c r="HW59" s="111"/>
    </row>
    <row r="60" spans="1:231" ht="13.5" customHeight="1">
      <c r="A60" s="69"/>
      <c r="B60" s="87" t="s">
        <v>497</v>
      </c>
      <c r="C60" s="95"/>
      <c r="D60" s="92"/>
      <c r="E60" s="92"/>
      <c r="F60" s="92"/>
      <c r="G60" s="92"/>
      <c r="H60" s="92"/>
      <c r="I60" s="115">
        <v>53051.05999999999</v>
      </c>
      <c r="J60" s="116">
        <v>26314.17</v>
      </c>
      <c r="K60" s="116"/>
      <c r="L60" s="116"/>
      <c r="M60" s="116">
        <v>50505.436999999998</v>
      </c>
      <c r="N60" s="116">
        <v>-23768.546999999999</v>
      </c>
      <c r="O60" s="117"/>
      <c r="P60" s="114"/>
      <c r="Q60" s="114"/>
      <c r="R60" s="114"/>
      <c r="S60" s="114"/>
      <c r="T60" s="114"/>
      <c r="U60" s="117"/>
      <c r="V60" s="114"/>
      <c r="W60" s="114"/>
      <c r="X60" s="114"/>
      <c r="Y60" s="114"/>
      <c r="Z60" s="114"/>
      <c r="AA60" s="115">
        <v>501.62</v>
      </c>
      <c r="AB60" s="116">
        <f t="shared" si="0"/>
        <v>107.70099999999999</v>
      </c>
      <c r="AC60" s="116">
        <v>86.158000000000001</v>
      </c>
      <c r="AD60" s="116">
        <v>21.542999999999999</v>
      </c>
      <c r="AE60" s="116">
        <v>393.91899999999998</v>
      </c>
      <c r="AF60" s="116"/>
      <c r="AG60" s="115"/>
      <c r="AH60" s="116"/>
      <c r="AI60" s="116"/>
      <c r="AJ60" s="116"/>
      <c r="AK60" s="116"/>
      <c r="AL60" s="116"/>
      <c r="AM60" s="115"/>
      <c r="AN60" s="116"/>
      <c r="AO60" s="116"/>
      <c r="AP60" s="116"/>
      <c r="AQ60" s="116"/>
      <c r="AR60" s="116"/>
      <c r="AS60" s="115"/>
      <c r="AT60" s="116"/>
      <c r="AU60" s="116"/>
      <c r="AV60" s="116"/>
      <c r="AW60" s="116"/>
      <c r="AX60" s="116"/>
      <c r="AY60" s="115"/>
      <c r="AZ60" s="116"/>
      <c r="BA60" s="116"/>
      <c r="BB60" s="116"/>
      <c r="BC60" s="116"/>
      <c r="BD60" s="116"/>
      <c r="BE60" s="115"/>
      <c r="BF60" s="116"/>
      <c r="BG60" s="116"/>
      <c r="BH60" s="116"/>
      <c r="BI60" s="116"/>
      <c r="BJ60" s="116"/>
      <c r="BK60" s="115"/>
      <c r="BL60" s="116"/>
      <c r="BM60" s="116"/>
      <c r="BN60" s="116"/>
      <c r="BO60" s="116"/>
      <c r="BP60" s="116"/>
      <c r="BQ60" s="115"/>
      <c r="BR60" s="116"/>
      <c r="BS60" s="116"/>
      <c r="BT60" s="116"/>
      <c r="BU60" s="116"/>
      <c r="BV60" s="116"/>
      <c r="BW60" s="115"/>
      <c r="BX60" s="116"/>
      <c r="BY60" s="116"/>
      <c r="BZ60" s="116"/>
      <c r="CA60" s="116"/>
      <c r="CB60" s="116"/>
      <c r="CC60" s="115"/>
      <c r="CD60" s="116"/>
      <c r="CE60" s="116"/>
      <c r="CF60" s="116"/>
      <c r="CG60" s="116"/>
      <c r="CH60" s="116"/>
      <c r="CI60" s="115"/>
      <c r="CJ60" s="116"/>
      <c r="CK60" s="116"/>
      <c r="CL60" s="116"/>
      <c r="CM60" s="116"/>
      <c r="CN60" s="116"/>
      <c r="CO60" s="115"/>
      <c r="CP60" s="116"/>
      <c r="CQ60" s="116"/>
      <c r="CR60" s="116"/>
      <c r="CS60" s="116"/>
      <c r="CT60" s="116"/>
      <c r="CU60" s="88">
        <f t="shared" si="1"/>
        <v>9339.8320899999999</v>
      </c>
      <c r="CV60" s="89">
        <v>5812.7388000000001</v>
      </c>
      <c r="CW60" s="89">
        <v>5226.5987999999998</v>
      </c>
      <c r="CX60" s="89">
        <v>586.1400000000001</v>
      </c>
      <c r="CY60" s="89">
        <v>3527.0932899999998</v>
      </c>
      <c r="CZ60" s="89"/>
      <c r="DA60" s="115"/>
      <c r="DB60" s="116"/>
      <c r="DC60" s="116"/>
      <c r="DD60" s="116"/>
      <c r="DE60" s="116"/>
      <c r="DF60" s="116"/>
      <c r="DG60" s="115">
        <v>17354.2</v>
      </c>
      <c r="DH60" s="116">
        <v>6611</v>
      </c>
      <c r="DI60" s="116"/>
      <c r="DJ60" s="116"/>
      <c r="DK60" s="116">
        <v>27656.3</v>
      </c>
      <c r="DL60" s="116">
        <v>3691.1</v>
      </c>
      <c r="DM60" s="115"/>
      <c r="DN60" s="116"/>
      <c r="DO60" s="116"/>
      <c r="DP60" s="98"/>
      <c r="DQ60" s="116"/>
      <c r="DR60" s="116"/>
      <c r="DS60" s="115"/>
      <c r="DT60" s="116"/>
      <c r="DU60" s="116"/>
      <c r="DV60" s="116"/>
      <c r="DW60" s="116"/>
      <c r="DX60" s="116"/>
      <c r="DY60" s="115"/>
      <c r="DZ60" s="116"/>
      <c r="EA60" s="116"/>
      <c r="EB60" s="98"/>
      <c r="EC60" s="116"/>
      <c r="ED60" s="116"/>
      <c r="EE60" s="115"/>
      <c r="EF60" s="116"/>
      <c r="EG60" s="116"/>
      <c r="EH60" s="116"/>
      <c r="EI60" s="116"/>
      <c r="EJ60" s="116"/>
      <c r="EK60" s="88"/>
      <c r="EL60" s="89"/>
      <c r="EM60" s="89"/>
      <c r="EN60" s="89"/>
      <c r="EO60" s="98"/>
      <c r="EP60" s="98"/>
      <c r="EQ60" s="95"/>
      <c r="ER60" s="98"/>
      <c r="ES60" s="98"/>
      <c r="ET60" s="98"/>
      <c r="EU60" s="98"/>
      <c r="EV60" s="98"/>
      <c r="EW60" s="95"/>
      <c r="EX60" s="98"/>
      <c r="EY60" s="98"/>
      <c r="EZ60" s="98"/>
      <c r="FA60" s="98"/>
      <c r="FB60" s="98"/>
      <c r="FC60" s="95"/>
      <c r="FD60" s="98"/>
      <c r="FE60" s="98"/>
      <c r="FF60" s="98"/>
      <c r="FG60" s="98"/>
      <c r="FH60" s="98"/>
      <c r="FI60" s="95"/>
      <c r="FJ60" s="98"/>
      <c r="FK60" s="98"/>
      <c r="FL60" s="98"/>
      <c r="FM60" s="98"/>
      <c r="FN60" s="98"/>
      <c r="FO60" s="95"/>
      <c r="FP60" s="98"/>
      <c r="FQ60" s="98"/>
      <c r="FR60" s="98"/>
      <c r="FS60" s="98"/>
      <c r="FT60" s="98"/>
      <c r="FU60" s="95"/>
      <c r="FV60" s="98"/>
      <c r="FW60" s="98"/>
      <c r="FX60" s="98"/>
      <c r="FY60" s="98"/>
      <c r="FZ60" s="98"/>
      <c r="GA60" s="95"/>
      <c r="GB60" s="98"/>
      <c r="GC60" s="98"/>
      <c r="GD60" s="98"/>
      <c r="GE60" s="98"/>
      <c r="GF60" s="98"/>
      <c r="GG60" s="95"/>
      <c r="GH60" s="98"/>
      <c r="GI60" s="98"/>
      <c r="GJ60" s="98"/>
      <c r="GK60" s="98"/>
      <c r="GL60" s="98"/>
      <c r="GM60" s="95"/>
      <c r="GN60" s="98"/>
      <c r="GO60" s="98"/>
      <c r="GP60" s="98"/>
      <c r="GQ60" s="89"/>
      <c r="GR60" s="89"/>
      <c r="GS60" s="88"/>
      <c r="GT60" s="87"/>
      <c r="GU60" s="87"/>
      <c r="GV60" s="87"/>
      <c r="GW60" s="87"/>
      <c r="GX60" s="87"/>
      <c r="GY60" s="87"/>
      <c r="GZ60" s="88"/>
      <c r="HA60" s="87"/>
      <c r="HB60" s="87"/>
      <c r="HC60" s="87"/>
      <c r="HD60" s="87"/>
      <c r="HE60" s="87"/>
      <c r="HF60" s="87"/>
      <c r="HG60" s="87"/>
      <c r="HH60" s="87"/>
      <c r="HI60" s="87"/>
      <c r="HJ60" s="87"/>
      <c r="HK60" s="87"/>
      <c r="HL60" s="88"/>
      <c r="HM60" s="87"/>
      <c r="HN60" s="87"/>
      <c r="HO60" s="87"/>
      <c r="HP60" s="87"/>
      <c r="HQ60" s="87"/>
      <c r="HR60" s="87"/>
      <c r="HS60" s="87"/>
      <c r="HT60" s="97"/>
      <c r="HU60" s="97"/>
      <c r="HV60" s="97"/>
      <c r="HW60" s="97"/>
    </row>
    <row r="61" spans="1:231" ht="13.5" customHeight="1">
      <c r="A61" s="69"/>
      <c r="B61" s="87" t="s">
        <v>498</v>
      </c>
      <c r="C61" s="115"/>
      <c r="D61" s="110"/>
      <c r="E61" s="110"/>
      <c r="F61" s="110"/>
      <c r="G61" s="110"/>
      <c r="H61" s="110"/>
      <c r="I61" s="95">
        <v>51712.856</v>
      </c>
      <c r="J61" s="98">
        <v>24605.487000000001</v>
      </c>
      <c r="K61" s="98"/>
      <c r="L61" s="98"/>
      <c r="M61" s="98">
        <v>51136.993999999999</v>
      </c>
      <c r="N61" s="98">
        <v>-24029.625</v>
      </c>
      <c r="O61" s="95"/>
      <c r="P61" s="98"/>
      <c r="Q61" s="98"/>
      <c r="R61" s="98"/>
      <c r="S61" s="98"/>
      <c r="T61" s="98"/>
      <c r="U61" s="95"/>
      <c r="V61" s="98"/>
      <c r="W61" s="98"/>
      <c r="X61" s="98"/>
      <c r="Y61" s="98"/>
      <c r="Z61" s="98"/>
      <c r="AA61" s="95">
        <v>513.17600000000004</v>
      </c>
      <c r="AB61" s="98">
        <f t="shared" si="0"/>
        <v>110.426</v>
      </c>
      <c r="AC61" s="98">
        <v>88.869</v>
      </c>
      <c r="AD61" s="98">
        <v>21.556999999999999</v>
      </c>
      <c r="AE61" s="98">
        <v>402.75</v>
      </c>
      <c r="AF61" s="98"/>
      <c r="AG61" s="95"/>
      <c r="AH61" s="98"/>
      <c r="AI61" s="98"/>
      <c r="AJ61" s="98"/>
      <c r="AK61" s="98"/>
      <c r="AL61" s="98"/>
      <c r="AM61" s="95"/>
      <c r="AN61" s="98"/>
      <c r="AO61" s="98"/>
      <c r="AP61" s="98"/>
      <c r="AQ61" s="98"/>
      <c r="AR61" s="98"/>
      <c r="AS61" s="95"/>
      <c r="AT61" s="98"/>
      <c r="AU61" s="98"/>
      <c r="AV61" s="98"/>
      <c r="AW61" s="98"/>
      <c r="AX61" s="98"/>
      <c r="AY61" s="95"/>
      <c r="AZ61" s="98"/>
      <c r="BA61" s="98"/>
      <c r="BB61" s="98"/>
      <c r="BC61" s="98"/>
      <c r="BD61" s="98"/>
      <c r="BE61" s="95"/>
      <c r="BF61" s="98"/>
      <c r="BG61" s="98"/>
      <c r="BH61" s="98"/>
      <c r="BI61" s="98"/>
      <c r="BJ61" s="98"/>
      <c r="BK61" s="95"/>
      <c r="BL61" s="98"/>
      <c r="BM61" s="98"/>
      <c r="BN61" s="98"/>
      <c r="BO61" s="98"/>
      <c r="BP61" s="98"/>
      <c r="BQ61" s="95"/>
      <c r="BR61" s="98"/>
      <c r="BS61" s="98"/>
      <c r="BT61" s="98"/>
      <c r="BU61" s="98"/>
      <c r="BV61" s="98"/>
      <c r="BW61" s="95"/>
      <c r="BX61" s="98"/>
      <c r="BY61" s="98"/>
      <c r="BZ61" s="98"/>
      <c r="CA61" s="98"/>
      <c r="CB61" s="98"/>
      <c r="CC61" s="95"/>
      <c r="CD61" s="98"/>
      <c r="CE61" s="98"/>
      <c r="CF61" s="98"/>
      <c r="CG61" s="98"/>
      <c r="CH61" s="98"/>
      <c r="CI61" s="95"/>
      <c r="CJ61" s="98"/>
      <c r="CK61" s="98"/>
      <c r="CL61" s="98"/>
      <c r="CM61" s="98"/>
      <c r="CN61" s="98"/>
      <c r="CO61" s="95"/>
      <c r="CP61" s="98"/>
      <c r="CQ61" s="98"/>
      <c r="CR61" s="98"/>
      <c r="CS61" s="98"/>
      <c r="CT61" s="98"/>
      <c r="CU61" s="88">
        <f t="shared" si="1"/>
        <v>9650.998309999999</v>
      </c>
      <c r="CV61" s="89">
        <v>5918.5304999999998</v>
      </c>
      <c r="CW61" s="89">
        <v>5332.6587</v>
      </c>
      <c r="CX61" s="89">
        <v>585.87179999999989</v>
      </c>
      <c r="CY61" s="89">
        <v>3732.4678100000001</v>
      </c>
      <c r="CZ61" s="89"/>
      <c r="DA61" s="95"/>
      <c r="DB61" s="98"/>
      <c r="DC61" s="98"/>
      <c r="DD61" s="98"/>
      <c r="DE61" s="98"/>
      <c r="DF61" s="98"/>
      <c r="DG61" s="95">
        <v>23665.9</v>
      </c>
      <c r="DH61" s="98">
        <v>355.1</v>
      </c>
      <c r="DI61" s="98"/>
      <c r="DJ61" s="98"/>
      <c r="DK61" s="98">
        <v>27656.3</v>
      </c>
      <c r="DL61" s="98">
        <v>3635.3</v>
      </c>
      <c r="DM61" s="95"/>
      <c r="DN61" s="98"/>
      <c r="DO61" s="98"/>
      <c r="DP61" s="98"/>
      <c r="DQ61" s="98"/>
      <c r="DR61" s="98"/>
      <c r="DS61" s="95"/>
      <c r="DT61" s="98"/>
      <c r="DU61" s="98"/>
      <c r="DV61" s="98"/>
      <c r="DW61" s="98"/>
      <c r="DX61" s="98"/>
      <c r="DY61" s="95"/>
      <c r="DZ61" s="98"/>
      <c r="EA61" s="98"/>
      <c r="EB61" s="98"/>
      <c r="EC61" s="98"/>
      <c r="ED61" s="98"/>
      <c r="EE61" s="95"/>
      <c r="EF61" s="98"/>
      <c r="EG61" s="98"/>
      <c r="EH61" s="98"/>
      <c r="EI61" s="98"/>
      <c r="EJ61" s="98"/>
      <c r="EK61" s="88"/>
      <c r="EL61" s="89"/>
      <c r="EM61" s="89"/>
      <c r="EN61" s="89"/>
      <c r="EO61" s="98"/>
      <c r="EP61" s="98"/>
      <c r="EQ61" s="95"/>
      <c r="ER61" s="98"/>
      <c r="ES61" s="98"/>
      <c r="ET61" s="98"/>
      <c r="EU61" s="98"/>
      <c r="EV61" s="98"/>
      <c r="EW61" s="95"/>
      <c r="EX61" s="98"/>
      <c r="EY61" s="98"/>
      <c r="EZ61" s="98"/>
      <c r="FA61" s="98"/>
      <c r="FB61" s="98"/>
      <c r="FC61" s="95"/>
      <c r="FD61" s="98"/>
      <c r="FE61" s="98"/>
      <c r="FF61" s="98"/>
      <c r="FG61" s="98"/>
      <c r="FH61" s="98"/>
      <c r="FI61" s="95"/>
      <c r="FJ61" s="98"/>
      <c r="FK61" s="98"/>
      <c r="FL61" s="98"/>
      <c r="FM61" s="98"/>
      <c r="FN61" s="98"/>
      <c r="FO61" s="95"/>
      <c r="FP61" s="98"/>
      <c r="FQ61" s="98"/>
      <c r="FR61" s="98"/>
      <c r="FS61" s="98"/>
      <c r="FT61" s="98"/>
      <c r="FU61" s="95"/>
      <c r="FV61" s="98"/>
      <c r="FW61" s="98"/>
      <c r="FX61" s="98"/>
      <c r="FY61" s="98"/>
      <c r="FZ61" s="98"/>
      <c r="GA61" s="95"/>
      <c r="GB61" s="98"/>
      <c r="GC61" s="98"/>
      <c r="GD61" s="98"/>
      <c r="GE61" s="98"/>
      <c r="GF61" s="98"/>
      <c r="GG61" s="95"/>
      <c r="GH61" s="98"/>
      <c r="GI61" s="98"/>
      <c r="GJ61" s="98"/>
      <c r="GK61" s="98"/>
      <c r="GL61" s="98"/>
      <c r="GM61" s="95"/>
      <c r="GN61" s="98"/>
      <c r="GO61" s="98"/>
      <c r="GP61" s="98"/>
      <c r="GQ61" s="89"/>
      <c r="GR61" s="89"/>
      <c r="GS61" s="88"/>
      <c r="GT61" s="87"/>
      <c r="GU61" s="87"/>
      <c r="GV61" s="87"/>
      <c r="GW61" s="87"/>
      <c r="GX61" s="87"/>
      <c r="GY61" s="87"/>
      <c r="GZ61" s="88"/>
      <c r="HA61" s="87"/>
      <c r="HB61" s="87"/>
      <c r="HC61" s="87"/>
      <c r="HD61" s="87"/>
      <c r="HE61" s="87"/>
      <c r="HF61" s="87"/>
      <c r="HG61" s="87"/>
      <c r="HH61" s="87"/>
      <c r="HI61" s="87"/>
      <c r="HJ61" s="87"/>
      <c r="HK61" s="87"/>
      <c r="HL61" s="88"/>
      <c r="HM61" s="87"/>
      <c r="HN61" s="87"/>
      <c r="HO61" s="87"/>
      <c r="HP61" s="87"/>
      <c r="HQ61" s="87"/>
      <c r="HR61" s="87"/>
      <c r="HS61" s="87"/>
      <c r="HT61" s="111"/>
      <c r="HU61" s="111"/>
      <c r="HV61" s="111"/>
      <c r="HW61" s="111"/>
    </row>
    <row r="62" spans="1:231" ht="13.5" customHeight="1">
      <c r="A62" s="69"/>
      <c r="B62" s="87" t="s">
        <v>499</v>
      </c>
      <c r="C62" s="115"/>
      <c r="D62" s="110"/>
      <c r="E62" s="110"/>
      <c r="F62" s="110"/>
      <c r="G62" s="110"/>
      <c r="H62" s="110"/>
      <c r="I62" s="115">
        <v>52273.96</v>
      </c>
      <c r="J62" s="116">
        <v>24349.52</v>
      </c>
      <c r="K62" s="116"/>
      <c r="L62" s="116"/>
      <c r="M62" s="116">
        <v>51531.23</v>
      </c>
      <c r="N62" s="116">
        <v>-23608.79</v>
      </c>
      <c r="O62" s="117"/>
      <c r="P62" s="114"/>
      <c r="Q62" s="114"/>
      <c r="R62" s="114"/>
      <c r="S62" s="114"/>
      <c r="T62" s="114"/>
      <c r="U62" s="117"/>
      <c r="V62" s="114"/>
      <c r="W62" s="114"/>
      <c r="X62" s="114"/>
      <c r="Y62" s="114"/>
      <c r="Z62" s="114"/>
      <c r="AA62" s="115">
        <v>521.17399999999998</v>
      </c>
      <c r="AB62" s="116">
        <f t="shared" si="0"/>
        <v>110.84100000000001</v>
      </c>
      <c r="AC62" s="116">
        <v>89.304000000000002</v>
      </c>
      <c r="AD62" s="116">
        <v>21.536999999999999</v>
      </c>
      <c r="AE62" s="116">
        <v>410.33300000000003</v>
      </c>
      <c r="AF62" s="116"/>
      <c r="AG62" s="115"/>
      <c r="AH62" s="116"/>
      <c r="AI62" s="116"/>
      <c r="AJ62" s="116"/>
      <c r="AK62" s="116"/>
      <c r="AL62" s="116"/>
      <c r="AM62" s="115"/>
      <c r="AN62" s="116"/>
      <c r="AO62" s="116"/>
      <c r="AP62" s="116"/>
      <c r="AQ62" s="116"/>
      <c r="AR62" s="116"/>
      <c r="AS62" s="115"/>
      <c r="AT62" s="116"/>
      <c r="AU62" s="116"/>
      <c r="AV62" s="116"/>
      <c r="AW62" s="116"/>
      <c r="AX62" s="116"/>
      <c r="AY62" s="115"/>
      <c r="AZ62" s="116"/>
      <c r="BA62" s="116"/>
      <c r="BB62" s="116"/>
      <c r="BC62" s="116"/>
      <c r="BD62" s="116"/>
      <c r="BE62" s="115"/>
      <c r="BF62" s="116"/>
      <c r="BG62" s="116"/>
      <c r="BH62" s="116"/>
      <c r="BI62" s="116"/>
      <c r="BJ62" s="116"/>
      <c r="BK62" s="115"/>
      <c r="BL62" s="116"/>
      <c r="BM62" s="116"/>
      <c r="BN62" s="116"/>
      <c r="BO62" s="116"/>
      <c r="BP62" s="116"/>
      <c r="BQ62" s="115"/>
      <c r="BR62" s="116"/>
      <c r="BS62" s="116"/>
      <c r="BT62" s="116"/>
      <c r="BU62" s="116"/>
      <c r="BV62" s="116"/>
      <c r="BW62" s="115"/>
      <c r="BX62" s="116"/>
      <c r="BY62" s="116"/>
      <c r="BZ62" s="116"/>
      <c r="CA62" s="116"/>
      <c r="CB62" s="116"/>
      <c r="CC62" s="115"/>
      <c r="CD62" s="116"/>
      <c r="CE62" s="116"/>
      <c r="CF62" s="116"/>
      <c r="CG62" s="116"/>
      <c r="CH62" s="116"/>
      <c r="CI62" s="115"/>
      <c r="CJ62" s="116"/>
      <c r="CK62" s="116"/>
      <c r="CL62" s="116"/>
      <c r="CM62" s="116"/>
      <c r="CN62" s="116"/>
      <c r="CO62" s="115"/>
      <c r="CP62" s="116"/>
      <c r="CQ62" s="116"/>
      <c r="CR62" s="116"/>
      <c r="CS62" s="116"/>
      <c r="CT62" s="116"/>
      <c r="CU62" s="88">
        <f t="shared" si="1"/>
        <v>9586.7821899999999</v>
      </c>
      <c r="CV62" s="89">
        <v>5808.5716000000002</v>
      </c>
      <c r="CW62" s="89">
        <v>5264.6682000000001</v>
      </c>
      <c r="CX62" s="89">
        <v>543.90340000000003</v>
      </c>
      <c r="CY62" s="89">
        <v>3778.2105899999997</v>
      </c>
      <c r="CZ62" s="89"/>
      <c r="DA62" s="115"/>
      <c r="DB62" s="116"/>
      <c r="DC62" s="116"/>
      <c r="DD62" s="116"/>
      <c r="DE62" s="116"/>
      <c r="DF62" s="116"/>
      <c r="DG62" s="115">
        <v>17043.7</v>
      </c>
      <c r="DH62" s="116">
        <v>7802.2</v>
      </c>
      <c r="DI62" s="116"/>
      <c r="DJ62" s="116"/>
      <c r="DK62" s="116">
        <v>28474.1</v>
      </c>
      <c r="DL62" s="116">
        <v>3628.2</v>
      </c>
      <c r="DM62" s="115"/>
      <c r="DN62" s="116"/>
      <c r="DO62" s="116"/>
      <c r="DP62" s="98"/>
      <c r="DQ62" s="116"/>
      <c r="DR62" s="116"/>
      <c r="DS62" s="115"/>
      <c r="DT62" s="116"/>
      <c r="DU62" s="116"/>
      <c r="DV62" s="116"/>
      <c r="DW62" s="116"/>
      <c r="DX62" s="116"/>
      <c r="DY62" s="115"/>
      <c r="DZ62" s="116"/>
      <c r="EA62" s="116"/>
      <c r="EB62" s="98"/>
      <c r="EC62" s="116"/>
      <c r="ED62" s="116"/>
      <c r="EE62" s="115"/>
      <c r="EF62" s="116"/>
      <c r="EG62" s="116"/>
      <c r="EH62" s="116"/>
      <c r="EI62" s="116"/>
      <c r="EJ62" s="116"/>
      <c r="EK62" s="88"/>
      <c r="EL62" s="89"/>
      <c r="EM62" s="89"/>
      <c r="EN62" s="89"/>
      <c r="EO62" s="98"/>
      <c r="EP62" s="98"/>
      <c r="EQ62" s="95"/>
      <c r="ER62" s="98"/>
      <c r="ES62" s="98"/>
      <c r="ET62" s="98"/>
      <c r="EU62" s="98"/>
      <c r="EV62" s="98"/>
      <c r="EW62" s="95"/>
      <c r="EX62" s="98"/>
      <c r="EY62" s="98"/>
      <c r="EZ62" s="98"/>
      <c r="FA62" s="98"/>
      <c r="FB62" s="98"/>
      <c r="FC62" s="95"/>
      <c r="FD62" s="98"/>
      <c r="FE62" s="98"/>
      <c r="FF62" s="98"/>
      <c r="FG62" s="98"/>
      <c r="FH62" s="98"/>
      <c r="FI62" s="95"/>
      <c r="FJ62" s="98"/>
      <c r="FK62" s="98"/>
      <c r="FL62" s="98"/>
      <c r="FM62" s="98"/>
      <c r="FN62" s="98"/>
      <c r="FO62" s="95"/>
      <c r="FP62" s="98"/>
      <c r="FQ62" s="98"/>
      <c r="FR62" s="98"/>
      <c r="FS62" s="98"/>
      <c r="FT62" s="98"/>
      <c r="FU62" s="95"/>
      <c r="FV62" s="98"/>
      <c r="FW62" s="98"/>
      <c r="FX62" s="98"/>
      <c r="FY62" s="98"/>
      <c r="FZ62" s="98"/>
      <c r="GA62" s="95"/>
      <c r="GB62" s="98"/>
      <c r="GC62" s="98"/>
      <c r="GD62" s="98"/>
      <c r="GE62" s="98"/>
      <c r="GF62" s="98"/>
      <c r="GG62" s="95"/>
      <c r="GH62" s="98"/>
      <c r="GI62" s="98"/>
      <c r="GJ62" s="98"/>
      <c r="GK62" s="98"/>
      <c r="GL62" s="98"/>
      <c r="GM62" s="95"/>
      <c r="GN62" s="98"/>
      <c r="GO62" s="98"/>
      <c r="GP62" s="98"/>
      <c r="GQ62" s="89"/>
      <c r="GR62" s="101"/>
      <c r="GS62" s="88"/>
      <c r="GT62" s="87"/>
      <c r="GU62" s="87"/>
      <c r="GV62" s="87"/>
      <c r="GW62" s="87"/>
      <c r="GX62" s="87"/>
      <c r="GY62" s="87"/>
      <c r="GZ62" s="88"/>
      <c r="HA62" s="87"/>
      <c r="HB62" s="87"/>
      <c r="HC62" s="87"/>
      <c r="HD62" s="87"/>
      <c r="HE62" s="87"/>
      <c r="HF62" s="87"/>
      <c r="HG62" s="87"/>
      <c r="HH62" s="87"/>
      <c r="HI62" s="87"/>
      <c r="HJ62" s="87"/>
      <c r="HK62" s="87"/>
      <c r="HL62" s="88"/>
      <c r="HM62" s="87"/>
      <c r="HN62" s="87"/>
      <c r="HO62" s="87"/>
      <c r="HP62" s="87"/>
      <c r="HQ62" s="87"/>
      <c r="HR62" s="87"/>
      <c r="HS62" s="87"/>
      <c r="HT62" s="111"/>
      <c r="HU62" s="111"/>
      <c r="HV62" s="111"/>
      <c r="HW62" s="111"/>
    </row>
    <row r="63" spans="1:231" ht="13.5" customHeight="1" thickBot="1">
      <c r="A63" s="102"/>
      <c r="B63" s="105" t="s">
        <v>500</v>
      </c>
      <c r="C63" s="109"/>
      <c r="D63" s="108"/>
      <c r="E63" s="108"/>
      <c r="F63" s="108"/>
      <c r="G63" s="108"/>
      <c r="H63" s="108"/>
      <c r="I63" s="109">
        <v>51234.83600000001</v>
      </c>
      <c r="J63" s="108">
        <v>19991.66</v>
      </c>
      <c r="K63" s="108"/>
      <c r="L63" s="108"/>
      <c r="M63" s="108">
        <v>52212.444000000003</v>
      </c>
      <c r="N63" s="108">
        <v>-20969.27</v>
      </c>
      <c r="O63" s="118">
        <v>2356.1999999999998</v>
      </c>
      <c r="P63" s="119">
        <f>Q63+R63</f>
        <v>497</v>
      </c>
      <c r="Q63" s="119">
        <v>412.5</v>
      </c>
      <c r="R63" s="119">
        <v>84.5</v>
      </c>
      <c r="S63" s="119">
        <v>1859.2</v>
      </c>
      <c r="T63" s="119"/>
      <c r="U63" s="118"/>
      <c r="V63" s="119"/>
      <c r="W63" s="119"/>
      <c r="X63" s="119"/>
      <c r="Y63" s="119"/>
      <c r="Z63" s="119"/>
      <c r="AA63" s="104">
        <v>520.53800000000001</v>
      </c>
      <c r="AB63" s="105">
        <f t="shared" si="0"/>
        <v>111.92099999999999</v>
      </c>
      <c r="AC63" s="105">
        <v>90.340999999999994</v>
      </c>
      <c r="AD63" s="105">
        <v>21.58</v>
      </c>
      <c r="AE63" s="105">
        <v>408.61700000000002</v>
      </c>
      <c r="AF63" s="105"/>
      <c r="AG63" s="104">
        <v>20709.406000000003</v>
      </c>
      <c r="AH63" s="105">
        <v>6054.4120000000003</v>
      </c>
      <c r="AI63" s="105">
        <v>5145.9359999999997</v>
      </c>
      <c r="AJ63" s="105"/>
      <c r="AK63" s="105">
        <v>14654.994000000001</v>
      </c>
      <c r="AL63" s="105"/>
      <c r="AM63" s="104"/>
      <c r="AN63" s="105"/>
      <c r="AO63" s="105"/>
      <c r="AP63" s="105"/>
      <c r="AQ63" s="105"/>
      <c r="AR63" s="105"/>
      <c r="AS63" s="104"/>
      <c r="AT63" s="105"/>
      <c r="AU63" s="105"/>
      <c r="AV63" s="105"/>
      <c r="AW63" s="105"/>
      <c r="AX63" s="105"/>
      <c r="AY63" s="104"/>
      <c r="AZ63" s="105"/>
      <c r="BA63" s="105"/>
      <c r="BB63" s="105"/>
      <c r="BC63" s="105"/>
      <c r="BD63" s="105"/>
      <c r="BE63" s="104"/>
      <c r="BF63" s="105"/>
      <c r="BG63" s="105"/>
      <c r="BH63" s="105"/>
      <c r="BI63" s="105"/>
      <c r="BJ63" s="105"/>
      <c r="BK63" s="104"/>
      <c r="BL63" s="105"/>
      <c r="BM63" s="105"/>
      <c r="BN63" s="105"/>
      <c r="BO63" s="105"/>
      <c r="BP63" s="105"/>
      <c r="BQ63" s="104"/>
      <c r="BR63" s="105"/>
      <c r="BS63" s="105"/>
      <c r="BT63" s="105"/>
      <c r="BU63" s="105"/>
      <c r="BV63" s="105"/>
      <c r="BW63" s="104"/>
      <c r="BX63" s="105"/>
      <c r="BY63" s="105"/>
      <c r="BZ63" s="105"/>
      <c r="CA63" s="108"/>
      <c r="CB63" s="108"/>
      <c r="CC63" s="109"/>
      <c r="CD63" s="108"/>
      <c r="CE63" s="108"/>
      <c r="CF63" s="108"/>
      <c r="CG63" s="108"/>
      <c r="CH63" s="108"/>
      <c r="CI63" s="109"/>
      <c r="CJ63" s="108"/>
      <c r="CK63" s="108"/>
      <c r="CL63" s="108"/>
      <c r="CM63" s="108"/>
      <c r="CN63" s="108"/>
      <c r="CO63" s="104"/>
      <c r="CP63" s="105"/>
      <c r="CQ63" s="105"/>
      <c r="CR63" s="105"/>
      <c r="CS63" s="105"/>
      <c r="CT63" s="105"/>
      <c r="CU63" s="104">
        <f t="shared" si="1"/>
        <v>10106.986639999999</v>
      </c>
      <c r="CV63" s="105">
        <v>6088.2439000000004</v>
      </c>
      <c r="CW63" s="105">
        <v>5538.6339000000007</v>
      </c>
      <c r="CX63" s="105">
        <v>549.61</v>
      </c>
      <c r="CY63" s="105">
        <v>4018.7427399999997</v>
      </c>
      <c r="CZ63" s="105"/>
      <c r="DA63" s="104"/>
      <c r="DB63" s="105"/>
      <c r="DC63" s="105"/>
      <c r="DD63" s="108"/>
      <c r="DE63" s="108"/>
      <c r="DF63" s="108"/>
      <c r="DG63" s="109">
        <v>14679</v>
      </c>
      <c r="DH63" s="108">
        <v>8506.2999999999993</v>
      </c>
      <c r="DI63" s="108"/>
      <c r="DJ63" s="108"/>
      <c r="DK63" s="108">
        <v>26282</v>
      </c>
      <c r="DL63" s="108">
        <v>3096.7</v>
      </c>
      <c r="DM63" s="109"/>
      <c r="DN63" s="108"/>
      <c r="DO63" s="108"/>
      <c r="DP63" s="108"/>
      <c r="DQ63" s="105"/>
      <c r="DR63" s="105"/>
      <c r="DS63" s="104"/>
      <c r="DT63" s="105"/>
      <c r="DU63" s="105"/>
      <c r="DV63" s="105"/>
      <c r="DW63" s="105"/>
      <c r="DX63" s="105"/>
      <c r="DY63" s="104"/>
      <c r="DZ63" s="105"/>
      <c r="EA63" s="105"/>
      <c r="EB63" s="105"/>
      <c r="EC63" s="105"/>
      <c r="ED63" s="105"/>
      <c r="EE63" s="104"/>
      <c r="EF63" s="105"/>
      <c r="EG63" s="105"/>
      <c r="EH63" s="105"/>
      <c r="EI63" s="105"/>
      <c r="EJ63" s="105"/>
      <c r="EK63" s="104"/>
      <c r="EL63" s="105"/>
      <c r="EM63" s="105"/>
      <c r="EN63" s="105"/>
      <c r="EO63" s="105"/>
      <c r="EP63" s="105"/>
      <c r="EQ63" s="104"/>
      <c r="ER63" s="105"/>
      <c r="ES63" s="105"/>
      <c r="ET63" s="105"/>
      <c r="EU63" s="105"/>
      <c r="EV63" s="105"/>
      <c r="EW63" s="104"/>
      <c r="EX63" s="105"/>
      <c r="EY63" s="105"/>
      <c r="EZ63" s="105"/>
      <c r="FA63" s="105"/>
      <c r="FB63" s="105"/>
      <c r="FC63" s="104"/>
      <c r="FD63" s="105"/>
      <c r="FE63" s="105"/>
      <c r="FF63" s="105"/>
      <c r="FG63" s="105"/>
      <c r="FH63" s="105"/>
      <c r="FI63" s="104"/>
      <c r="FJ63" s="105"/>
      <c r="FK63" s="105"/>
      <c r="FL63" s="105"/>
      <c r="FM63" s="105"/>
      <c r="FN63" s="103"/>
      <c r="FO63" s="109"/>
      <c r="FP63" s="108"/>
      <c r="FQ63" s="108"/>
      <c r="FR63" s="108"/>
      <c r="FS63" s="108"/>
      <c r="FT63" s="108"/>
      <c r="FU63" s="104"/>
      <c r="FV63" s="105"/>
      <c r="FW63" s="105"/>
      <c r="FX63" s="105"/>
      <c r="FY63" s="105"/>
      <c r="FZ63" s="105"/>
      <c r="GA63" s="104"/>
      <c r="GB63" s="105"/>
      <c r="GC63" s="105"/>
      <c r="GD63" s="105"/>
      <c r="GE63" s="105"/>
      <c r="GF63" s="105"/>
      <c r="GG63" s="104"/>
      <c r="GH63" s="105"/>
      <c r="GI63" s="105"/>
      <c r="GJ63" s="105"/>
      <c r="GK63" s="105"/>
      <c r="GL63" s="105"/>
      <c r="GM63" s="104"/>
      <c r="GN63" s="105"/>
      <c r="GO63" s="105"/>
      <c r="GP63" s="105"/>
      <c r="GQ63" s="105"/>
      <c r="GR63" s="103"/>
      <c r="GS63" s="88"/>
      <c r="GT63" s="87"/>
      <c r="GU63" s="87"/>
      <c r="GV63" s="87"/>
      <c r="GW63" s="87"/>
      <c r="GX63" s="87"/>
      <c r="GY63" s="87"/>
      <c r="GZ63" s="88"/>
      <c r="HA63" s="87"/>
      <c r="HB63" s="87"/>
      <c r="HC63" s="87"/>
      <c r="HD63" s="87"/>
      <c r="HE63" s="87"/>
      <c r="HF63" s="87"/>
      <c r="HG63" s="87"/>
      <c r="HH63" s="87"/>
      <c r="HI63" s="87"/>
      <c r="HJ63" s="87"/>
      <c r="HK63" s="87"/>
      <c r="HL63" s="88"/>
      <c r="HM63" s="87"/>
      <c r="HN63" s="87"/>
      <c r="HO63" s="87"/>
      <c r="HP63" s="87"/>
      <c r="HQ63" s="87"/>
      <c r="HR63" s="87"/>
      <c r="HS63" s="87"/>
    </row>
    <row r="64" spans="1:231" ht="13.5" customHeight="1">
      <c r="A64" s="86">
        <v>1995</v>
      </c>
      <c r="B64" s="87" t="s">
        <v>489</v>
      </c>
      <c r="C64" s="115"/>
      <c r="D64" s="110"/>
      <c r="E64" s="110"/>
      <c r="F64" s="110"/>
      <c r="G64" s="110"/>
      <c r="H64" s="110"/>
      <c r="I64" s="95">
        <v>50961.775144460007</v>
      </c>
      <c r="J64" s="98">
        <v>18999.748065450003</v>
      </c>
      <c r="K64" s="98"/>
      <c r="L64" s="98"/>
      <c r="M64" s="98">
        <v>52264.767999999996</v>
      </c>
      <c r="N64" s="98">
        <v>-20302.74092099</v>
      </c>
      <c r="O64" s="99"/>
      <c r="P64" s="100"/>
      <c r="Q64" s="100"/>
      <c r="R64" s="100"/>
      <c r="S64" s="100"/>
      <c r="T64" s="100"/>
      <c r="U64" s="99"/>
      <c r="V64" s="100"/>
      <c r="W64" s="100"/>
      <c r="X64" s="100"/>
      <c r="Y64" s="98"/>
      <c r="Z64" s="98"/>
      <c r="AA64" s="95">
        <v>526.92499999999995</v>
      </c>
      <c r="AB64" s="98">
        <f t="shared" si="0"/>
        <v>115.703</v>
      </c>
      <c r="AC64" s="98">
        <v>93.465000000000003</v>
      </c>
      <c r="AD64" s="98">
        <v>22.238</v>
      </c>
      <c r="AE64" s="98">
        <v>411.22199999999998</v>
      </c>
      <c r="AF64" s="98"/>
      <c r="AG64" s="95"/>
      <c r="AH64" s="98"/>
      <c r="AI64" s="98"/>
      <c r="AJ64" s="98"/>
      <c r="AK64" s="98"/>
      <c r="AL64" s="98"/>
      <c r="AM64" s="95"/>
      <c r="AN64" s="98"/>
      <c r="AO64" s="98"/>
      <c r="AP64" s="98"/>
      <c r="AQ64" s="98"/>
      <c r="AR64" s="98"/>
      <c r="AS64" s="95"/>
      <c r="AT64" s="98"/>
      <c r="AU64" s="98"/>
      <c r="AV64" s="98"/>
      <c r="AW64" s="98"/>
      <c r="AX64" s="98"/>
      <c r="AY64" s="95"/>
      <c r="AZ64" s="98"/>
      <c r="BA64" s="98"/>
      <c r="BB64" s="98"/>
      <c r="BC64" s="98"/>
      <c r="BD64" s="98"/>
      <c r="BE64" s="95"/>
      <c r="BF64" s="98"/>
      <c r="BG64" s="98"/>
      <c r="BH64" s="98"/>
      <c r="BI64" s="98"/>
      <c r="BJ64" s="98"/>
      <c r="BK64" s="95"/>
      <c r="BL64" s="98"/>
      <c r="BM64" s="98"/>
      <c r="BN64" s="98"/>
      <c r="BO64" s="98"/>
      <c r="BP64" s="98"/>
      <c r="BQ64" s="95"/>
      <c r="BR64" s="98"/>
      <c r="BS64" s="98"/>
      <c r="BT64" s="98"/>
      <c r="BU64" s="98"/>
      <c r="BV64" s="98"/>
      <c r="BW64" s="95"/>
      <c r="BX64" s="98"/>
      <c r="BY64" s="98"/>
      <c r="BZ64" s="98"/>
      <c r="CA64" s="98"/>
      <c r="CB64" s="98"/>
      <c r="CC64" s="95"/>
      <c r="CD64" s="98"/>
      <c r="CE64" s="98"/>
      <c r="CF64" s="98"/>
      <c r="CG64" s="98"/>
      <c r="CH64" s="98"/>
      <c r="CI64" s="95"/>
      <c r="CJ64" s="98"/>
      <c r="CK64" s="98"/>
      <c r="CL64" s="98"/>
      <c r="CM64" s="98"/>
      <c r="CN64" s="98"/>
      <c r="CO64" s="95"/>
      <c r="CP64" s="98"/>
      <c r="CQ64" s="98"/>
      <c r="CR64" s="98"/>
      <c r="CS64" s="98"/>
      <c r="CT64" s="98"/>
      <c r="CU64" s="88">
        <f t="shared" si="1"/>
        <v>9822.7184000000016</v>
      </c>
      <c r="CV64" s="89">
        <v>5822.8672000000006</v>
      </c>
      <c r="CW64" s="89">
        <v>5280.7992000000004</v>
      </c>
      <c r="CX64" s="89">
        <v>542.06799999999998</v>
      </c>
      <c r="CY64" s="89">
        <v>3999.8512000000001</v>
      </c>
      <c r="CZ64" s="89"/>
      <c r="DA64" s="95"/>
      <c r="DB64" s="98"/>
      <c r="DC64" s="98"/>
      <c r="DD64" s="98"/>
      <c r="DE64" s="98"/>
      <c r="DF64" s="98"/>
      <c r="DG64" s="95">
        <v>16223.5</v>
      </c>
      <c r="DH64" s="98">
        <v>9059.5</v>
      </c>
      <c r="DI64" s="98"/>
      <c r="DJ64" s="98"/>
      <c r="DK64" s="98">
        <v>29586.9</v>
      </c>
      <c r="DL64" s="98">
        <v>4303.8999999999996</v>
      </c>
      <c r="DM64" s="95"/>
      <c r="DN64" s="98"/>
      <c r="DO64" s="98"/>
      <c r="DP64" s="98"/>
      <c r="DQ64" s="98"/>
      <c r="DR64" s="98"/>
      <c r="DS64" s="95"/>
      <c r="DT64" s="98"/>
      <c r="DU64" s="98"/>
      <c r="DV64" s="98"/>
      <c r="DW64" s="98"/>
      <c r="DX64" s="98"/>
      <c r="DY64" s="95"/>
      <c r="DZ64" s="98"/>
      <c r="EA64" s="98"/>
      <c r="EB64" s="98"/>
      <c r="EC64" s="98"/>
      <c r="ED64" s="98"/>
      <c r="EE64" s="95"/>
      <c r="EF64" s="98"/>
      <c r="EG64" s="98"/>
      <c r="EH64" s="98"/>
      <c r="EI64" s="98"/>
      <c r="EJ64" s="98"/>
      <c r="EK64" s="88">
        <v>4266632.0779999997</v>
      </c>
      <c r="EL64" s="89">
        <f>EM64+EN64</f>
        <v>694468.05699999991</v>
      </c>
      <c r="EM64" s="89">
        <v>498132.95799999987</v>
      </c>
      <c r="EN64" s="89">
        <v>196335.09900000002</v>
      </c>
      <c r="EO64" s="98">
        <v>3559379.5359999998</v>
      </c>
      <c r="EP64" s="98">
        <v>12784.485000000001</v>
      </c>
      <c r="EQ64" s="95"/>
      <c r="ER64" s="98"/>
      <c r="ES64" s="98"/>
      <c r="ET64" s="98"/>
      <c r="EU64" s="98"/>
      <c r="EV64" s="98"/>
      <c r="EW64" s="95"/>
      <c r="EX64" s="98"/>
      <c r="EY64" s="98"/>
      <c r="EZ64" s="98"/>
      <c r="FA64" s="98"/>
      <c r="FB64" s="98"/>
      <c r="FC64" s="95"/>
      <c r="FD64" s="98"/>
      <c r="FE64" s="98"/>
      <c r="FF64" s="98"/>
      <c r="FG64" s="98"/>
      <c r="FH64" s="98"/>
      <c r="FI64" s="95"/>
      <c r="FJ64" s="98"/>
      <c r="FK64" s="98"/>
      <c r="FL64" s="98"/>
      <c r="FM64" s="98"/>
      <c r="FN64" s="98"/>
      <c r="FO64" s="95"/>
      <c r="FP64" s="98"/>
      <c r="FQ64" s="98"/>
      <c r="FR64" s="98"/>
      <c r="FS64" s="98"/>
      <c r="FT64" s="98"/>
      <c r="FU64" s="95"/>
      <c r="FV64" s="98"/>
      <c r="FW64" s="98"/>
      <c r="FX64" s="98"/>
      <c r="FY64" s="98"/>
      <c r="FZ64" s="98"/>
      <c r="GA64" s="95"/>
      <c r="GB64" s="98"/>
      <c r="GC64" s="98"/>
      <c r="GD64" s="98"/>
      <c r="GE64" s="98"/>
      <c r="GF64" s="98"/>
      <c r="GG64" s="95"/>
      <c r="GH64" s="98"/>
      <c r="GI64" s="98"/>
      <c r="GJ64" s="98"/>
      <c r="GK64" s="98"/>
      <c r="GL64" s="98"/>
      <c r="GM64" s="95"/>
      <c r="GN64" s="98"/>
      <c r="GO64" s="98"/>
      <c r="GP64" s="98"/>
      <c r="GQ64" s="89"/>
      <c r="GR64" s="89"/>
      <c r="GS64" s="88"/>
      <c r="GT64" s="87"/>
      <c r="GU64" s="92"/>
      <c r="GV64" s="92"/>
      <c r="GW64" s="92"/>
      <c r="GX64" s="92"/>
      <c r="GY64" s="92"/>
      <c r="GZ64" s="95"/>
      <c r="HA64" s="92"/>
      <c r="HB64" s="92"/>
      <c r="HC64" s="92"/>
      <c r="HD64" s="92"/>
      <c r="HE64" s="92"/>
      <c r="HF64" s="87"/>
      <c r="HG64" s="87"/>
      <c r="HH64" s="87"/>
      <c r="HI64" s="87"/>
      <c r="HJ64" s="87"/>
      <c r="HK64" s="87"/>
      <c r="HL64" s="88"/>
      <c r="HM64" s="87"/>
      <c r="HN64" s="87"/>
      <c r="HO64" s="87"/>
      <c r="HP64" s="87"/>
      <c r="HQ64" s="87"/>
      <c r="HR64" s="87"/>
      <c r="HS64" s="87"/>
      <c r="HT64" s="111"/>
      <c r="HU64" s="111"/>
      <c r="HV64" s="111"/>
      <c r="HW64" s="111"/>
    </row>
    <row r="65" spans="1:231" ht="13.5" customHeight="1">
      <c r="A65" s="69"/>
      <c r="B65" s="87" t="s">
        <v>490</v>
      </c>
      <c r="C65" s="88"/>
      <c r="D65" s="87"/>
      <c r="E65" s="87"/>
      <c r="F65" s="87"/>
      <c r="G65" s="87"/>
      <c r="H65" s="87"/>
      <c r="I65" s="115">
        <v>52514.641631550003</v>
      </c>
      <c r="J65" s="116">
        <v>19621.984122599999</v>
      </c>
      <c r="K65" s="116"/>
      <c r="L65" s="116"/>
      <c r="M65" s="116">
        <v>52428.618999999999</v>
      </c>
      <c r="N65" s="116">
        <v>-19535.961491050002</v>
      </c>
      <c r="O65" s="117"/>
      <c r="P65" s="114"/>
      <c r="Q65" s="114"/>
      <c r="R65" s="114"/>
      <c r="S65" s="114"/>
      <c r="T65" s="114"/>
      <c r="U65" s="117"/>
      <c r="V65" s="114"/>
      <c r="W65" s="114"/>
      <c r="X65" s="114"/>
      <c r="Y65" s="114"/>
      <c r="Z65" s="114"/>
      <c r="AA65" s="115">
        <v>530.26499999999999</v>
      </c>
      <c r="AB65" s="116">
        <f t="shared" si="0"/>
        <v>119.60300000000001</v>
      </c>
      <c r="AC65" s="116">
        <v>97.421000000000006</v>
      </c>
      <c r="AD65" s="116">
        <v>22.181999999999999</v>
      </c>
      <c r="AE65" s="116">
        <v>410.66199999999998</v>
      </c>
      <c r="AF65" s="116"/>
      <c r="AG65" s="115"/>
      <c r="AH65" s="116"/>
      <c r="AI65" s="116"/>
      <c r="AJ65" s="116"/>
      <c r="AK65" s="116"/>
      <c r="AL65" s="116"/>
      <c r="AM65" s="115"/>
      <c r="AN65" s="116"/>
      <c r="AO65" s="116"/>
      <c r="AP65" s="116"/>
      <c r="AQ65" s="116"/>
      <c r="AR65" s="116"/>
      <c r="AS65" s="115"/>
      <c r="AT65" s="116"/>
      <c r="AU65" s="116"/>
      <c r="AV65" s="116"/>
      <c r="AW65" s="116"/>
      <c r="AX65" s="116"/>
      <c r="AY65" s="115"/>
      <c r="AZ65" s="116"/>
      <c r="BA65" s="116"/>
      <c r="BB65" s="116"/>
      <c r="BC65" s="116"/>
      <c r="BD65" s="116"/>
      <c r="BE65" s="115"/>
      <c r="BF65" s="116"/>
      <c r="BG65" s="116"/>
      <c r="BH65" s="116"/>
      <c r="BI65" s="116"/>
      <c r="BJ65" s="116"/>
      <c r="BK65" s="115"/>
      <c r="BL65" s="116"/>
      <c r="BM65" s="116"/>
      <c r="BN65" s="116"/>
      <c r="BO65" s="116"/>
      <c r="BP65" s="116"/>
      <c r="BQ65" s="115"/>
      <c r="BR65" s="116"/>
      <c r="BS65" s="116"/>
      <c r="BT65" s="116"/>
      <c r="BU65" s="116"/>
      <c r="BV65" s="116"/>
      <c r="BW65" s="115"/>
      <c r="BX65" s="116"/>
      <c r="BY65" s="116"/>
      <c r="BZ65" s="116"/>
      <c r="CA65" s="116"/>
      <c r="CB65" s="116"/>
      <c r="CC65" s="115"/>
      <c r="CD65" s="116"/>
      <c r="CE65" s="116"/>
      <c r="CF65" s="116"/>
      <c r="CG65" s="116"/>
      <c r="CH65" s="116"/>
      <c r="CI65" s="115"/>
      <c r="CJ65" s="116"/>
      <c r="CK65" s="116"/>
      <c r="CL65" s="116"/>
      <c r="CM65" s="116"/>
      <c r="CN65" s="116"/>
      <c r="CO65" s="115"/>
      <c r="CP65" s="116"/>
      <c r="CQ65" s="116"/>
      <c r="CR65" s="116"/>
      <c r="CS65" s="116"/>
      <c r="CT65" s="116"/>
      <c r="CU65" s="88">
        <f t="shared" si="1"/>
        <v>9973.3485999999994</v>
      </c>
      <c r="CV65" s="89">
        <v>5897.741</v>
      </c>
      <c r="CW65" s="89">
        <v>5359.5514999999996</v>
      </c>
      <c r="CX65" s="89">
        <v>538.18949999999995</v>
      </c>
      <c r="CY65" s="89">
        <v>4075.6075999999998</v>
      </c>
      <c r="CZ65" s="89"/>
      <c r="DA65" s="115"/>
      <c r="DB65" s="116"/>
      <c r="DC65" s="116"/>
      <c r="DD65" s="116"/>
      <c r="DE65" s="116"/>
      <c r="DF65" s="116"/>
      <c r="DG65" s="115">
        <v>18690.2</v>
      </c>
      <c r="DH65" s="116">
        <v>7806.3</v>
      </c>
      <c r="DI65" s="116"/>
      <c r="DJ65" s="116"/>
      <c r="DK65" s="116">
        <v>29931.4</v>
      </c>
      <c r="DL65" s="116">
        <v>3434.9</v>
      </c>
      <c r="DM65" s="115"/>
      <c r="DN65" s="116"/>
      <c r="DO65" s="116"/>
      <c r="DP65" s="116"/>
      <c r="DQ65" s="116"/>
      <c r="DR65" s="116"/>
      <c r="DS65" s="115"/>
      <c r="DT65" s="116"/>
      <c r="DU65" s="116"/>
      <c r="DV65" s="116"/>
      <c r="DW65" s="116"/>
      <c r="DX65" s="116"/>
      <c r="DY65" s="115"/>
      <c r="DZ65" s="116"/>
      <c r="EA65" s="116"/>
      <c r="EB65" s="116"/>
      <c r="EC65" s="116"/>
      <c r="ED65" s="116"/>
      <c r="EE65" s="115"/>
      <c r="EF65" s="116"/>
      <c r="EG65" s="116"/>
      <c r="EH65" s="116"/>
      <c r="EI65" s="116"/>
      <c r="EJ65" s="116"/>
      <c r="EK65" s="88">
        <v>4422253.6849999996</v>
      </c>
      <c r="EL65" s="89">
        <f t="shared" ref="EL65:EL128" si="2">EM65+EN65</f>
        <v>685867.67199999979</v>
      </c>
      <c r="EM65" s="89">
        <v>500031.07799999975</v>
      </c>
      <c r="EN65" s="89">
        <v>185836.59399999998</v>
      </c>
      <c r="EO65" s="98">
        <v>3722155.2080000001</v>
      </c>
      <c r="EP65" s="98">
        <v>14230.805000000002</v>
      </c>
      <c r="EQ65" s="95"/>
      <c r="ER65" s="98"/>
      <c r="ES65" s="98"/>
      <c r="ET65" s="98"/>
      <c r="EU65" s="98"/>
      <c r="EV65" s="98"/>
      <c r="EW65" s="95"/>
      <c r="EX65" s="98"/>
      <c r="EY65" s="98"/>
      <c r="EZ65" s="98"/>
      <c r="FA65" s="98"/>
      <c r="FB65" s="98"/>
      <c r="FC65" s="95"/>
      <c r="FD65" s="98"/>
      <c r="FE65" s="98"/>
      <c r="FF65" s="98"/>
      <c r="FG65" s="98"/>
      <c r="FH65" s="98"/>
      <c r="FI65" s="95"/>
      <c r="FJ65" s="98"/>
      <c r="FK65" s="98"/>
      <c r="FL65" s="98"/>
      <c r="FM65" s="98"/>
      <c r="FN65" s="98"/>
      <c r="FO65" s="95"/>
      <c r="FP65" s="98"/>
      <c r="FQ65" s="98"/>
      <c r="FR65" s="98"/>
      <c r="FS65" s="98"/>
      <c r="FT65" s="98"/>
      <c r="FU65" s="95"/>
      <c r="FV65" s="98"/>
      <c r="FW65" s="98"/>
      <c r="FX65" s="98"/>
      <c r="FY65" s="98"/>
      <c r="FZ65" s="98"/>
      <c r="GA65" s="120"/>
      <c r="GB65" s="121"/>
      <c r="GC65" s="121"/>
      <c r="GD65" s="121"/>
      <c r="GE65" s="121"/>
      <c r="GF65" s="98"/>
      <c r="GG65" s="95"/>
      <c r="GH65" s="98"/>
      <c r="GI65" s="98"/>
      <c r="GJ65" s="98"/>
      <c r="GK65" s="98"/>
      <c r="GL65" s="98"/>
      <c r="GM65" s="95"/>
      <c r="GN65" s="98"/>
      <c r="GO65" s="98"/>
      <c r="GP65" s="98"/>
      <c r="GQ65" s="89"/>
      <c r="GR65" s="89"/>
      <c r="GS65" s="88"/>
      <c r="GT65" s="87"/>
      <c r="GU65" s="87"/>
      <c r="GV65" s="87"/>
      <c r="GW65" s="87"/>
      <c r="GX65" s="87"/>
      <c r="GY65" s="87"/>
      <c r="GZ65" s="88"/>
      <c r="HA65" s="87"/>
      <c r="HB65" s="87"/>
      <c r="HC65" s="87"/>
      <c r="HD65" s="87"/>
      <c r="HE65" s="87"/>
      <c r="HF65" s="87"/>
      <c r="HG65" s="87"/>
      <c r="HH65" s="87"/>
      <c r="HI65" s="87"/>
      <c r="HJ65" s="87"/>
      <c r="HK65" s="87"/>
      <c r="HL65" s="88"/>
      <c r="HM65" s="87"/>
      <c r="HN65" s="87"/>
      <c r="HO65" s="87"/>
      <c r="HP65" s="87"/>
      <c r="HQ65" s="87"/>
      <c r="HR65" s="87"/>
      <c r="HS65" s="87"/>
    </row>
    <row r="66" spans="1:231" ht="13.5" customHeight="1">
      <c r="A66" s="69"/>
      <c r="B66" s="87" t="s">
        <v>491</v>
      </c>
      <c r="C66" s="88"/>
      <c r="D66" s="87"/>
      <c r="E66" s="87"/>
      <c r="F66" s="87"/>
      <c r="G66" s="87"/>
      <c r="H66" s="87"/>
      <c r="I66" s="88">
        <v>49969.055237530003</v>
      </c>
      <c r="J66" s="89">
        <v>19556.499761089999</v>
      </c>
      <c r="K66" s="89"/>
      <c r="L66" s="89"/>
      <c r="M66" s="89">
        <v>50963.046000000002</v>
      </c>
      <c r="N66" s="89">
        <v>-20550.490523559998</v>
      </c>
      <c r="O66" s="90"/>
      <c r="P66" s="91"/>
      <c r="Q66" s="91"/>
      <c r="R66" s="91"/>
      <c r="S66" s="91"/>
      <c r="T66" s="91"/>
      <c r="U66" s="90"/>
      <c r="V66" s="91"/>
      <c r="W66" s="91"/>
      <c r="X66" s="91"/>
      <c r="Y66" s="91"/>
      <c r="Z66" s="91"/>
      <c r="AA66" s="88">
        <v>537.65499999999997</v>
      </c>
      <c r="AB66" s="89">
        <f t="shared" si="0"/>
        <v>128.76399999999998</v>
      </c>
      <c r="AC66" s="89">
        <v>106.57299999999999</v>
      </c>
      <c r="AD66" s="89">
        <v>22.190999999999999</v>
      </c>
      <c r="AE66" s="89">
        <v>408.89100000000002</v>
      </c>
      <c r="AF66" s="89"/>
      <c r="AG66" s="88"/>
      <c r="AH66" s="89"/>
      <c r="AI66" s="89"/>
      <c r="AJ66" s="89"/>
      <c r="AK66" s="89"/>
      <c r="AL66" s="89"/>
      <c r="AM66" s="88"/>
      <c r="AN66" s="89"/>
      <c r="AO66" s="89"/>
      <c r="AP66" s="89"/>
      <c r="AQ66" s="89"/>
      <c r="AR66" s="89"/>
      <c r="AS66" s="88"/>
      <c r="AT66" s="89"/>
      <c r="AU66" s="89"/>
      <c r="AV66" s="89"/>
      <c r="AW66" s="89"/>
      <c r="AX66" s="89"/>
      <c r="AY66" s="88"/>
      <c r="AZ66" s="89"/>
      <c r="BA66" s="89"/>
      <c r="BB66" s="89"/>
      <c r="BC66" s="89"/>
      <c r="BD66" s="89"/>
      <c r="BE66" s="88"/>
      <c r="BF66" s="89"/>
      <c r="BG66" s="89"/>
      <c r="BH66" s="89"/>
      <c r="BI66" s="89"/>
      <c r="BJ66" s="89"/>
      <c r="BK66" s="88"/>
      <c r="BL66" s="89"/>
      <c r="BM66" s="89"/>
      <c r="BN66" s="89"/>
      <c r="BO66" s="89"/>
      <c r="BP66" s="89"/>
      <c r="BQ66" s="88"/>
      <c r="BR66" s="89"/>
      <c r="BS66" s="89"/>
      <c r="BT66" s="89"/>
      <c r="BU66" s="89"/>
      <c r="BV66" s="89"/>
      <c r="BW66" s="88"/>
      <c r="BX66" s="89"/>
      <c r="BY66" s="89"/>
      <c r="BZ66" s="89"/>
      <c r="CA66" s="89"/>
      <c r="CB66" s="89"/>
      <c r="CC66" s="88"/>
      <c r="CD66" s="89"/>
      <c r="CE66" s="89"/>
      <c r="CF66" s="89"/>
      <c r="CG66" s="89"/>
      <c r="CH66" s="89"/>
      <c r="CI66" s="88"/>
      <c r="CJ66" s="89"/>
      <c r="CK66" s="89"/>
      <c r="CL66" s="89"/>
      <c r="CM66" s="89"/>
      <c r="CN66" s="89"/>
      <c r="CO66" s="88"/>
      <c r="CP66" s="89"/>
      <c r="CQ66" s="89"/>
      <c r="CR66" s="89"/>
      <c r="CS66" s="89"/>
      <c r="CT66" s="89"/>
      <c r="CU66" s="88">
        <f t="shared" si="1"/>
        <v>9839.3031499999997</v>
      </c>
      <c r="CV66" s="89">
        <v>5654.5916999999999</v>
      </c>
      <c r="CW66" s="89">
        <v>5184.1944999999996</v>
      </c>
      <c r="CX66" s="89">
        <v>470.3972</v>
      </c>
      <c r="CY66" s="89">
        <v>4184.7114499999998</v>
      </c>
      <c r="CZ66" s="89"/>
      <c r="DA66" s="88"/>
      <c r="DB66" s="89"/>
      <c r="DC66" s="89"/>
      <c r="DD66" s="89"/>
      <c r="DE66" s="89"/>
      <c r="DF66" s="89"/>
      <c r="DG66" s="88">
        <v>13761.5</v>
      </c>
      <c r="DH66" s="89">
        <v>14244.7</v>
      </c>
      <c r="DI66" s="89"/>
      <c r="DJ66" s="89"/>
      <c r="DK66" s="89">
        <v>30751.3</v>
      </c>
      <c r="DL66" s="89">
        <v>2745.1</v>
      </c>
      <c r="DM66" s="88"/>
      <c r="DN66" s="89"/>
      <c r="DO66" s="89"/>
      <c r="DP66" s="89"/>
      <c r="DQ66" s="89"/>
      <c r="DR66" s="89"/>
      <c r="DS66" s="88"/>
      <c r="DT66" s="89"/>
      <c r="DU66" s="89"/>
      <c r="DV66" s="89"/>
      <c r="DW66" s="89"/>
      <c r="DX66" s="89"/>
      <c r="DY66" s="88"/>
      <c r="DZ66" s="89"/>
      <c r="EA66" s="89"/>
      <c r="EB66" s="89"/>
      <c r="EC66" s="89"/>
      <c r="ED66" s="89"/>
      <c r="EE66" s="88"/>
      <c r="EF66" s="89"/>
      <c r="EG66" s="89"/>
      <c r="EH66" s="89"/>
      <c r="EI66" s="89"/>
      <c r="EJ66" s="89"/>
      <c r="EK66" s="88">
        <v>4463879.591</v>
      </c>
      <c r="EL66" s="89">
        <f t="shared" si="2"/>
        <v>663386.79399999999</v>
      </c>
      <c r="EM66" s="89">
        <v>478155.73400000005</v>
      </c>
      <c r="EN66" s="89">
        <v>185231.06</v>
      </c>
      <c r="EO66" s="89">
        <v>3784000.3840000001</v>
      </c>
      <c r="EP66" s="89">
        <v>16492.413</v>
      </c>
      <c r="EQ66" s="88"/>
      <c r="ER66" s="89"/>
      <c r="ES66" s="89"/>
      <c r="ET66" s="89"/>
      <c r="EU66" s="89"/>
      <c r="EV66" s="89"/>
      <c r="EW66" s="88"/>
      <c r="EX66" s="89"/>
      <c r="EY66" s="89"/>
      <c r="EZ66" s="89"/>
      <c r="FA66" s="89"/>
      <c r="FB66" s="89"/>
      <c r="FC66" s="88"/>
      <c r="FD66" s="89"/>
      <c r="FE66" s="89"/>
      <c r="FF66" s="89"/>
      <c r="FG66" s="89"/>
      <c r="FH66" s="89"/>
      <c r="FI66" s="88"/>
      <c r="FJ66" s="89"/>
      <c r="FK66" s="89"/>
      <c r="FL66" s="89"/>
      <c r="FM66" s="89"/>
      <c r="FN66" s="89"/>
      <c r="FO66" s="88"/>
      <c r="FP66" s="89"/>
      <c r="FQ66" s="89"/>
      <c r="FR66" s="89"/>
      <c r="FS66" s="89"/>
      <c r="FT66" s="89"/>
      <c r="FU66" s="88"/>
      <c r="FV66" s="89"/>
      <c r="FW66" s="89"/>
      <c r="FX66" s="89"/>
      <c r="FY66" s="89"/>
      <c r="FZ66" s="89"/>
      <c r="GA66" s="120"/>
      <c r="GB66" s="121"/>
      <c r="GC66" s="121"/>
      <c r="GD66" s="121"/>
      <c r="GE66" s="121"/>
      <c r="GF66" s="89"/>
      <c r="GG66" s="88"/>
      <c r="GH66" s="89"/>
      <c r="GI66" s="89"/>
      <c r="GJ66" s="89"/>
      <c r="GK66" s="89"/>
      <c r="GL66" s="89"/>
      <c r="GM66" s="88"/>
      <c r="GN66" s="89"/>
      <c r="GO66" s="89"/>
      <c r="GP66" s="89"/>
      <c r="GQ66" s="89"/>
      <c r="GR66" s="89"/>
      <c r="GS66" s="88"/>
      <c r="GT66" s="87"/>
      <c r="GU66" s="87"/>
      <c r="GV66" s="87"/>
      <c r="GW66" s="87"/>
      <c r="GX66" s="87"/>
      <c r="GY66" s="87"/>
      <c r="GZ66" s="88"/>
      <c r="HA66" s="87"/>
      <c r="HB66" s="87"/>
      <c r="HC66" s="87"/>
      <c r="HD66" s="87"/>
      <c r="HE66" s="87"/>
      <c r="HF66" s="87"/>
      <c r="HG66" s="87"/>
      <c r="HH66" s="87"/>
      <c r="HI66" s="87"/>
      <c r="HJ66" s="87"/>
      <c r="HK66" s="87"/>
      <c r="HL66" s="88"/>
      <c r="HM66" s="87"/>
      <c r="HN66" s="87"/>
      <c r="HO66" s="87"/>
      <c r="HP66" s="87"/>
      <c r="HQ66" s="87"/>
      <c r="HR66" s="87"/>
      <c r="HS66" s="87"/>
    </row>
    <row r="67" spans="1:231" ht="13.5" customHeight="1">
      <c r="A67" s="69"/>
      <c r="B67" s="87" t="s">
        <v>492</v>
      </c>
      <c r="C67" s="88"/>
      <c r="D67" s="87"/>
      <c r="E67" s="87"/>
      <c r="F67" s="87"/>
      <c r="G67" s="87"/>
      <c r="H67" s="87"/>
      <c r="I67" s="88">
        <v>51403.629253730003</v>
      </c>
      <c r="J67" s="89">
        <v>21284.740813320001</v>
      </c>
      <c r="K67" s="89"/>
      <c r="L67" s="89"/>
      <c r="M67" s="89">
        <v>50820.217999999993</v>
      </c>
      <c r="N67" s="91">
        <v>-20701.329559590002</v>
      </c>
      <c r="O67" s="90"/>
      <c r="P67" s="91"/>
      <c r="Q67" s="91"/>
      <c r="R67" s="91"/>
      <c r="S67" s="91"/>
      <c r="T67" s="91"/>
      <c r="U67" s="90"/>
      <c r="V67" s="91"/>
      <c r="W67" s="91"/>
      <c r="X67" s="91"/>
      <c r="Y67" s="91"/>
      <c r="Z67" s="91"/>
      <c r="AA67" s="88">
        <v>542.37699999999995</v>
      </c>
      <c r="AB67" s="89">
        <f t="shared" si="0"/>
        <v>130.00800000000001</v>
      </c>
      <c r="AC67" s="89">
        <v>107.801</v>
      </c>
      <c r="AD67" s="89">
        <v>22.207000000000001</v>
      </c>
      <c r="AE67" s="89">
        <v>412.36900000000003</v>
      </c>
      <c r="AF67" s="89"/>
      <c r="AG67" s="88"/>
      <c r="AH67" s="89"/>
      <c r="AI67" s="89"/>
      <c r="AJ67" s="89"/>
      <c r="AK67" s="89"/>
      <c r="AL67" s="89"/>
      <c r="AM67" s="88"/>
      <c r="AN67" s="89"/>
      <c r="AO67" s="89"/>
      <c r="AP67" s="89"/>
      <c r="AQ67" s="89"/>
      <c r="AR67" s="89"/>
      <c r="AS67" s="88"/>
      <c r="AT67" s="89"/>
      <c r="AU67" s="89"/>
      <c r="AV67" s="89"/>
      <c r="AW67" s="89"/>
      <c r="AX67" s="89"/>
      <c r="AY67" s="88"/>
      <c r="AZ67" s="89"/>
      <c r="BA67" s="89"/>
      <c r="BB67" s="89"/>
      <c r="BC67" s="89"/>
      <c r="BD67" s="89"/>
      <c r="BE67" s="88"/>
      <c r="BF67" s="89"/>
      <c r="BG67" s="89"/>
      <c r="BH67" s="89"/>
      <c r="BI67" s="89"/>
      <c r="BJ67" s="89"/>
      <c r="BK67" s="88"/>
      <c r="BL67" s="89"/>
      <c r="BM67" s="89"/>
      <c r="BN67" s="89"/>
      <c r="BO67" s="89"/>
      <c r="BP67" s="89"/>
      <c r="BQ67" s="88"/>
      <c r="BR67" s="89"/>
      <c r="BS67" s="89"/>
      <c r="BT67" s="89"/>
      <c r="BU67" s="89"/>
      <c r="BV67" s="89"/>
      <c r="BW67" s="88"/>
      <c r="BX67" s="89"/>
      <c r="BY67" s="89"/>
      <c r="BZ67" s="89"/>
      <c r="CA67" s="89"/>
      <c r="CB67" s="89"/>
      <c r="CC67" s="88"/>
      <c r="CD67" s="89"/>
      <c r="CE67" s="89"/>
      <c r="CF67" s="89"/>
      <c r="CG67" s="89"/>
      <c r="CH67" s="89"/>
      <c r="CI67" s="88"/>
      <c r="CJ67" s="89"/>
      <c r="CK67" s="89"/>
      <c r="CL67" s="89"/>
      <c r="CM67" s="89"/>
      <c r="CN67" s="89"/>
      <c r="CO67" s="88"/>
      <c r="CP67" s="89"/>
      <c r="CQ67" s="89"/>
      <c r="CR67" s="89"/>
      <c r="CS67" s="89"/>
      <c r="CT67" s="89"/>
      <c r="CU67" s="88">
        <f t="shared" si="1"/>
        <v>9469.0112399999998</v>
      </c>
      <c r="CV67" s="89">
        <v>5115.3157000000001</v>
      </c>
      <c r="CW67" s="89">
        <v>4619.2155000000002</v>
      </c>
      <c r="CX67" s="89">
        <v>496.10019999999997</v>
      </c>
      <c r="CY67" s="89">
        <v>4353.6955400000006</v>
      </c>
      <c r="CZ67" s="89"/>
      <c r="DA67" s="88"/>
      <c r="DB67" s="89"/>
      <c r="DC67" s="89"/>
      <c r="DD67" s="89"/>
      <c r="DE67" s="89"/>
      <c r="DF67" s="89"/>
      <c r="DG67" s="88">
        <v>22991.5</v>
      </c>
      <c r="DH67" s="89">
        <v>4322</v>
      </c>
      <c r="DI67" s="89"/>
      <c r="DJ67" s="89"/>
      <c r="DK67" s="89">
        <v>30967.4</v>
      </c>
      <c r="DL67" s="89">
        <v>3653.9</v>
      </c>
      <c r="DM67" s="88"/>
      <c r="DN67" s="89"/>
      <c r="DO67" s="89"/>
      <c r="DP67" s="89"/>
      <c r="DQ67" s="89"/>
      <c r="DR67" s="89"/>
      <c r="DS67" s="88"/>
      <c r="DT67" s="89"/>
      <c r="DU67" s="89"/>
      <c r="DV67" s="89"/>
      <c r="DW67" s="89"/>
      <c r="DX67" s="89"/>
      <c r="DY67" s="88"/>
      <c r="DZ67" s="89"/>
      <c r="EA67" s="89"/>
      <c r="EB67" s="89"/>
      <c r="EC67" s="89"/>
      <c r="ED67" s="89"/>
      <c r="EE67" s="88"/>
      <c r="EF67" s="89"/>
      <c r="EG67" s="89"/>
      <c r="EH67" s="89"/>
      <c r="EI67" s="89"/>
      <c r="EJ67" s="89"/>
      <c r="EK67" s="88">
        <v>4589704.5798000004</v>
      </c>
      <c r="EL67" s="89">
        <f t="shared" si="2"/>
        <v>634132.03179999976</v>
      </c>
      <c r="EM67" s="89">
        <v>446050.90299999982</v>
      </c>
      <c r="EN67" s="89">
        <v>188081.12880000001</v>
      </c>
      <c r="EO67" s="89">
        <v>3935745.1090000006</v>
      </c>
      <c r="EP67" s="89">
        <v>19827.438999999998</v>
      </c>
      <c r="EQ67" s="88"/>
      <c r="ER67" s="89"/>
      <c r="ES67" s="89"/>
      <c r="ET67" s="89"/>
      <c r="EU67" s="89"/>
      <c r="EV67" s="89"/>
      <c r="EW67" s="88"/>
      <c r="EX67" s="89"/>
      <c r="EY67" s="89"/>
      <c r="EZ67" s="89"/>
      <c r="FA67" s="89"/>
      <c r="FB67" s="89"/>
      <c r="FC67" s="88"/>
      <c r="FD67" s="89"/>
      <c r="FE67" s="89"/>
      <c r="FF67" s="89"/>
      <c r="FG67" s="89"/>
      <c r="FH67" s="89"/>
      <c r="FI67" s="88"/>
      <c r="FJ67" s="89"/>
      <c r="FK67" s="89"/>
      <c r="FL67" s="89"/>
      <c r="FM67" s="89"/>
      <c r="FN67" s="89"/>
      <c r="FO67" s="88"/>
      <c r="FP67" s="89"/>
      <c r="FQ67" s="89"/>
      <c r="FR67" s="89"/>
      <c r="FS67" s="89"/>
      <c r="FT67" s="89"/>
      <c r="FU67" s="88"/>
      <c r="FV67" s="89"/>
      <c r="FW67" s="89"/>
      <c r="FX67" s="89"/>
      <c r="FY67" s="89"/>
      <c r="FZ67" s="89"/>
      <c r="GA67" s="120"/>
      <c r="GB67" s="121"/>
      <c r="GC67" s="121"/>
      <c r="GD67" s="121"/>
      <c r="GE67" s="121"/>
      <c r="GF67" s="89"/>
      <c r="GG67" s="88"/>
      <c r="GH67" s="89"/>
      <c r="GI67" s="89"/>
      <c r="GJ67" s="89"/>
      <c r="GK67" s="89"/>
      <c r="GL67" s="89"/>
      <c r="GM67" s="88"/>
      <c r="GN67" s="89"/>
      <c r="GO67" s="89"/>
      <c r="GP67" s="89"/>
      <c r="GQ67" s="89"/>
      <c r="GR67" s="89"/>
      <c r="GS67" s="88"/>
      <c r="GT67" s="87"/>
      <c r="GU67" s="87"/>
      <c r="GV67" s="87"/>
      <c r="GW67" s="87"/>
      <c r="GX67" s="87"/>
      <c r="GY67" s="87"/>
      <c r="GZ67" s="88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8"/>
      <c r="HM67" s="87"/>
      <c r="HN67" s="87"/>
      <c r="HO67" s="87"/>
      <c r="HP67" s="87"/>
      <c r="HQ67" s="87"/>
      <c r="HR67" s="87"/>
      <c r="HS67" s="87"/>
    </row>
    <row r="68" spans="1:231" ht="13.5" customHeight="1">
      <c r="A68" s="69"/>
      <c r="B68" s="87" t="s">
        <v>493</v>
      </c>
      <c r="C68" s="88"/>
      <c r="D68" s="87"/>
      <c r="E68" s="87"/>
      <c r="F68" s="87"/>
      <c r="G68" s="87"/>
      <c r="H68" s="87"/>
      <c r="I68" s="88">
        <v>51488.241448800014</v>
      </c>
      <c r="J68" s="89">
        <v>22843.593422860002</v>
      </c>
      <c r="K68" s="89"/>
      <c r="L68" s="89"/>
      <c r="M68" s="89">
        <v>50698.3</v>
      </c>
      <c r="N68" s="89">
        <v>-22053.651974059998</v>
      </c>
      <c r="O68" s="90"/>
      <c r="P68" s="91"/>
      <c r="Q68" s="91"/>
      <c r="R68" s="91"/>
      <c r="S68" s="91"/>
      <c r="T68" s="91"/>
      <c r="U68" s="90"/>
      <c r="V68" s="91"/>
      <c r="W68" s="91"/>
      <c r="X68" s="91"/>
      <c r="Y68" s="91"/>
      <c r="Z68" s="91"/>
      <c r="AA68" s="88">
        <v>547.04300000000001</v>
      </c>
      <c r="AB68" s="89">
        <f t="shared" si="0"/>
        <v>133.78700000000001</v>
      </c>
      <c r="AC68" s="89">
        <v>111.773</v>
      </c>
      <c r="AD68" s="89">
        <v>22.013999999999999</v>
      </c>
      <c r="AE68" s="89">
        <v>413.25599999999997</v>
      </c>
      <c r="AF68" s="89"/>
      <c r="AG68" s="88"/>
      <c r="AH68" s="89"/>
      <c r="AI68" s="89"/>
      <c r="AJ68" s="89"/>
      <c r="AK68" s="89"/>
      <c r="AL68" s="89"/>
      <c r="AM68" s="88"/>
      <c r="AN68" s="89"/>
      <c r="AO68" s="89"/>
      <c r="AP68" s="89"/>
      <c r="AQ68" s="89"/>
      <c r="AR68" s="89"/>
      <c r="AS68" s="88"/>
      <c r="AT68" s="89"/>
      <c r="AU68" s="89"/>
      <c r="AV68" s="89"/>
      <c r="AW68" s="89"/>
      <c r="AX68" s="89"/>
      <c r="AY68" s="88"/>
      <c r="AZ68" s="89"/>
      <c r="BA68" s="89"/>
      <c r="BB68" s="89"/>
      <c r="BC68" s="89"/>
      <c r="BD68" s="89"/>
      <c r="BE68" s="88"/>
      <c r="BF68" s="89"/>
      <c r="BG68" s="89"/>
      <c r="BH68" s="89"/>
      <c r="BI68" s="89"/>
      <c r="BJ68" s="89"/>
      <c r="BK68" s="88"/>
      <c r="BL68" s="89"/>
      <c r="BM68" s="89"/>
      <c r="BN68" s="89"/>
      <c r="BO68" s="89"/>
      <c r="BP68" s="89"/>
      <c r="BQ68" s="88"/>
      <c r="BR68" s="89"/>
      <c r="BS68" s="89"/>
      <c r="BT68" s="89"/>
      <c r="BU68" s="89"/>
      <c r="BV68" s="89"/>
      <c r="BW68" s="88"/>
      <c r="BX68" s="89"/>
      <c r="BY68" s="89"/>
      <c r="BZ68" s="89"/>
      <c r="CA68" s="89"/>
      <c r="CB68" s="89"/>
      <c r="CC68" s="88"/>
      <c r="CD68" s="89"/>
      <c r="CE68" s="89"/>
      <c r="CF68" s="89"/>
      <c r="CG68" s="89"/>
      <c r="CH68" s="89"/>
      <c r="CI68" s="88"/>
      <c r="CJ68" s="89"/>
      <c r="CK68" s="89"/>
      <c r="CL68" s="89"/>
      <c r="CM68" s="89"/>
      <c r="CN68" s="89"/>
      <c r="CO68" s="88"/>
      <c r="CP68" s="89"/>
      <c r="CQ68" s="89"/>
      <c r="CR68" s="89"/>
      <c r="CS68" s="89"/>
      <c r="CT68" s="89"/>
      <c r="CU68" s="88">
        <f t="shared" si="1"/>
        <v>9660.7022500000021</v>
      </c>
      <c r="CV68" s="89">
        <v>5167.9208000000008</v>
      </c>
      <c r="CW68" s="89">
        <v>4680.0155000000004</v>
      </c>
      <c r="CX68" s="89">
        <v>487.90530000000001</v>
      </c>
      <c r="CY68" s="89">
        <v>4492.7814500000004</v>
      </c>
      <c r="CZ68" s="89"/>
      <c r="DA68" s="88"/>
      <c r="DB68" s="89"/>
      <c r="DC68" s="89"/>
      <c r="DD68" s="89"/>
      <c r="DE68" s="89"/>
      <c r="DF68" s="89"/>
      <c r="DG68" s="88">
        <v>20648.900000000001</v>
      </c>
      <c r="DH68" s="89">
        <v>7755.2</v>
      </c>
      <c r="DI68" s="89"/>
      <c r="DJ68" s="89"/>
      <c r="DK68" s="89">
        <v>31958.7</v>
      </c>
      <c r="DL68" s="89">
        <v>3554.6</v>
      </c>
      <c r="DM68" s="88"/>
      <c r="DN68" s="89"/>
      <c r="DO68" s="89"/>
      <c r="DP68" s="89"/>
      <c r="DQ68" s="89"/>
      <c r="DR68" s="89"/>
      <c r="DS68" s="88"/>
      <c r="DT68" s="89"/>
      <c r="DU68" s="89"/>
      <c r="DV68" s="89"/>
      <c r="DW68" s="89"/>
      <c r="DX68" s="89"/>
      <c r="DY68" s="88"/>
      <c r="DZ68" s="89"/>
      <c r="EA68" s="89"/>
      <c r="EB68" s="89"/>
      <c r="EC68" s="89"/>
      <c r="ED68" s="89"/>
      <c r="EE68" s="88"/>
      <c r="EF68" s="89"/>
      <c r="EG68" s="89"/>
      <c r="EH68" s="89"/>
      <c r="EI68" s="89"/>
      <c r="EJ68" s="89"/>
      <c r="EK68" s="88">
        <v>4364279.1297000004</v>
      </c>
      <c r="EL68" s="89">
        <f t="shared" si="2"/>
        <v>466187.79500000004</v>
      </c>
      <c r="EM68" s="89">
        <v>274504.74800000002</v>
      </c>
      <c r="EN68" s="89">
        <v>191683.04700000002</v>
      </c>
      <c r="EO68" s="89">
        <v>3877271.3447000002</v>
      </c>
      <c r="EP68" s="89">
        <v>20819.990000000005</v>
      </c>
      <c r="EQ68" s="88"/>
      <c r="ER68" s="89"/>
      <c r="ES68" s="89"/>
      <c r="ET68" s="89"/>
      <c r="EU68" s="89"/>
      <c r="EV68" s="89"/>
      <c r="EW68" s="88"/>
      <c r="EX68" s="89"/>
      <c r="EY68" s="89"/>
      <c r="EZ68" s="89"/>
      <c r="FA68" s="89"/>
      <c r="FB68" s="89"/>
      <c r="FC68" s="88"/>
      <c r="FD68" s="89"/>
      <c r="FE68" s="89"/>
      <c r="FF68" s="89"/>
      <c r="FG68" s="89"/>
      <c r="FH68" s="89"/>
      <c r="FI68" s="88"/>
      <c r="FJ68" s="89"/>
      <c r="FK68" s="89"/>
      <c r="FL68" s="89"/>
      <c r="FM68" s="89"/>
      <c r="FN68" s="89"/>
      <c r="FO68" s="88"/>
      <c r="FP68" s="89"/>
      <c r="FQ68" s="89"/>
      <c r="FR68" s="89"/>
      <c r="FS68" s="89"/>
      <c r="FT68" s="89"/>
      <c r="FU68" s="88"/>
      <c r="FV68" s="89"/>
      <c r="FW68" s="89"/>
      <c r="FX68" s="89"/>
      <c r="FY68" s="89"/>
      <c r="FZ68" s="89"/>
      <c r="GA68" s="120"/>
      <c r="GB68" s="121"/>
      <c r="GC68" s="121"/>
      <c r="GD68" s="121"/>
      <c r="GE68" s="121"/>
      <c r="GF68" s="89"/>
      <c r="GG68" s="88"/>
      <c r="GH68" s="89"/>
      <c r="GI68" s="89"/>
      <c r="GJ68" s="89"/>
      <c r="GK68" s="89"/>
      <c r="GL68" s="89"/>
      <c r="GM68" s="88"/>
      <c r="GN68" s="89"/>
      <c r="GO68" s="89"/>
      <c r="GP68" s="89"/>
      <c r="GQ68" s="89"/>
      <c r="GR68" s="89"/>
      <c r="GS68" s="88"/>
      <c r="GT68" s="87"/>
      <c r="GU68" s="87"/>
      <c r="GV68" s="87"/>
      <c r="GW68" s="87"/>
      <c r="GX68" s="87"/>
      <c r="GY68" s="87"/>
      <c r="GZ68" s="88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8"/>
      <c r="HM68" s="87"/>
      <c r="HN68" s="87"/>
      <c r="HO68" s="87"/>
      <c r="HP68" s="87"/>
      <c r="HQ68" s="87"/>
      <c r="HR68" s="87"/>
      <c r="HS68" s="87"/>
    </row>
    <row r="69" spans="1:231" ht="13.5" customHeight="1">
      <c r="A69" s="69"/>
      <c r="B69" s="87" t="s">
        <v>494</v>
      </c>
      <c r="C69" s="88"/>
      <c r="D69" s="87"/>
      <c r="E69" s="87"/>
      <c r="F69" s="87"/>
      <c r="G69" s="87"/>
      <c r="H69" s="87"/>
      <c r="I69" s="88">
        <v>51550.833451009988</v>
      </c>
      <c r="J69" s="89">
        <v>22587.017524209998</v>
      </c>
      <c r="K69" s="89"/>
      <c r="L69" s="89"/>
      <c r="M69" s="89">
        <v>50592.187999999995</v>
      </c>
      <c r="N69" s="89">
        <v>-21628.3720732</v>
      </c>
      <c r="O69" s="90"/>
      <c r="P69" s="91"/>
      <c r="Q69" s="91"/>
      <c r="R69" s="91"/>
      <c r="S69" s="91"/>
      <c r="T69" s="91"/>
      <c r="U69" s="90"/>
      <c r="V69" s="91"/>
      <c r="W69" s="91"/>
      <c r="X69" s="91"/>
      <c r="Y69" s="91"/>
      <c r="Z69" s="91"/>
      <c r="AA69" s="88">
        <v>550.43799999999999</v>
      </c>
      <c r="AB69" s="89">
        <f t="shared" ref="AB69:AB132" si="3">AC69+AD69</f>
        <v>132.648</v>
      </c>
      <c r="AC69" s="89">
        <v>110.569</v>
      </c>
      <c r="AD69" s="89">
        <v>22.079000000000001</v>
      </c>
      <c r="AE69" s="89">
        <v>417.79</v>
      </c>
      <c r="AF69" s="89"/>
      <c r="AG69" s="88"/>
      <c r="AH69" s="89"/>
      <c r="AI69" s="89"/>
      <c r="AJ69" s="89"/>
      <c r="AK69" s="89"/>
      <c r="AL69" s="89"/>
      <c r="AM69" s="88"/>
      <c r="AN69" s="89"/>
      <c r="AO69" s="89"/>
      <c r="AP69" s="89"/>
      <c r="AQ69" s="89"/>
      <c r="AR69" s="89"/>
      <c r="AS69" s="88"/>
      <c r="AT69" s="89"/>
      <c r="AU69" s="89"/>
      <c r="AV69" s="89"/>
      <c r="AW69" s="89"/>
      <c r="AX69" s="89"/>
      <c r="AY69" s="88"/>
      <c r="AZ69" s="89"/>
      <c r="BA69" s="89"/>
      <c r="BB69" s="89"/>
      <c r="BC69" s="89"/>
      <c r="BD69" s="89"/>
      <c r="BE69" s="88"/>
      <c r="BF69" s="89"/>
      <c r="BG69" s="89"/>
      <c r="BH69" s="89"/>
      <c r="BI69" s="89"/>
      <c r="BJ69" s="89"/>
      <c r="BK69" s="88"/>
      <c r="BL69" s="89"/>
      <c r="BM69" s="89"/>
      <c r="BN69" s="89"/>
      <c r="BO69" s="89"/>
      <c r="BP69" s="89"/>
      <c r="BQ69" s="88"/>
      <c r="BR69" s="89"/>
      <c r="BS69" s="89"/>
      <c r="BT69" s="89"/>
      <c r="BU69" s="89"/>
      <c r="BV69" s="89"/>
      <c r="BW69" s="88"/>
      <c r="BX69" s="89"/>
      <c r="BY69" s="89"/>
      <c r="BZ69" s="89"/>
      <c r="CA69" s="89"/>
      <c r="CB69" s="89"/>
      <c r="CC69" s="88"/>
      <c r="CD69" s="89"/>
      <c r="CE69" s="89"/>
      <c r="CF69" s="89"/>
      <c r="CG69" s="89"/>
      <c r="CH69" s="89"/>
      <c r="CI69" s="88"/>
      <c r="CJ69" s="89"/>
      <c r="CK69" s="89"/>
      <c r="CL69" s="89"/>
      <c r="CM69" s="89"/>
      <c r="CN69" s="89"/>
      <c r="CO69" s="88"/>
      <c r="CP69" s="89"/>
      <c r="CQ69" s="89"/>
      <c r="CR69" s="89"/>
      <c r="CS69" s="89"/>
      <c r="CT69" s="89"/>
      <c r="CU69" s="88">
        <f t="shared" ref="CU69:CU132" si="4">CV69+CY69</f>
        <v>9739.7611500000021</v>
      </c>
      <c r="CV69" s="89">
        <v>5114.1272000000008</v>
      </c>
      <c r="CW69" s="89">
        <v>4576.5939000000008</v>
      </c>
      <c r="CX69" s="89">
        <v>537.53329999999994</v>
      </c>
      <c r="CY69" s="89">
        <v>4625.6339500000004</v>
      </c>
      <c r="CZ69" s="89"/>
      <c r="DA69" s="88"/>
      <c r="DB69" s="89"/>
      <c r="DC69" s="89"/>
      <c r="DD69" s="89"/>
      <c r="DE69" s="89"/>
      <c r="DF69" s="89"/>
      <c r="DG69" s="88">
        <v>21975.3</v>
      </c>
      <c r="DH69" s="89">
        <v>8471.7000000000007</v>
      </c>
      <c r="DI69" s="89"/>
      <c r="DJ69" s="89"/>
      <c r="DK69" s="89">
        <v>33468.5</v>
      </c>
      <c r="DL69" s="89">
        <v>3021.5</v>
      </c>
      <c r="DM69" s="88"/>
      <c r="DN69" s="89"/>
      <c r="DO69" s="89"/>
      <c r="DP69" s="89"/>
      <c r="DQ69" s="89"/>
      <c r="DR69" s="89"/>
      <c r="DS69" s="88"/>
      <c r="DT69" s="89"/>
      <c r="DU69" s="89"/>
      <c r="DV69" s="89"/>
      <c r="DW69" s="89"/>
      <c r="DX69" s="89"/>
      <c r="DY69" s="88"/>
      <c r="DZ69" s="89"/>
      <c r="EA69" s="89"/>
      <c r="EB69" s="89"/>
      <c r="EC69" s="89"/>
      <c r="ED69" s="89"/>
      <c r="EE69" s="88"/>
      <c r="EF69" s="89"/>
      <c r="EG69" s="89"/>
      <c r="EH69" s="89"/>
      <c r="EI69" s="89"/>
      <c r="EJ69" s="89"/>
      <c r="EK69" s="88">
        <v>4394710.2175000003</v>
      </c>
      <c r="EL69" s="89">
        <f t="shared" si="2"/>
        <v>285355.12550000002</v>
      </c>
      <c r="EM69" s="89">
        <v>209517.61800000002</v>
      </c>
      <c r="EN69" s="89">
        <v>75837.507500000022</v>
      </c>
      <c r="EO69" s="89">
        <v>4082416.1469999999</v>
      </c>
      <c r="EP69" s="89">
        <v>26938.945</v>
      </c>
      <c r="EQ69" s="88"/>
      <c r="ER69" s="89"/>
      <c r="ES69" s="89"/>
      <c r="ET69" s="89"/>
      <c r="EU69" s="89"/>
      <c r="EV69" s="89"/>
      <c r="EW69" s="88"/>
      <c r="EX69" s="89"/>
      <c r="EY69" s="89"/>
      <c r="EZ69" s="89"/>
      <c r="FA69" s="89"/>
      <c r="FB69" s="89"/>
      <c r="FC69" s="88"/>
      <c r="FD69" s="89"/>
      <c r="FE69" s="89"/>
      <c r="FF69" s="89"/>
      <c r="FG69" s="89"/>
      <c r="FH69" s="89"/>
      <c r="FI69" s="88"/>
      <c r="FJ69" s="89"/>
      <c r="FK69" s="89"/>
      <c r="FL69" s="89"/>
      <c r="FM69" s="89"/>
      <c r="FN69" s="89"/>
      <c r="FO69" s="88"/>
      <c r="FP69" s="89"/>
      <c r="FQ69" s="89"/>
      <c r="FR69" s="89"/>
      <c r="FS69" s="89"/>
      <c r="FT69" s="89"/>
      <c r="FU69" s="88"/>
      <c r="FV69" s="89"/>
      <c r="FW69" s="89"/>
      <c r="FX69" s="89"/>
      <c r="FY69" s="89"/>
      <c r="FZ69" s="89"/>
      <c r="GA69" s="120"/>
      <c r="GB69" s="121"/>
      <c r="GC69" s="121"/>
      <c r="GD69" s="121"/>
      <c r="GE69" s="121"/>
      <c r="GF69" s="89"/>
      <c r="GG69" s="88"/>
      <c r="GH69" s="89"/>
      <c r="GI69" s="89"/>
      <c r="GJ69" s="89"/>
      <c r="GK69" s="89"/>
      <c r="GL69" s="89"/>
      <c r="GM69" s="88"/>
      <c r="GN69" s="89"/>
      <c r="GO69" s="89"/>
      <c r="GP69" s="89"/>
      <c r="GQ69" s="89"/>
      <c r="GR69" s="89"/>
      <c r="GS69" s="88"/>
      <c r="GT69" s="87"/>
      <c r="GU69" s="87"/>
      <c r="GV69" s="87"/>
      <c r="GW69" s="87"/>
      <c r="GX69" s="87"/>
      <c r="GY69" s="87"/>
      <c r="GZ69" s="88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8"/>
      <c r="HM69" s="87"/>
      <c r="HN69" s="87"/>
      <c r="HO69" s="87"/>
      <c r="HP69" s="87"/>
      <c r="HQ69" s="87"/>
      <c r="HR69" s="87"/>
      <c r="HS69" s="87"/>
    </row>
    <row r="70" spans="1:231" ht="13.5" customHeight="1">
      <c r="A70" s="69"/>
      <c r="B70" s="87" t="s">
        <v>495</v>
      </c>
      <c r="C70" s="88"/>
      <c r="D70" s="87"/>
      <c r="E70" s="87"/>
      <c r="F70" s="87"/>
      <c r="G70" s="87"/>
      <c r="H70" s="87"/>
      <c r="I70" s="88">
        <v>50960.938705189998</v>
      </c>
      <c r="J70" s="89">
        <v>22911.793301189999</v>
      </c>
      <c r="K70" s="89"/>
      <c r="L70" s="89"/>
      <c r="M70" s="89">
        <v>50223.308999999994</v>
      </c>
      <c r="N70" s="89">
        <v>-22174.163596000002</v>
      </c>
      <c r="O70" s="90"/>
      <c r="P70" s="91"/>
      <c r="Q70" s="91"/>
      <c r="R70" s="91"/>
      <c r="S70" s="91"/>
      <c r="T70" s="91"/>
      <c r="U70" s="90"/>
      <c r="V70" s="91"/>
      <c r="W70" s="91"/>
      <c r="X70" s="91"/>
      <c r="Y70" s="91"/>
      <c r="Z70" s="91"/>
      <c r="AA70" s="88">
        <v>549.23</v>
      </c>
      <c r="AB70" s="89">
        <f t="shared" si="3"/>
        <v>132.69299999999998</v>
      </c>
      <c r="AC70" s="89">
        <v>110.59699999999999</v>
      </c>
      <c r="AD70" s="89">
        <v>22.096</v>
      </c>
      <c r="AE70" s="89">
        <v>416.53699999999998</v>
      </c>
      <c r="AF70" s="89"/>
      <c r="AG70" s="88"/>
      <c r="AH70" s="89"/>
      <c r="AI70" s="89"/>
      <c r="AJ70" s="89"/>
      <c r="AK70" s="89"/>
      <c r="AL70" s="89"/>
      <c r="AM70" s="88"/>
      <c r="AN70" s="89"/>
      <c r="AO70" s="89"/>
      <c r="AP70" s="89"/>
      <c r="AQ70" s="89"/>
      <c r="AR70" s="89"/>
      <c r="AS70" s="88"/>
      <c r="AT70" s="89"/>
      <c r="AU70" s="89"/>
      <c r="AV70" s="89"/>
      <c r="AW70" s="89"/>
      <c r="AX70" s="89"/>
      <c r="AY70" s="88"/>
      <c r="AZ70" s="89"/>
      <c r="BA70" s="89"/>
      <c r="BB70" s="89"/>
      <c r="BC70" s="89"/>
      <c r="BD70" s="89"/>
      <c r="BE70" s="88"/>
      <c r="BF70" s="89"/>
      <c r="BG70" s="89"/>
      <c r="BH70" s="89"/>
      <c r="BI70" s="89"/>
      <c r="BJ70" s="89"/>
      <c r="BK70" s="88"/>
      <c r="BL70" s="89"/>
      <c r="BM70" s="89"/>
      <c r="BN70" s="89"/>
      <c r="BO70" s="89"/>
      <c r="BP70" s="89"/>
      <c r="BQ70" s="88"/>
      <c r="BR70" s="89"/>
      <c r="BS70" s="89"/>
      <c r="BT70" s="89"/>
      <c r="BU70" s="89"/>
      <c r="BV70" s="89"/>
      <c r="BW70" s="88"/>
      <c r="BX70" s="89"/>
      <c r="BY70" s="89"/>
      <c r="BZ70" s="89"/>
      <c r="CA70" s="89"/>
      <c r="CB70" s="89"/>
      <c r="CC70" s="88"/>
      <c r="CD70" s="89"/>
      <c r="CE70" s="89"/>
      <c r="CF70" s="89"/>
      <c r="CG70" s="89"/>
      <c r="CH70" s="89"/>
      <c r="CI70" s="88"/>
      <c r="CJ70" s="89"/>
      <c r="CK70" s="89"/>
      <c r="CL70" s="89"/>
      <c r="CM70" s="89"/>
      <c r="CN70" s="89"/>
      <c r="CO70" s="88"/>
      <c r="CP70" s="89"/>
      <c r="CQ70" s="89"/>
      <c r="CR70" s="89"/>
      <c r="CS70" s="89"/>
      <c r="CT70" s="89"/>
      <c r="CU70" s="88">
        <f t="shared" si="4"/>
        <v>9532.7243300000009</v>
      </c>
      <c r="CV70" s="89">
        <v>4997.5255999999999</v>
      </c>
      <c r="CW70" s="89">
        <v>4603.1764999999996</v>
      </c>
      <c r="CX70" s="89">
        <v>394.34909999999996</v>
      </c>
      <c r="CY70" s="89">
        <v>4535.1987300000001</v>
      </c>
      <c r="CZ70" s="89"/>
      <c r="DA70" s="88"/>
      <c r="DB70" s="89"/>
      <c r="DC70" s="89"/>
      <c r="DD70" s="89"/>
      <c r="DE70" s="89"/>
      <c r="DF70" s="89"/>
      <c r="DG70" s="88">
        <v>26897.8</v>
      </c>
      <c r="DH70" s="89">
        <v>5842.3</v>
      </c>
      <c r="DI70" s="89"/>
      <c r="DJ70" s="89"/>
      <c r="DK70" s="89">
        <v>34598.199999999997</v>
      </c>
      <c r="DL70" s="89">
        <v>1858.1</v>
      </c>
      <c r="DM70" s="88"/>
      <c r="DN70" s="89"/>
      <c r="DO70" s="89"/>
      <c r="DP70" s="89"/>
      <c r="DQ70" s="89"/>
      <c r="DR70" s="89"/>
      <c r="DS70" s="88"/>
      <c r="DT70" s="89"/>
      <c r="DU70" s="89"/>
      <c r="DV70" s="89"/>
      <c r="DW70" s="89"/>
      <c r="DX70" s="89"/>
      <c r="DY70" s="88"/>
      <c r="DZ70" s="89"/>
      <c r="EA70" s="89"/>
      <c r="EB70" s="89"/>
      <c r="EC70" s="89"/>
      <c r="ED70" s="89"/>
      <c r="EE70" s="88"/>
      <c r="EF70" s="89"/>
      <c r="EG70" s="89"/>
      <c r="EH70" s="89"/>
      <c r="EI70" s="89"/>
      <c r="EJ70" s="89"/>
      <c r="EK70" s="88">
        <v>4302301.1559999995</v>
      </c>
      <c r="EL70" s="89">
        <f t="shared" si="2"/>
        <v>203157.40799999991</v>
      </c>
      <c r="EM70" s="89">
        <v>100829.88499999989</v>
      </c>
      <c r="EN70" s="89">
        <v>102327.52300000002</v>
      </c>
      <c r="EO70" s="89">
        <v>4079806.0019999994</v>
      </c>
      <c r="EP70" s="89">
        <v>19337.745999999999</v>
      </c>
      <c r="EQ70" s="88"/>
      <c r="ER70" s="89"/>
      <c r="ES70" s="89"/>
      <c r="ET70" s="89"/>
      <c r="EU70" s="89"/>
      <c r="EV70" s="89"/>
      <c r="EW70" s="88"/>
      <c r="EX70" s="89"/>
      <c r="EY70" s="89"/>
      <c r="EZ70" s="89"/>
      <c r="FA70" s="89"/>
      <c r="FB70" s="89"/>
      <c r="FC70" s="88"/>
      <c r="FD70" s="89"/>
      <c r="FE70" s="89"/>
      <c r="FF70" s="89"/>
      <c r="FG70" s="89"/>
      <c r="FH70" s="89"/>
      <c r="FI70" s="88"/>
      <c r="FJ70" s="89"/>
      <c r="FK70" s="89"/>
      <c r="FL70" s="89"/>
      <c r="FM70" s="89"/>
      <c r="FN70" s="89"/>
      <c r="FO70" s="88"/>
      <c r="FP70" s="89"/>
      <c r="FQ70" s="89"/>
      <c r="FR70" s="89"/>
      <c r="FS70" s="89"/>
      <c r="FT70" s="89"/>
      <c r="FU70" s="88"/>
      <c r="FV70" s="89"/>
      <c r="FW70" s="89"/>
      <c r="FX70" s="89"/>
      <c r="FY70" s="89"/>
      <c r="FZ70" s="89"/>
      <c r="GA70" s="120"/>
      <c r="GB70" s="121"/>
      <c r="GC70" s="121"/>
      <c r="GD70" s="121"/>
      <c r="GE70" s="121"/>
      <c r="GF70" s="89"/>
      <c r="GG70" s="88"/>
      <c r="GH70" s="89"/>
      <c r="GI70" s="89"/>
      <c r="GJ70" s="89"/>
      <c r="GK70" s="89"/>
      <c r="GL70" s="89"/>
      <c r="GM70" s="88"/>
      <c r="GN70" s="89"/>
      <c r="GO70" s="89"/>
      <c r="GP70" s="89"/>
      <c r="GQ70" s="89"/>
      <c r="GR70" s="89"/>
      <c r="GS70" s="88"/>
      <c r="GT70" s="87"/>
      <c r="GU70" s="87"/>
      <c r="GV70" s="87"/>
      <c r="GW70" s="87"/>
      <c r="GX70" s="87"/>
      <c r="GY70" s="87"/>
      <c r="GZ70" s="88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8"/>
      <c r="HM70" s="87"/>
      <c r="HN70" s="87"/>
      <c r="HO70" s="87"/>
      <c r="HP70" s="87"/>
      <c r="HQ70" s="87"/>
      <c r="HR70" s="87"/>
      <c r="HS70" s="87"/>
    </row>
    <row r="71" spans="1:231" ht="13.5" customHeight="1">
      <c r="A71" s="69"/>
      <c r="B71" s="87" t="s">
        <v>496</v>
      </c>
      <c r="C71" s="88"/>
      <c r="D71" s="87"/>
      <c r="E71" s="87"/>
      <c r="F71" s="87"/>
      <c r="G71" s="87"/>
      <c r="H71" s="87"/>
      <c r="I71" s="88">
        <v>51670.670686400001</v>
      </c>
      <c r="J71" s="89">
        <v>23483.055379560003</v>
      </c>
      <c r="K71" s="89"/>
      <c r="L71" s="89"/>
      <c r="M71" s="89">
        <v>48870.201000000001</v>
      </c>
      <c r="N71" s="91">
        <v>-20682.585693160003</v>
      </c>
      <c r="O71" s="90"/>
      <c r="P71" s="91"/>
      <c r="Q71" s="91"/>
      <c r="R71" s="91"/>
      <c r="S71" s="91"/>
      <c r="T71" s="91"/>
      <c r="U71" s="90"/>
      <c r="V71" s="91"/>
      <c r="W71" s="91"/>
      <c r="X71" s="91"/>
      <c r="Y71" s="91"/>
      <c r="Z71" s="91"/>
      <c r="AA71" s="88">
        <v>563.98599999999999</v>
      </c>
      <c r="AB71" s="89">
        <f t="shared" si="3"/>
        <v>135.89499999999998</v>
      </c>
      <c r="AC71" s="89">
        <v>114.246</v>
      </c>
      <c r="AD71" s="89">
        <v>21.649000000000001</v>
      </c>
      <c r="AE71" s="89">
        <v>428.09100000000001</v>
      </c>
      <c r="AF71" s="89"/>
      <c r="AG71" s="88"/>
      <c r="AH71" s="89"/>
      <c r="AI71" s="89"/>
      <c r="AJ71" s="89"/>
      <c r="AK71" s="89"/>
      <c r="AL71" s="89"/>
      <c r="AM71" s="88"/>
      <c r="AN71" s="89"/>
      <c r="AO71" s="89"/>
      <c r="AP71" s="89"/>
      <c r="AQ71" s="89"/>
      <c r="AR71" s="89"/>
      <c r="AS71" s="88"/>
      <c r="AT71" s="89"/>
      <c r="AU71" s="89"/>
      <c r="AV71" s="89"/>
      <c r="AW71" s="89"/>
      <c r="AX71" s="89"/>
      <c r="AY71" s="88"/>
      <c r="AZ71" s="89"/>
      <c r="BA71" s="89"/>
      <c r="BB71" s="89"/>
      <c r="BC71" s="89"/>
      <c r="BD71" s="89"/>
      <c r="BE71" s="88"/>
      <c r="BF71" s="89"/>
      <c r="BG71" s="89"/>
      <c r="BH71" s="89"/>
      <c r="BI71" s="89"/>
      <c r="BJ71" s="89"/>
      <c r="BK71" s="88"/>
      <c r="BL71" s="89"/>
      <c r="BM71" s="89"/>
      <c r="BN71" s="89"/>
      <c r="BO71" s="89"/>
      <c r="BP71" s="89"/>
      <c r="BQ71" s="88"/>
      <c r="BR71" s="89"/>
      <c r="BS71" s="89"/>
      <c r="BT71" s="89"/>
      <c r="BU71" s="89"/>
      <c r="BV71" s="89"/>
      <c r="BW71" s="88"/>
      <c r="BX71" s="89"/>
      <c r="BY71" s="89"/>
      <c r="BZ71" s="89"/>
      <c r="CA71" s="89"/>
      <c r="CB71" s="89"/>
      <c r="CC71" s="88"/>
      <c r="CD71" s="89"/>
      <c r="CE71" s="89"/>
      <c r="CF71" s="89"/>
      <c r="CG71" s="89"/>
      <c r="CH71" s="89"/>
      <c r="CI71" s="88"/>
      <c r="CJ71" s="89"/>
      <c r="CK71" s="89"/>
      <c r="CL71" s="89"/>
      <c r="CM71" s="89"/>
      <c r="CN71" s="89"/>
      <c r="CO71" s="88"/>
      <c r="CP71" s="89"/>
      <c r="CQ71" s="89"/>
      <c r="CR71" s="89"/>
      <c r="CS71" s="89"/>
      <c r="CT71" s="89"/>
      <c r="CU71" s="88">
        <f t="shared" si="4"/>
        <v>9447.3343400000012</v>
      </c>
      <c r="CV71" s="89">
        <v>4815.4124000000002</v>
      </c>
      <c r="CW71" s="89">
        <v>4534.4355999999998</v>
      </c>
      <c r="CX71" s="89">
        <v>280.97679999999997</v>
      </c>
      <c r="CY71" s="89">
        <v>4631.9219400000002</v>
      </c>
      <c r="CZ71" s="89"/>
      <c r="DA71" s="88"/>
      <c r="DB71" s="89"/>
      <c r="DC71" s="89"/>
      <c r="DD71" s="89"/>
      <c r="DE71" s="89"/>
      <c r="DF71" s="89"/>
      <c r="DG71" s="88">
        <v>27503.8</v>
      </c>
      <c r="DH71" s="89">
        <v>7885.8</v>
      </c>
      <c r="DI71" s="89"/>
      <c r="DJ71" s="89"/>
      <c r="DK71" s="89">
        <v>36597.300000000003</v>
      </c>
      <c r="DL71" s="89">
        <v>1207.7</v>
      </c>
      <c r="DM71" s="88"/>
      <c r="DN71" s="89"/>
      <c r="DO71" s="89"/>
      <c r="DP71" s="89"/>
      <c r="DQ71" s="89"/>
      <c r="DR71" s="89"/>
      <c r="DS71" s="88"/>
      <c r="DT71" s="89"/>
      <c r="DU71" s="89"/>
      <c r="DV71" s="89"/>
      <c r="DW71" s="89"/>
      <c r="DX71" s="89"/>
      <c r="DY71" s="88"/>
      <c r="DZ71" s="89"/>
      <c r="EA71" s="89"/>
      <c r="EB71" s="89"/>
      <c r="EC71" s="89"/>
      <c r="ED71" s="89"/>
      <c r="EE71" s="88"/>
      <c r="EF71" s="89"/>
      <c r="EG71" s="89"/>
      <c r="EH71" s="89"/>
      <c r="EI71" s="89"/>
      <c r="EJ71" s="89"/>
      <c r="EK71" s="88">
        <v>4303574.8780000005</v>
      </c>
      <c r="EL71" s="89">
        <f t="shared" si="2"/>
        <v>223017.03499999989</v>
      </c>
      <c r="EM71" s="89">
        <v>140764.63799999992</v>
      </c>
      <c r="EN71" s="89">
        <v>82252.396999999968</v>
      </c>
      <c r="EO71" s="89">
        <v>4056934.7020000005</v>
      </c>
      <c r="EP71" s="89">
        <v>23623.141</v>
      </c>
      <c r="EQ71" s="88"/>
      <c r="ER71" s="89"/>
      <c r="ES71" s="89"/>
      <c r="ET71" s="89"/>
      <c r="EU71" s="89"/>
      <c r="EV71" s="89"/>
      <c r="EW71" s="88"/>
      <c r="EX71" s="89"/>
      <c r="EY71" s="89"/>
      <c r="EZ71" s="89"/>
      <c r="FA71" s="89"/>
      <c r="FB71" s="89"/>
      <c r="FC71" s="88"/>
      <c r="FD71" s="89"/>
      <c r="FE71" s="89"/>
      <c r="FF71" s="89"/>
      <c r="FG71" s="89"/>
      <c r="FH71" s="89"/>
      <c r="FI71" s="88"/>
      <c r="FJ71" s="89"/>
      <c r="FK71" s="89"/>
      <c r="FL71" s="89"/>
      <c r="FM71" s="89"/>
      <c r="FN71" s="89"/>
      <c r="FO71" s="88"/>
      <c r="FP71" s="89"/>
      <c r="FQ71" s="89"/>
      <c r="FR71" s="89"/>
      <c r="FS71" s="89"/>
      <c r="FT71" s="89"/>
      <c r="FU71" s="88"/>
      <c r="FV71" s="89"/>
      <c r="FW71" s="89"/>
      <c r="FX71" s="89"/>
      <c r="FY71" s="89"/>
      <c r="FZ71" s="89"/>
      <c r="GA71" s="120"/>
      <c r="GB71" s="121"/>
      <c r="GC71" s="121"/>
      <c r="GD71" s="121"/>
      <c r="GE71" s="121"/>
      <c r="GF71" s="89"/>
      <c r="GG71" s="88"/>
      <c r="GH71" s="89"/>
      <c r="GI71" s="89"/>
      <c r="GJ71" s="89"/>
      <c r="GK71" s="89"/>
      <c r="GL71" s="89"/>
      <c r="GM71" s="88"/>
      <c r="GN71" s="89"/>
      <c r="GO71" s="89"/>
      <c r="GP71" s="89"/>
      <c r="GQ71" s="89"/>
      <c r="GR71" s="89"/>
      <c r="GS71" s="88"/>
      <c r="GT71" s="87"/>
      <c r="GU71" s="87"/>
      <c r="GV71" s="87"/>
      <c r="GW71" s="87"/>
      <c r="GX71" s="87"/>
      <c r="GY71" s="87"/>
      <c r="GZ71" s="88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8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</row>
    <row r="72" spans="1:231" ht="13.5" customHeight="1">
      <c r="A72" s="69"/>
      <c r="B72" s="87" t="s">
        <v>497</v>
      </c>
      <c r="C72" s="88"/>
      <c r="D72" s="87"/>
      <c r="E72" s="87"/>
      <c r="F72" s="87"/>
      <c r="G72" s="87"/>
      <c r="H72" s="87"/>
      <c r="I72" s="88">
        <v>52895.589521870002</v>
      </c>
      <c r="J72" s="89">
        <v>24490.025065809998</v>
      </c>
      <c r="K72" s="89"/>
      <c r="L72" s="89"/>
      <c r="M72" s="89">
        <v>49145.759000000005</v>
      </c>
      <c r="N72" s="89">
        <v>-20740.194543940001</v>
      </c>
      <c r="O72" s="90"/>
      <c r="P72" s="91"/>
      <c r="Q72" s="91"/>
      <c r="R72" s="91"/>
      <c r="S72" s="91"/>
      <c r="T72" s="91"/>
      <c r="U72" s="90"/>
      <c r="V72" s="91"/>
      <c r="W72" s="91"/>
      <c r="X72" s="91"/>
      <c r="Y72" s="91"/>
      <c r="Z72" s="91"/>
      <c r="AA72" s="88">
        <v>561.452</v>
      </c>
      <c r="AB72" s="89">
        <f t="shared" si="3"/>
        <v>129.81399999999999</v>
      </c>
      <c r="AC72" s="89">
        <v>112.934</v>
      </c>
      <c r="AD72" s="89">
        <v>16.88</v>
      </c>
      <c r="AE72" s="89">
        <v>431.63799999999998</v>
      </c>
      <c r="AF72" s="89"/>
      <c r="AG72" s="88"/>
      <c r="AH72" s="89"/>
      <c r="AI72" s="89"/>
      <c r="AJ72" s="89"/>
      <c r="AK72" s="89"/>
      <c r="AL72" s="89"/>
      <c r="AM72" s="88"/>
      <c r="AN72" s="89"/>
      <c r="AO72" s="89"/>
      <c r="AP72" s="89"/>
      <c r="AQ72" s="89"/>
      <c r="AR72" s="89"/>
      <c r="AS72" s="88"/>
      <c r="AT72" s="89"/>
      <c r="AU72" s="89"/>
      <c r="AV72" s="89"/>
      <c r="AW72" s="89"/>
      <c r="AX72" s="89"/>
      <c r="AY72" s="88"/>
      <c r="AZ72" s="89"/>
      <c r="BA72" s="89"/>
      <c r="BB72" s="89"/>
      <c r="BC72" s="89"/>
      <c r="BD72" s="89"/>
      <c r="BE72" s="88"/>
      <c r="BF72" s="89"/>
      <c r="BG72" s="89"/>
      <c r="BH72" s="89"/>
      <c r="BI72" s="89"/>
      <c r="BJ72" s="89"/>
      <c r="BK72" s="88"/>
      <c r="BL72" s="89"/>
      <c r="BM72" s="89"/>
      <c r="BN72" s="89"/>
      <c r="BO72" s="89"/>
      <c r="BP72" s="89"/>
      <c r="BQ72" s="88"/>
      <c r="BR72" s="89"/>
      <c r="BS72" s="89"/>
      <c r="BT72" s="89"/>
      <c r="BU72" s="89"/>
      <c r="BV72" s="89"/>
      <c r="BW72" s="88"/>
      <c r="BX72" s="89"/>
      <c r="BY72" s="89"/>
      <c r="BZ72" s="89"/>
      <c r="CA72" s="89"/>
      <c r="CB72" s="89"/>
      <c r="CC72" s="88"/>
      <c r="CD72" s="89"/>
      <c r="CE72" s="89"/>
      <c r="CF72" s="89"/>
      <c r="CG72" s="89"/>
      <c r="CH72" s="89"/>
      <c r="CI72" s="88"/>
      <c r="CJ72" s="89"/>
      <c r="CK72" s="89"/>
      <c r="CL72" s="89"/>
      <c r="CM72" s="89"/>
      <c r="CN72" s="89"/>
      <c r="CO72" s="88"/>
      <c r="CP72" s="89"/>
      <c r="CQ72" s="89"/>
      <c r="CR72" s="89"/>
      <c r="CS72" s="89"/>
      <c r="CT72" s="89"/>
      <c r="CU72" s="88">
        <f t="shared" si="4"/>
        <v>9725.1450599999989</v>
      </c>
      <c r="CV72" s="89">
        <v>4956.4472999999998</v>
      </c>
      <c r="CW72" s="89">
        <v>4804.1009999999997</v>
      </c>
      <c r="CX72" s="89">
        <v>152.34629999999999</v>
      </c>
      <c r="CY72" s="89">
        <v>4768.69776</v>
      </c>
      <c r="CZ72" s="89"/>
      <c r="DA72" s="88"/>
      <c r="DB72" s="89"/>
      <c r="DC72" s="89"/>
      <c r="DD72" s="89"/>
      <c r="DE72" s="89"/>
      <c r="DF72" s="89"/>
      <c r="DG72" s="88">
        <v>26546.7</v>
      </c>
      <c r="DH72" s="89">
        <v>9748.2000000000007</v>
      </c>
      <c r="DI72" s="89"/>
      <c r="DJ72" s="89"/>
      <c r="DK72" s="89">
        <v>37901</v>
      </c>
      <c r="DL72" s="89">
        <v>1606.1</v>
      </c>
      <c r="DM72" s="88"/>
      <c r="DN72" s="89"/>
      <c r="DO72" s="89"/>
      <c r="DP72" s="89"/>
      <c r="DQ72" s="89"/>
      <c r="DR72" s="89"/>
      <c r="DS72" s="88"/>
      <c r="DT72" s="89"/>
      <c r="DU72" s="89"/>
      <c r="DV72" s="89"/>
      <c r="DW72" s="89"/>
      <c r="DX72" s="89"/>
      <c r="DY72" s="88"/>
      <c r="DZ72" s="89"/>
      <c r="EA72" s="89"/>
      <c r="EB72" s="89"/>
      <c r="EC72" s="89"/>
      <c r="ED72" s="89"/>
      <c r="EE72" s="88"/>
      <c r="EF72" s="89"/>
      <c r="EG72" s="89"/>
      <c r="EH72" s="89"/>
      <c r="EI72" s="89"/>
      <c r="EJ72" s="89"/>
      <c r="EK72" s="88">
        <v>4325901.8710000012</v>
      </c>
      <c r="EL72" s="89">
        <f t="shared" si="2"/>
        <v>191729.72900000011</v>
      </c>
      <c r="EM72" s="89">
        <v>98232.14000000013</v>
      </c>
      <c r="EN72" s="91">
        <v>93497.588999999993</v>
      </c>
      <c r="EO72" s="89">
        <v>4107450.1850000005</v>
      </c>
      <c r="EP72" s="89">
        <v>26721.957000000006</v>
      </c>
      <c r="EQ72" s="90"/>
      <c r="ER72" s="89"/>
      <c r="ES72" s="89"/>
      <c r="ET72" s="91"/>
      <c r="EU72" s="91"/>
      <c r="EV72" s="91"/>
      <c r="EW72" s="90"/>
      <c r="EX72" s="89"/>
      <c r="EY72" s="89"/>
      <c r="EZ72" s="91"/>
      <c r="FA72" s="91"/>
      <c r="FB72" s="91"/>
      <c r="FC72" s="90"/>
      <c r="FD72" s="91"/>
      <c r="FE72" s="91"/>
      <c r="FF72" s="91"/>
      <c r="FG72" s="91"/>
      <c r="FH72" s="91"/>
      <c r="FI72" s="90"/>
      <c r="FJ72" s="91"/>
      <c r="FK72" s="91"/>
      <c r="FL72" s="91"/>
      <c r="FM72" s="91"/>
      <c r="FN72" s="91"/>
      <c r="FO72" s="90"/>
      <c r="FP72" s="91"/>
      <c r="FQ72" s="91"/>
      <c r="FR72" s="91"/>
      <c r="FS72" s="91"/>
      <c r="FT72" s="91"/>
      <c r="FU72" s="90"/>
      <c r="FV72" s="91"/>
      <c r="FW72" s="91"/>
      <c r="FX72" s="91"/>
      <c r="FY72" s="91"/>
      <c r="FZ72" s="91"/>
      <c r="GA72" s="122"/>
      <c r="GB72" s="123"/>
      <c r="GC72" s="123"/>
      <c r="GD72" s="123"/>
      <c r="GE72" s="123"/>
      <c r="GF72" s="91"/>
      <c r="GG72" s="90"/>
      <c r="GH72" s="91"/>
      <c r="GI72" s="91"/>
      <c r="GJ72" s="91"/>
      <c r="GK72" s="91"/>
      <c r="GL72" s="91"/>
      <c r="GM72" s="88"/>
      <c r="GN72" s="89"/>
      <c r="GO72" s="89"/>
      <c r="GP72" s="89"/>
      <c r="GQ72" s="89"/>
      <c r="GR72" s="89"/>
      <c r="GS72" s="88"/>
      <c r="GT72" s="87"/>
      <c r="GU72" s="87"/>
      <c r="GV72" s="87"/>
      <c r="GW72" s="87"/>
      <c r="GX72" s="87"/>
      <c r="GY72" s="87"/>
      <c r="GZ72" s="88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8"/>
      <c r="HM72" s="87"/>
      <c r="HN72" s="87"/>
      <c r="HO72" s="87"/>
      <c r="HP72" s="87"/>
      <c r="HQ72" s="87"/>
      <c r="HR72" s="87"/>
      <c r="HS72" s="87"/>
    </row>
    <row r="73" spans="1:231" ht="13.5" customHeight="1">
      <c r="A73" s="69"/>
      <c r="B73" s="87" t="s">
        <v>498</v>
      </c>
      <c r="C73" s="88"/>
      <c r="D73" s="87"/>
      <c r="E73" s="87"/>
      <c r="F73" s="87"/>
      <c r="G73" s="87"/>
      <c r="H73" s="87"/>
      <c r="I73" s="88">
        <v>53188.307207970007</v>
      </c>
      <c r="J73" s="89">
        <v>24080.308513429998</v>
      </c>
      <c r="K73" s="89"/>
      <c r="L73" s="89"/>
      <c r="M73" s="89">
        <v>49636.489000000001</v>
      </c>
      <c r="N73" s="89">
        <v>-20528.49030546</v>
      </c>
      <c r="O73" s="90"/>
      <c r="P73" s="91"/>
      <c r="Q73" s="91"/>
      <c r="R73" s="91"/>
      <c r="S73" s="91"/>
      <c r="T73" s="91"/>
      <c r="U73" s="90"/>
      <c r="V73" s="91"/>
      <c r="W73" s="91"/>
      <c r="X73" s="91"/>
      <c r="Y73" s="91"/>
      <c r="Z73" s="91"/>
      <c r="AA73" s="88">
        <v>573.73599999999999</v>
      </c>
      <c r="AB73" s="89">
        <f t="shared" si="3"/>
        <v>135.92400000000001</v>
      </c>
      <c r="AC73" s="89">
        <v>119.075</v>
      </c>
      <c r="AD73" s="89">
        <v>16.849</v>
      </c>
      <c r="AE73" s="89">
        <v>437.81200000000001</v>
      </c>
      <c r="AF73" s="89"/>
      <c r="AG73" s="88"/>
      <c r="AH73" s="89"/>
      <c r="AI73" s="89"/>
      <c r="AJ73" s="89"/>
      <c r="AK73" s="89"/>
      <c r="AL73" s="89"/>
      <c r="AM73" s="88"/>
      <c r="AN73" s="89"/>
      <c r="AO73" s="89"/>
      <c r="AP73" s="89"/>
      <c r="AQ73" s="89"/>
      <c r="AR73" s="89"/>
      <c r="AS73" s="88"/>
      <c r="AT73" s="89"/>
      <c r="AU73" s="89"/>
      <c r="AV73" s="89"/>
      <c r="AW73" s="89"/>
      <c r="AX73" s="89"/>
      <c r="AY73" s="88"/>
      <c r="AZ73" s="89"/>
      <c r="BA73" s="89"/>
      <c r="BB73" s="89"/>
      <c r="BC73" s="89"/>
      <c r="BD73" s="89"/>
      <c r="BE73" s="88"/>
      <c r="BF73" s="89"/>
      <c r="BG73" s="89"/>
      <c r="BH73" s="89"/>
      <c r="BI73" s="89"/>
      <c r="BJ73" s="89"/>
      <c r="BK73" s="88"/>
      <c r="BL73" s="89"/>
      <c r="BM73" s="89"/>
      <c r="BN73" s="89"/>
      <c r="BO73" s="89"/>
      <c r="BP73" s="89"/>
      <c r="BQ73" s="88"/>
      <c r="BR73" s="89"/>
      <c r="BS73" s="89"/>
      <c r="BT73" s="89"/>
      <c r="BU73" s="89"/>
      <c r="BV73" s="89"/>
      <c r="BW73" s="88"/>
      <c r="BX73" s="89"/>
      <c r="BY73" s="89"/>
      <c r="BZ73" s="89"/>
      <c r="CA73" s="89"/>
      <c r="CB73" s="89"/>
      <c r="CC73" s="88"/>
      <c r="CD73" s="89"/>
      <c r="CE73" s="89"/>
      <c r="CF73" s="89"/>
      <c r="CG73" s="89"/>
      <c r="CH73" s="89"/>
      <c r="CI73" s="88"/>
      <c r="CJ73" s="89"/>
      <c r="CK73" s="89"/>
      <c r="CL73" s="89"/>
      <c r="CM73" s="89"/>
      <c r="CN73" s="89"/>
      <c r="CO73" s="88"/>
      <c r="CP73" s="89"/>
      <c r="CQ73" s="89"/>
      <c r="CR73" s="89"/>
      <c r="CS73" s="89"/>
      <c r="CT73" s="89"/>
      <c r="CU73" s="88">
        <f t="shared" si="4"/>
        <v>10126.27607</v>
      </c>
      <c r="CV73" s="89">
        <v>5201.8174999999992</v>
      </c>
      <c r="CW73" s="89">
        <v>5057.2425999999996</v>
      </c>
      <c r="CX73" s="89">
        <v>144.57489999999999</v>
      </c>
      <c r="CY73" s="89">
        <v>4924.4585699999998</v>
      </c>
      <c r="CZ73" s="89"/>
      <c r="DA73" s="88"/>
      <c r="DB73" s="89"/>
      <c r="DC73" s="89"/>
      <c r="DD73" s="89"/>
      <c r="DE73" s="89"/>
      <c r="DF73" s="89"/>
      <c r="DG73" s="88">
        <v>31738.3</v>
      </c>
      <c r="DH73" s="89">
        <v>3564.7</v>
      </c>
      <c r="DI73" s="89"/>
      <c r="DJ73" s="89"/>
      <c r="DK73" s="89">
        <v>38885.5</v>
      </c>
      <c r="DL73" s="89">
        <v>3582.5</v>
      </c>
      <c r="DM73" s="88"/>
      <c r="DN73" s="89"/>
      <c r="DO73" s="89"/>
      <c r="DP73" s="89"/>
      <c r="DQ73" s="89"/>
      <c r="DR73" s="89"/>
      <c r="DS73" s="88"/>
      <c r="DT73" s="89"/>
      <c r="DU73" s="89"/>
      <c r="DV73" s="89"/>
      <c r="DW73" s="89"/>
      <c r="DX73" s="89"/>
      <c r="DY73" s="88"/>
      <c r="DZ73" s="89"/>
      <c r="EA73" s="89"/>
      <c r="EB73" s="89"/>
      <c r="EC73" s="89"/>
      <c r="ED73" s="89"/>
      <c r="EE73" s="88"/>
      <c r="EF73" s="89"/>
      <c r="EG73" s="89"/>
      <c r="EH73" s="89"/>
      <c r="EI73" s="89"/>
      <c r="EJ73" s="89"/>
      <c r="EK73" s="88">
        <v>4463218.8959999997</v>
      </c>
      <c r="EL73" s="89">
        <f t="shared" si="2"/>
        <v>111574.50999999981</v>
      </c>
      <c r="EM73" s="89">
        <v>35448.796999999788</v>
      </c>
      <c r="EN73" s="89">
        <v>76125.713000000018</v>
      </c>
      <c r="EO73" s="89">
        <v>4321757.2249999996</v>
      </c>
      <c r="EP73" s="89">
        <v>29887.160999999993</v>
      </c>
      <c r="EQ73" s="88"/>
      <c r="ER73" s="89"/>
      <c r="ES73" s="89"/>
      <c r="ET73" s="89"/>
      <c r="EU73" s="89"/>
      <c r="EV73" s="89"/>
      <c r="EW73" s="88"/>
      <c r="EX73" s="89"/>
      <c r="EY73" s="89"/>
      <c r="EZ73" s="89"/>
      <c r="FA73" s="89"/>
      <c r="FB73" s="89"/>
      <c r="FC73" s="88"/>
      <c r="FD73" s="89"/>
      <c r="FE73" s="89"/>
      <c r="FF73" s="89"/>
      <c r="FG73" s="89"/>
      <c r="FH73" s="89"/>
      <c r="FI73" s="88"/>
      <c r="FJ73" s="89"/>
      <c r="FK73" s="89"/>
      <c r="FL73" s="89"/>
      <c r="FM73" s="89"/>
      <c r="FN73" s="89"/>
      <c r="FO73" s="88"/>
      <c r="FP73" s="89"/>
      <c r="FQ73" s="89"/>
      <c r="FR73" s="89"/>
      <c r="FS73" s="89"/>
      <c r="FT73" s="89"/>
      <c r="FU73" s="88"/>
      <c r="FV73" s="89"/>
      <c r="FW73" s="89"/>
      <c r="FX73" s="89"/>
      <c r="FY73" s="89"/>
      <c r="FZ73" s="89"/>
      <c r="GA73" s="120"/>
      <c r="GB73" s="121"/>
      <c r="GC73" s="121"/>
      <c r="GD73" s="121"/>
      <c r="GE73" s="121"/>
      <c r="GF73" s="89"/>
      <c r="GG73" s="88"/>
      <c r="GH73" s="89"/>
      <c r="GI73" s="89"/>
      <c r="GJ73" s="89"/>
      <c r="GK73" s="89"/>
      <c r="GL73" s="89"/>
      <c r="GM73" s="88"/>
      <c r="GN73" s="89"/>
      <c r="GO73" s="89"/>
      <c r="GP73" s="89"/>
      <c r="GQ73" s="89"/>
      <c r="GR73" s="89"/>
      <c r="GS73" s="88"/>
      <c r="GT73" s="87"/>
      <c r="GU73" s="87"/>
      <c r="GV73" s="87"/>
      <c r="GW73" s="87"/>
      <c r="GX73" s="87"/>
      <c r="GY73" s="87"/>
      <c r="GZ73" s="88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8"/>
      <c r="HM73" s="87"/>
      <c r="HN73" s="87"/>
      <c r="HO73" s="87"/>
      <c r="HP73" s="87"/>
      <c r="HQ73" s="87"/>
      <c r="HR73" s="87"/>
      <c r="HS73" s="87"/>
    </row>
    <row r="74" spans="1:231" ht="13.5" customHeight="1">
      <c r="A74" s="69"/>
      <c r="B74" s="87" t="s">
        <v>499</v>
      </c>
      <c r="C74" s="88"/>
      <c r="D74" s="87"/>
      <c r="E74" s="87"/>
      <c r="F74" s="87"/>
      <c r="G74" s="87"/>
      <c r="H74" s="87"/>
      <c r="I74" s="88">
        <v>54345.576679260004</v>
      </c>
      <c r="J74" s="89">
        <v>24993.96986352</v>
      </c>
      <c r="K74" s="89"/>
      <c r="L74" s="89"/>
      <c r="M74" s="89">
        <v>50332.964999999997</v>
      </c>
      <c r="N74" s="89">
        <v>-20981.35818426</v>
      </c>
      <c r="O74" s="90"/>
      <c r="P74" s="91"/>
      <c r="Q74" s="91"/>
      <c r="R74" s="91"/>
      <c r="S74" s="91"/>
      <c r="T74" s="91"/>
      <c r="U74" s="90"/>
      <c r="V74" s="91"/>
      <c r="W74" s="91"/>
      <c r="X74" s="91"/>
      <c r="Y74" s="91"/>
      <c r="Z74" s="91"/>
      <c r="AA74" s="88">
        <v>576.80999999999995</v>
      </c>
      <c r="AB74" s="89">
        <f t="shared" si="3"/>
        <v>133.364</v>
      </c>
      <c r="AC74" s="89">
        <v>116.032</v>
      </c>
      <c r="AD74" s="89">
        <v>17.332000000000001</v>
      </c>
      <c r="AE74" s="89">
        <v>443.44600000000003</v>
      </c>
      <c r="AF74" s="89"/>
      <c r="AG74" s="88"/>
      <c r="AH74" s="89"/>
      <c r="AI74" s="89"/>
      <c r="AJ74" s="89"/>
      <c r="AK74" s="89"/>
      <c r="AL74" s="89"/>
      <c r="AM74" s="88"/>
      <c r="AN74" s="89"/>
      <c r="AO74" s="89"/>
      <c r="AP74" s="89"/>
      <c r="AQ74" s="89"/>
      <c r="AR74" s="89"/>
      <c r="AS74" s="88"/>
      <c r="AT74" s="89"/>
      <c r="AU74" s="89"/>
      <c r="AV74" s="89"/>
      <c r="AW74" s="89"/>
      <c r="AX74" s="89"/>
      <c r="AY74" s="88"/>
      <c r="AZ74" s="89"/>
      <c r="BA74" s="89"/>
      <c r="BB74" s="89"/>
      <c r="BC74" s="89"/>
      <c r="BD74" s="89"/>
      <c r="BE74" s="88"/>
      <c r="BF74" s="89"/>
      <c r="BG74" s="89"/>
      <c r="BH74" s="89"/>
      <c r="BI74" s="89"/>
      <c r="BJ74" s="89"/>
      <c r="BK74" s="88"/>
      <c r="BL74" s="89"/>
      <c r="BM74" s="89"/>
      <c r="BN74" s="89"/>
      <c r="BO74" s="89"/>
      <c r="BP74" s="89"/>
      <c r="BQ74" s="88"/>
      <c r="BR74" s="89"/>
      <c r="BS74" s="89"/>
      <c r="BT74" s="89"/>
      <c r="BU74" s="89"/>
      <c r="BV74" s="89"/>
      <c r="BW74" s="88"/>
      <c r="BX74" s="89"/>
      <c r="BY74" s="89"/>
      <c r="BZ74" s="89"/>
      <c r="CA74" s="89"/>
      <c r="CB74" s="89"/>
      <c r="CC74" s="88"/>
      <c r="CD74" s="89"/>
      <c r="CE74" s="89"/>
      <c r="CF74" s="89"/>
      <c r="CG74" s="89"/>
      <c r="CH74" s="89"/>
      <c r="CI74" s="88"/>
      <c r="CJ74" s="89"/>
      <c r="CK74" s="89"/>
      <c r="CL74" s="89"/>
      <c r="CM74" s="89"/>
      <c r="CN74" s="89"/>
      <c r="CO74" s="88"/>
      <c r="CP74" s="89"/>
      <c r="CQ74" s="89"/>
      <c r="CR74" s="89"/>
      <c r="CS74" s="89"/>
      <c r="CT74" s="89"/>
      <c r="CU74" s="88">
        <f t="shared" si="4"/>
        <v>10615.498079999999</v>
      </c>
      <c r="CV74" s="89">
        <v>5402.9150999999993</v>
      </c>
      <c r="CW74" s="89">
        <v>5044.5582999999997</v>
      </c>
      <c r="CX74" s="89">
        <v>358.35679999999996</v>
      </c>
      <c r="CY74" s="89">
        <v>5212.5829800000001</v>
      </c>
      <c r="CZ74" s="89"/>
      <c r="DA74" s="88"/>
      <c r="DB74" s="89"/>
      <c r="DC74" s="89"/>
      <c r="DD74" s="89"/>
      <c r="DE74" s="89"/>
      <c r="DF74" s="89"/>
      <c r="DG74" s="88">
        <v>29612.9</v>
      </c>
      <c r="DH74" s="89">
        <v>7277.9</v>
      </c>
      <c r="DI74" s="89"/>
      <c r="DJ74" s="89"/>
      <c r="DK74" s="89">
        <v>40073.1</v>
      </c>
      <c r="DL74" s="89">
        <v>3182.3</v>
      </c>
      <c r="DM74" s="88"/>
      <c r="DN74" s="89"/>
      <c r="DO74" s="89"/>
      <c r="DP74" s="89"/>
      <c r="DQ74" s="89"/>
      <c r="DR74" s="89"/>
      <c r="DS74" s="88"/>
      <c r="DT74" s="89"/>
      <c r="DU74" s="89"/>
      <c r="DV74" s="89"/>
      <c r="DW74" s="89"/>
      <c r="DX74" s="89"/>
      <c r="DY74" s="88"/>
      <c r="DZ74" s="89"/>
      <c r="EA74" s="89"/>
      <c r="EB74" s="89"/>
      <c r="EC74" s="89"/>
      <c r="ED74" s="89"/>
      <c r="EE74" s="88"/>
      <c r="EF74" s="89"/>
      <c r="EG74" s="89"/>
      <c r="EH74" s="89"/>
      <c r="EI74" s="89"/>
      <c r="EJ74" s="89"/>
      <c r="EK74" s="88">
        <v>4605039.977</v>
      </c>
      <c r="EL74" s="89">
        <f t="shared" si="2"/>
        <v>137464.07199999981</v>
      </c>
      <c r="EM74" s="89">
        <v>32751.080999999773</v>
      </c>
      <c r="EN74" s="91">
        <v>104712.99100000004</v>
      </c>
      <c r="EO74" s="89">
        <v>4439188.9380000001</v>
      </c>
      <c r="EP74" s="89">
        <v>28386.967000000004</v>
      </c>
      <c r="EQ74" s="90"/>
      <c r="ER74" s="89"/>
      <c r="ES74" s="89"/>
      <c r="ET74" s="91"/>
      <c r="EU74" s="91"/>
      <c r="EV74" s="91"/>
      <c r="EW74" s="90"/>
      <c r="EX74" s="89"/>
      <c r="EY74" s="89"/>
      <c r="EZ74" s="91"/>
      <c r="FA74" s="91"/>
      <c r="FB74" s="91"/>
      <c r="FC74" s="90"/>
      <c r="FD74" s="91"/>
      <c r="FE74" s="91"/>
      <c r="FF74" s="91"/>
      <c r="FG74" s="91"/>
      <c r="FH74" s="91"/>
      <c r="FI74" s="90"/>
      <c r="FJ74" s="91"/>
      <c r="FK74" s="91"/>
      <c r="FL74" s="91"/>
      <c r="FM74" s="91"/>
      <c r="FN74" s="124"/>
      <c r="FO74" s="90"/>
      <c r="FP74" s="91"/>
      <c r="FQ74" s="91"/>
      <c r="FR74" s="91"/>
      <c r="FS74" s="91"/>
      <c r="FT74" s="91"/>
      <c r="FU74" s="90"/>
      <c r="FV74" s="91"/>
      <c r="FW74" s="91"/>
      <c r="FX74" s="91"/>
      <c r="FY74" s="91"/>
      <c r="FZ74" s="91"/>
      <c r="GA74" s="122"/>
      <c r="GB74" s="123"/>
      <c r="GC74" s="123"/>
      <c r="GD74" s="123"/>
      <c r="GE74" s="123"/>
      <c r="GF74" s="91"/>
      <c r="GG74" s="90"/>
      <c r="GH74" s="91"/>
      <c r="GI74" s="91"/>
      <c r="GJ74" s="91"/>
      <c r="GK74" s="91"/>
      <c r="GL74" s="91"/>
      <c r="GM74" s="88"/>
      <c r="GN74" s="89"/>
      <c r="GO74" s="89"/>
      <c r="GP74" s="89"/>
      <c r="GQ74" s="89"/>
      <c r="GR74" s="89"/>
      <c r="GS74" s="88"/>
      <c r="GT74" s="87"/>
      <c r="GU74" s="87"/>
      <c r="GV74" s="87"/>
      <c r="GW74" s="87"/>
      <c r="GX74" s="87"/>
      <c r="GY74" s="87"/>
      <c r="GZ74" s="88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8"/>
      <c r="HM74" s="87"/>
      <c r="HN74" s="87"/>
      <c r="HO74" s="87"/>
      <c r="HP74" s="87"/>
      <c r="HQ74" s="87"/>
      <c r="HR74" s="87"/>
      <c r="HS74" s="87"/>
    </row>
    <row r="75" spans="1:231" ht="13.5" customHeight="1" thickBot="1">
      <c r="A75" s="102"/>
      <c r="B75" s="105" t="s">
        <v>500</v>
      </c>
      <c r="C75" s="104"/>
      <c r="D75" s="105"/>
      <c r="E75" s="105"/>
      <c r="F75" s="105"/>
      <c r="G75" s="105"/>
      <c r="H75" s="105"/>
      <c r="I75" s="104">
        <v>53816.436000000002</v>
      </c>
      <c r="J75" s="105">
        <v>24547.217000000001</v>
      </c>
      <c r="K75" s="105"/>
      <c r="L75" s="105"/>
      <c r="M75" s="105">
        <v>51505.701000000001</v>
      </c>
      <c r="N75" s="105">
        <v>-22236.482</v>
      </c>
      <c r="O75" s="106">
        <v>2572.5</v>
      </c>
      <c r="P75" s="107">
        <f>Q75+R75</f>
        <v>512.4</v>
      </c>
      <c r="Q75" s="107">
        <v>424.1</v>
      </c>
      <c r="R75" s="107">
        <v>88.3</v>
      </c>
      <c r="S75" s="107">
        <v>2060.1</v>
      </c>
      <c r="T75" s="107"/>
      <c r="U75" s="106"/>
      <c r="V75" s="107"/>
      <c r="W75" s="119"/>
      <c r="X75" s="119"/>
      <c r="Y75" s="119"/>
      <c r="Z75" s="119"/>
      <c r="AA75" s="104">
        <v>583.33900000000006</v>
      </c>
      <c r="AB75" s="105">
        <f t="shared" si="3"/>
        <v>141.94</v>
      </c>
      <c r="AC75" s="105">
        <v>122.652</v>
      </c>
      <c r="AD75" s="105">
        <v>19.288</v>
      </c>
      <c r="AE75" s="105">
        <v>441.399</v>
      </c>
      <c r="AF75" s="105"/>
      <c r="AG75" s="104">
        <v>21763.407999999999</v>
      </c>
      <c r="AH75" s="105">
        <v>5116.3389999999999</v>
      </c>
      <c r="AI75" s="105">
        <v>5003.1629999999996</v>
      </c>
      <c r="AJ75" s="105"/>
      <c r="AK75" s="105">
        <v>16647.069</v>
      </c>
      <c r="AL75" s="105"/>
      <c r="AM75" s="104"/>
      <c r="AN75" s="105"/>
      <c r="AO75" s="105"/>
      <c r="AP75" s="105"/>
      <c r="AQ75" s="105"/>
      <c r="AR75" s="105"/>
      <c r="AS75" s="104"/>
      <c r="AT75" s="105"/>
      <c r="AU75" s="105"/>
      <c r="AV75" s="105"/>
      <c r="AW75" s="105"/>
      <c r="AX75" s="105"/>
      <c r="AY75" s="104"/>
      <c r="AZ75" s="105"/>
      <c r="BA75" s="105"/>
      <c r="BB75" s="105"/>
      <c r="BC75" s="105"/>
      <c r="BD75" s="105"/>
      <c r="BE75" s="104"/>
      <c r="BF75" s="105"/>
      <c r="BG75" s="105"/>
      <c r="BH75" s="105"/>
      <c r="BI75" s="105"/>
      <c r="BJ75" s="105"/>
      <c r="BK75" s="104"/>
      <c r="BL75" s="105"/>
      <c r="BM75" s="105"/>
      <c r="BN75" s="105"/>
      <c r="BO75" s="105"/>
      <c r="BP75" s="105"/>
      <c r="BQ75" s="104"/>
      <c r="BR75" s="105"/>
      <c r="BS75" s="105"/>
      <c r="BT75" s="105"/>
      <c r="BU75" s="105"/>
      <c r="BV75" s="105"/>
      <c r="BW75" s="104"/>
      <c r="BX75" s="105"/>
      <c r="BY75" s="105"/>
      <c r="BZ75" s="105"/>
      <c r="CA75" s="105"/>
      <c r="CB75" s="105"/>
      <c r="CC75" s="104"/>
      <c r="CD75" s="105"/>
      <c r="CE75" s="105"/>
      <c r="CF75" s="105"/>
      <c r="CG75" s="105"/>
      <c r="CH75" s="105"/>
      <c r="CI75" s="104"/>
      <c r="CJ75" s="105"/>
      <c r="CK75" s="105"/>
      <c r="CL75" s="105"/>
      <c r="CM75" s="105"/>
      <c r="CN75" s="105"/>
      <c r="CO75" s="104"/>
      <c r="CP75" s="105"/>
      <c r="CQ75" s="105"/>
      <c r="CR75" s="105"/>
      <c r="CS75" s="105"/>
      <c r="CT75" s="105"/>
      <c r="CU75" s="104">
        <f t="shared" si="4"/>
        <v>10900.27217</v>
      </c>
      <c r="CV75" s="105">
        <v>5345.4803999999995</v>
      </c>
      <c r="CW75" s="105">
        <v>5249.7672999999995</v>
      </c>
      <c r="CX75" s="105">
        <v>95.713099999999997</v>
      </c>
      <c r="CY75" s="105">
        <v>5554.7917699999998</v>
      </c>
      <c r="CZ75" s="105"/>
      <c r="DA75" s="104"/>
      <c r="DB75" s="105"/>
      <c r="DC75" s="105"/>
      <c r="DD75" s="108"/>
      <c r="DE75" s="108"/>
      <c r="DF75" s="108"/>
      <c r="DG75" s="109">
        <v>32456.7</v>
      </c>
      <c r="DH75" s="108">
        <v>4995.8999999999996</v>
      </c>
      <c r="DI75" s="108"/>
      <c r="DJ75" s="108"/>
      <c r="DK75" s="108">
        <v>39927.599999999999</v>
      </c>
      <c r="DL75" s="108">
        <v>2475</v>
      </c>
      <c r="DM75" s="109"/>
      <c r="DN75" s="108"/>
      <c r="DO75" s="108"/>
      <c r="DP75" s="108"/>
      <c r="DQ75" s="105"/>
      <c r="DR75" s="105"/>
      <c r="DS75" s="104"/>
      <c r="DT75" s="105"/>
      <c r="DU75" s="105"/>
      <c r="DV75" s="105"/>
      <c r="DW75" s="105"/>
      <c r="DX75" s="105"/>
      <c r="DY75" s="104"/>
      <c r="DZ75" s="105"/>
      <c r="EA75" s="105"/>
      <c r="EB75" s="105"/>
      <c r="EC75" s="105"/>
      <c r="ED75" s="105"/>
      <c r="EE75" s="104"/>
      <c r="EF75" s="105"/>
      <c r="EG75" s="105"/>
      <c r="EH75" s="105"/>
      <c r="EI75" s="105"/>
      <c r="EJ75" s="105"/>
      <c r="EK75" s="104">
        <v>4453985.3089999994</v>
      </c>
      <c r="EL75" s="105">
        <f t="shared" si="2"/>
        <v>292240.33400000021</v>
      </c>
      <c r="EM75" s="105">
        <v>182113.16200000013</v>
      </c>
      <c r="EN75" s="105">
        <v>110127.17200000006</v>
      </c>
      <c r="EO75" s="105">
        <v>4140386.1399999997</v>
      </c>
      <c r="EP75" s="105">
        <v>21358.834999999992</v>
      </c>
      <c r="EQ75" s="104"/>
      <c r="ER75" s="105"/>
      <c r="ES75" s="105"/>
      <c r="ET75" s="105"/>
      <c r="EU75" s="105"/>
      <c r="EV75" s="105"/>
      <c r="EW75" s="104"/>
      <c r="EX75" s="105"/>
      <c r="EY75" s="105"/>
      <c r="EZ75" s="105"/>
      <c r="FA75" s="105"/>
      <c r="FB75" s="105"/>
      <c r="FC75" s="104"/>
      <c r="FD75" s="105"/>
      <c r="FE75" s="105"/>
      <c r="FF75" s="105"/>
      <c r="FG75" s="105"/>
      <c r="FH75" s="105"/>
      <c r="FI75" s="104"/>
      <c r="FJ75" s="105"/>
      <c r="FK75" s="105"/>
      <c r="FL75" s="105"/>
      <c r="FM75" s="105"/>
      <c r="FN75" s="103"/>
      <c r="FO75" s="109"/>
      <c r="FP75" s="108"/>
      <c r="FQ75" s="108"/>
      <c r="FR75" s="108"/>
      <c r="FS75" s="108"/>
      <c r="FT75" s="108"/>
      <c r="FU75" s="104"/>
      <c r="FV75" s="105"/>
      <c r="FW75" s="105"/>
      <c r="FX75" s="105"/>
      <c r="FY75" s="105"/>
      <c r="FZ75" s="105"/>
      <c r="GA75" s="104"/>
      <c r="GB75" s="105"/>
      <c r="GC75" s="105"/>
      <c r="GD75" s="105"/>
      <c r="GE75" s="105"/>
      <c r="GF75" s="105"/>
      <c r="GG75" s="104"/>
      <c r="GH75" s="105"/>
      <c r="GI75" s="105"/>
      <c r="GJ75" s="105"/>
      <c r="GK75" s="105"/>
      <c r="GL75" s="105"/>
      <c r="GM75" s="104"/>
      <c r="GN75" s="105"/>
      <c r="GO75" s="105"/>
      <c r="GP75" s="105"/>
      <c r="GQ75" s="105"/>
      <c r="GR75" s="103"/>
      <c r="GS75" s="88"/>
      <c r="GT75" s="87"/>
      <c r="GU75" s="87"/>
      <c r="GV75" s="87"/>
      <c r="GW75" s="87"/>
      <c r="GX75" s="87"/>
      <c r="GY75" s="87"/>
      <c r="GZ75" s="88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8"/>
      <c r="HM75" s="87"/>
      <c r="HN75" s="87"/>
      <c r="HO75" s="87"/>
      <c r="HP75" s="87"/>
      <c r="HQ75" s="87"/>
      <c r="HR75" s="87"/>
      <c r="HS75" s="87"/>
    </row>
    <row r="76" spans="1:231" ht="13.5" customHeight="1">
      <c r="A76" s="86">
        <v>1996</v>
      </c>
      <c r="B76" s="87" t="s">
        <v>489</v>
      </c>
      <c r="C76" s="88"/>
      <c r="D76" s="87"/>
      <c r="E76" s="87"/>
      <c r="F76" s="87"/>
      <c r="G76" s="87"/>
      <c r="H76" s="87"/>
      <c r="I76" s="88">
        <v>54941.700780519997</v>
      </c>
      <c r="J76" s="89">
        <v>24956.38955046</v>
      </c>
      <c r="K76" s="89"/>
      <c r="L76" s="89"/>
      <c r="M76" s="89">
        <v>51578.531000000003</v>
      </c>
      <c r="N76" s="89">
        <v>-21593.219769939999</v>
      </c>
      <c r="O76" s="90"/>
      <c r="P76" s="91"/>
      <c r="Q76" s="91"/>
      <c r="R76" s="91"/>
      <c r="S76" s="91"/>
      <c r="T76" s="91"/>
      <c r="U76" s="90"/>
      <c r="V76" s="91"/>
      <c r="W76" s="91"/>
      <c r="X76" s="91"/>
      <c r="Y76" s="91"/>
      <c r="Z76" s="91"/>
      <c r="AA76" s="88">
        <v>583.56200000000001</v>
      </c>
      <c r="AB76" s="89">
        <f t="shared" si="3"/>
        <v>138.17400000000001</v>
      </c>
      <c r="AC76" s="89">
        <v>118.922</v>
      </c>
      <c r="AD76" s="89">
        <v>19.251999999999999</v>
      </c>
      <c r="AE76" s="89">
        <v>445.38799999999998</v>
      </c>
      <c r="AF76" s="89"/>
      <c r="AG76" s="88"/>
      <c r="AH76" s="89"/>
      <c r="AI76" s="89"/>
      <c r="AJ76" s="89"/>
      <c r="AK76" s="89"/>
      <c r="AL76" s="89"/>
      <c r="AM76" s="88"/>
      <c r="AN76" s="89"/>
      <c r="AO76" s="89"/>
      <c r="AP76" s="89"/>
      <c r="AQ76" s="89"/>
      <c r="AR76" s="89"/>
      <c r="AS76" s="88"/>
      <c r="AT76" s="89"/>
      <c r="AU76" s="89"/>
      <c r="AV76" s="89"/>
      <c r="AW76" s="89"/>
      <c r="AX76" s="89"/>
      <c r="AY76" s="88"/>
      <c r="AZ76" s="89"/>
      <c r="BA76" s="89"/>
      <c r="BB76" s="89"/>
      <c r="BC76" s="89"/>
      <c r="BD76" s="89"/>
      <c r="BE76" s="88"/>
      <c r="BF76" s="89"/>
      <c r="BG76" s="89"/>
      <c r="BH76" s="89"/>
      <c r="BI76" s="89"/>
      <c r="BJ76" s="89"/>
      <c r="BK76" s="88"/>
      <c r="BL76" s="89"/>
      <c r="BM76" s="89"/>
      <c r="BN76" s="89"/>
      <c r="BO76" s="89"/>
      <c r="BP76" s="89"/>
      <c r="BQ76" s="88"/>
      <c r="BR76" s="89"/>
      <c r="BS76" s="89"/>
      <c r="BT76" s="89"/>
      <c r="BU76" s="89"/>
      <c r="BV76" s="89"/>
      <c r="BW76" s="88"/>
      <c r="BX76" s="89"/>
      <c r="BY76" s="89"/>
      <c r="BZ76" s="89"/>
      <c r="CA76" s="89"/>
      <c r="CB76" s="89"/>
      <c r="CC76" s="88"/>
      <c r="CD76" s="89"/>
      <c r="CE76" s="89"/>
      <c r="CF76" s="89"/>
      <c r="CG76" s="89"/>
      <c r="CH76" s="89"/>
      <c r="CI76" s="88"/>
      <c r="CJ76" s="89"/>
      <c r="CK76" s="89"/>
      <c r="CL76" s="89"/>
      <c r="CM76" s="89"/>
      <c r="CN76" s="89"/>
      <c r="CO76" s="88"/>
      <c r="CP76" s="89"/>
      <c r="CQ76" s="89"/>
      <c r="CR76" s="89"/>
      <c r="CS76" s="89"/>
      <c r="CT76" s="89"/>
      <c r="CU76" s="88">
        <f t="shared" si="4"/>
        <v>11442.11908</v>
      </c>
      <c r="CV76" s="89">
        <v>5840.6526999999996</v>
      </c>
      <c r="CW76" s="89">
        <v>5700.2217000000001</v>
      </c>
      <c r="CX76" s="89">
        <v>140.43099999999998</v>
      </c>
      <c r="CY76" s="89">
        <v>5601.4663799999998</v>
      </c>
      <c r="CZ76" s="89"/>
      <c r="DA76" s="88"/>
      <c r="DB76" s="89"/>
      <c r="DC76" s="89"/>
      <c r="DD76" s="89"/>
      <c r="DE76" s="89"/>
      <c r="DF76" s="89"/>
      <c r="DG76" s="88">
        <v>34739.199999999997</v>
      </c>
      <c r="DH76" s="89">
        <v>2908.7</v>
      </c>
      <c r="DI76" s="89"/>
      <c r="DJ76" s="89"/>
      <c r="DK76" s="89">
        <v>39917.1</v>
      </c>
      <c r="DL76" s="89">
        <v>2269.1999999999998</v>
      </c>
      <c r="DM76" s="88"/>
      <c r="DN76" s="89"/>
      <c r="DO76" s="89"/>
      <c r="DP76" s="89"/>
      <c r="DQ76" s="89"/>
      <c r="DR76" s="89"/>
      <c r="DS76" s="88"/>
      <c r="DT76" s="89"/>
      <c r="DU76" s="89"/>
      <c r="DV76" s="89"/>
      <c r="DW76" s="89"/>
      <c r="DX76" s="89"/>
      <c r="DY76" s="88"/>
      <c r="DZ76" s="89"/>
      <c r="EA76" s="89"/>
      <c r="EB76" s="89"/>
      <c r="EC76" s="89"/>
      <c r="ED76" s="89"/>
      <c r="EE76" s="88"/>
      <c r="EF76" s="89"/>
      <c r="EG76" s="89"/>
      <c r="EH76" s="89"/>
      <c r="EI76" s="89"/>
      <c r="EJ76" s="89"/>
      <c r="EK76" s="88">
        <v>4653878.3640000001</v>
      </c>
      <c r="EL76" s="89">
        <f t="shared" si="2"/>
        <v>370020.25099999993</v>
      </c>
      <c r="EM76" s="89">
        <v>234561.26099999994</v>
      </c>
      <c r="EN76" s="89">
        <v>135458.99</v>
      </c>
      <c r="EO76" s="89">
        <v>4233596.2189999996</v>
      </c>
      <c r="EP76" s="89">
        <v>50261.894</v>
      </c>
      <c r="EQ76" s="88"/>
      <c r="ER76" s="89"/>
      <c r="ES76" s="89"/>
      <c r="ET76" s="89"/>
      <c r="EU76" s="89"/>
      <c r="EV76" s="89"/>
      <c r="EW76" s="88"/>
      <c r="EX76" s="89"/>
      <c r="EY76" s="89"/>
      <c r="EZ76" s="89"/>
      <c r="FA76" s="89"/>
      <c r="FB76" s="89"/>
      <c r="FC76" s="88"/>
      <c r="FD76" s="89"/>
      <c r="FE76" s="89"/>
      <c r="FF76" s="89"/>
      <c r="FG76" s="89"/>
      <c r="FH76" s="89"/>
      <c r="FI76" s="88"/>
      <c r="FJ76" s="89"/>
      <c r="FK76" s="89"/>
      <c r="FL76" s="89"/>
      <c r="FM76" s="89"/>
      <c r="FN76" s="89"/>
      <c r="FO76" s="88"/>
      <c r="FP76" s="89"/>
      <c r="FQ76" s="89"/>
      <c r="FR76" s="89"/>
      <c r="FS76" s="89"/>
      <c r="FT76" s="89"/>
      <c r="FU76" s="88"/>
      <c r="FV76" s="89"/>
      <c r="FW76" s="89"/>
      <c r="FX76" s="89"/>
      <c r="FY76" s="89"/>
      <c r="FZ76" s="89"/>
      <c r="GA76" s="120"/>
      <c r="GB76" s="121"/>
      <c r="GC76" s="121"/>
      <c r="GD76" s="121"/>
      <c r="GE76" s="121"/>
      <c r="GF76" s="89"/>
      <c r="GG76" s="88"/>
      <c r="GH76" s="89"/>
      <c r="GI76" s="89"/>
      <c r="GJ76" s="89"/>
      <c r="GK76" s="89"/>
      <c r="GL76" s="89"/>
      <c r="GM76" s="88"/>
      <c r="GN76" s="89"/>
      <c r="GO76" s="89"/>
      <c r="GP76" s="89"/>
      <c r="GQ76" s="89"/>
      <c r="GR76" s="89"/>
      <c r="GS76" s="88"/>
      <c r="GT76" s="87"/>
      <c r="GU76" s="87"/>
      <c r="GV76" s="87"/>
      <c r="GW76" s="87"/>
      <c r="GX76" s="87"/>
      <c r="GY76" s="87"/>
      <c r="GZ76" s="88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8"/>
      <c r="HM76" s="87"/>
      <c r="HN76" s="87"/>
      <c r="HO76" s="87"/>
      <c r="HP76" s="87"/>
      <c r="HQ76" s="87"/>
      <c r="HR76" s="87"/>
      <c r="HS76" s="87"/>
    </row>
    <row r="77" spans="1:231" ht="13.5" customHeight="1">
      <c r="A77" s="69"/>
      <c r="B77" s="87" t="s">
        <v>490</v>
      </c>
      <c r="C77" s="88"/>
      <c r="D77" s="87"/>
      <c r="E77" s="87"/>
      <c r="F77" s="87"/>
      <c r="G77" s="87"/>
      <c r="H77" s="87"/>
      <c r="I77" s="88">
        <v>56178.576689579997</v>
      </c>
      <c r="J77" s="89">
        <v>25891.273177669998</v>
      </c>
      <c r="K77" s="89"/>
      <c r="L77" s="89"/>
      <c r="M77" s="89">
        <v>51627.627999999997</v>
      </c>
      <c r="N77" s="89">
        <v>-21340.322488090002</v>
      </c>
      <c r="O77" s="90"/>
      <c r="P77" s="91"/>
      <c r="Q77" s="91"/>
      <c r="R77" s="91"/>
      <c r="S77" s="91"/>
      <c r="T77" s="91"/>
      <c r="U77" s="90"/>
      <c r="V77" s="91"/>
      <c r="W77" s="91"/>
      <c r="X77" s="91"/>
      <c r="Y77" s="91"/>
      <c r="Z77" s="91"/>
      <c r="AA77" s="88">
        <v>589.45399999999995</v>
      </c>
      <c r="AB77" s="89">
        <f t="shared" si="3"/>
        <v>141.05599999999998</v>
      </c>
      <c r="AC77" s="89">
        <v>121.81699999999999</v>
      </c>
      <c r="AD77" s="89">
        <v>19.239000000000001</v>
      </c>
      <c r="AE77" s="89">
        <v>448.39800000000002</v>
      </c>
      <c r="AF77" s="89"/>
      <c r="AG77" s="88"/>
      <c r="AH77" s="89"/>
      <c r="AI77" s="89"/>
      <c r="AJ77" s="89"/>
      <c r="AK77" s="89"/>
      <c r="AL77" s="89"/>
      <c r="AM77" s="88"/>
      <c r="AN77" s="89"/>
      <c r="AO77" s="89"/>
      <c r="AP77" s="89"/>
      <c r="AQ77" s="89"/>
      <c r="AR77" s="89"/>
      <c r="AS77" s="88"/>
      <c r="AT77" s="89"/>
      <c r="AU77" s="89"/>
      <c r="AV77" s="89"/>
      <c r="AW77" s="89"/>
      <c r="AX77" s="89"/>
      <c r="AY77" s="88"/>
      <c r="AZ77" s="89"/>
      <c r="BA77" s="89"/>
      <c r="BB77" s="89"/>
      <c r="BC77" s="89"/>
      <c r="BD77" s="89"/>
      <c r="BE77" s="88"/>
      <c r="BF77" s="89"/>
      <c r="BG77" s="89"/>
      <c r="BH77" s="89"/>
      <c r="BI77" s="89"/>
      <c r="BJ77" s="89"/>
      <c r="BK77" s="88"/>
      <c r="BL77" s="89"/>
      <c r="BM77" s="89"/>
      <c r="BN77" s="89"/>
      <c r="BO77" s="89"/>
      <c r="BP77" s="89"/>
      <c r="BQ77" s="88"/>
      <c r="BR77" s="89"/>
      <c r="BS77" s="89"/>
      <c r="BT77" s="89"/>
      <c r="BU77" s="89"/>
      <c r="BV77" s="89"/>
      <c r="BW77" s="88"/>
      <c r="BX77" s="89"/>
      <c r="BY77" s="89"/>
      <c r="BZ77" s="89"/>
      <c r="CA77" s="89"/>
      <c r="CB77" s="89"/>
      <c r="CC77" s="88"/>
      <c r="CD77" s="89"/>
      <c r="CE77" s="89"/>
      <c r="CF77" s="89"/>
      <c r="CG77" s="89"/>
      <c r="CH77" s="89"/>
      <c r="CI77" s="88"/>
      <c r="CJ77" s="89"/>
      <c r="CK77" s="89"/>
      <c r="CL77" s="89"/>
      <c r="CM77" s="89"/>
      <c r="CN77" s="89"/>
      <c r="CO77" s="88"/>
      <c r="CP77" s="89"/>
      <c r="CQ77" s="89"/>
      <c r="CR77" s="89"/>
      <c r="CS77" s="89"/>
      <c r="CT77" s="89"/>
      <c r="CU77" s="88">
        <f t="shared" si="4"/>
        <v>11547.226780000001</v>
      </c>
      <c r="CV77" s="89">
        <v>5871.6702000000005</v>
      </c>
      <c r="CW77" s="89">
        <v>5702.5509000000002</v>
      </c>
      <c r="CX77" s="89">
        <v>169.11930000000001</v>
      </c>
      <c r="CY77" s="89">
        <v>5675.5565800000004</v>
      </c>
      <c r="CZ77" s="89"/>
      <c r="DA77" s="88"/>
      <c r="DB77" s="89"/>
      <c r="DC77" s="89"/>
      <c r="DD77" s="89"/>
      <c r="DE77" s="89"/>
      <c r="DF77" s="89"/>
      <c r="DG77" s="88">
        <v>36581.1</v>
      </c>
      <c r="DH77" s="89">
        <v>2535.4</v>
      </c>
      <c r="DI77" s="89"/>
      <c r="DJ77" s="89"/>
      <c r="DK77" s="89">
        <v>41660.6</v>
      </c>
      <c r="DL77" s="89">
        <v>2544.1</v>
      </c>
      <c r="DM77" s="88"/>
      <c r="DN77" s="89"/>
      <c r="DO77" s="89"/>
      <c r="DP77" s="89"/>
      <c r="DQ77" s="89"/>
      <c r="DR77" s="89"/>
      <c r="DS77" s="88"/>
      <c r="DT77" s="89"/>
      <c r="DU77" s="89"/>
      <c r="DV77" s="89"/>
      <c r="DW77" s="89"/>
      <c r="DX77" s="89"/>
      <c r="DY77" s="88"/>
      <c r="DZ77" s="89"/>
      <c r="EA77" s="89"/>
      <c r="EB77" s="89"/>
      <c r="EC77" s="89"/>
      <c r="ED77" s="89"/>
      <c r="EE77" s="88"/>
      <c r="EF77" s="89"/>
      <c r="EG77" s="89"/>
      <c r="EH77" s="89"/>
      <c r="EI77" s="89"/>
      <c r="EJ77" s="89"/>
      <c r="EK77" s="88">
        <v>4786784.6449999996</v>
      </c>
      <c r="EL77" s="89">
        <f t="shared" si="2"/>
        <v>428627.75700000004</v>
      </c>
      <c r="EM77" s="89">
        <v>286883.56500000006</v>
      </c>
      <c r="EN77" s="89">
        <v>141744.19199999998</v>
      </c>
      <c r="EO77" s="89">
        <v>4313068.2799999993</v>
      </c>
      <c r="EP77" s="89">
        <v>45088.607999999993</v>
      </c>
      <c r="EQ77" s="88"/>
      <c r="ER77" s="89"/>
      <c r="ES77" s="89"/>
      <c r="ET77" s="89"/>
      <c r="EU77" s="89"/>
      <c r="EV77" s="89"/>
      <c r="EW77" s="88"/>
      <c r="EX77" s="89"/>
      <c r="EY77" s="89"/>
      <c r="EZ77" s="89"/>
      <c r="FA77" s="89"/>
      <c r="FB77" s="89"/>
      <c r="FC77" s="88"/>
      <c r="FD77" s="89"/>
      <c r="FE77" s="89"/>
      <c r="FF77" s="89"/>
      <c r="FG77" s="89"/>
      <c r="FH77" s="89"/>
      <c r="FI77" s="88"/>
      <c r="FJ77" s="89"/>
      <c r="FK77" s="89"/>
      <c r="FL77" s="89"/>
      <c r="FM77" s="89"/>
      <c r="FN77" s="89"/>
      <c r="FO77" s="88"/>
      <c r="FP77" s="89"/>
      <c r="FQ77" s="89"/>
      <c r="FR77" s="89"/>
      <c r="FS77" s="89"/>
      <c r="FT77" s="89"/>
      <c r="FU77" s="88"/>
      <c r="FV77" s="89"/>
      <c r="FW77" s="89"/>
      <c r="FX77" s="89"/>
      <c r="FY77" s="89"/>
      <c r="FZ77" s="89"/>
      <c r="GA77" s="120"/>
      <c r="GB77" s="121"/>
      <c r="GC77" s="121"/>
      <c r="GD77" s="121"/>
      <c r="GE77" s="121"/>
      <c r="GF77" s="89"/>
      <c r="GG77" s="88"/>
      <c r="GH77" s="89"/>
      <c r="GI77" s="89"/>
      <c r="GJ77" s="89"/>
      <c r="GK77" s="89"/>
      <c r="GL77" s="89"/>
      <c r="GM77" s="88"/>
      <c r="GN77" s="89"/>
      <c r="GO77" s="89"/>
      <c r="GP77" s="89"/>
      <c r="GQ77" s="89"/>
      <c r="GR77" s="89"/>
      <c r="GS77" s="88"/>
      <c r="GT77" s="87"/>
      <c r="GU77" s="87"/>
      <c r="GV77" s="87"/>
      <c r="GW77" s="87"/>
      <c r="GX77" s="87"/>
      <c r="GY77" s="87"/>
      <c r="GZ77" s="88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8"/>
      <c r="HM77" s="87"/>
      <c r="HN77" s="87"/>
      <c r="HO77" s="87"/>
      <c r="HP77" s="87"/>
      <c r="HQ77" s="87"/>
      <c r="HR77" s="87"/>
      <c r="HS77" s="87"/>
    </row>
    <row r="78" spans="1:231" ht="13.5" customHeight="1">
      <c r="A78" s="69"/>
      <c r="B78" s="87" t="s">
        <v>491</v>
      </c>
      <c r="C78" s="88"/>
      <c r="D78" s="87"/>
      <c r="E78" s="87"/>
      <c r="F78" s="87"/>
      <c r="G78" s="87"/>
      <c r="H78" s="87"/>
      <c r="I78" s="88">
        <v>56264.28100000001</v>
      </c>
      <c r="J78" s="89">
        <v>25551.616000000002</v>
      </c>
      <c r="K78" s="89"/>
      <c r="L78" s="89"/>
      <c r="M78" s="89">
        <v>51509.19</v>
      </c>
      <c r="N78" s="89">
        <v>-20796.525000000001</v>
      </c>
      <c r="O78" s="90"/>
      <c r="P78" s="91"/>
      <c r="Q78" s="91"/>
      <c r="R78" s="91"/>
      <c r="S78" s="91"/>
      <c r="T78" s="91"/>
      <c r="U78" s="90"/>
      <c r="V78" s="91"/>
      <c r="W78" s="91"/>
      <c r="X78" s="91"/>
      <c r="Y78" s="91"/>
      <c r="Z78" s="91"/>
      <c r="AA78" s="88">
        <v>586.25199999999995</v>
      </c>
      <c r="AB78" s="89">
        <f t="shared" si="3"/>
        <v>152.51900000000001</v>
      </c>
      <c r="AC78" s="89">
        <v>133.374</v>
      </c>
      <c r="AD78" s="89">
        <v>19.145</v>
      </c>
      <c r="AE78" s="89">
        <v>433.733</v>
      </c>
      <c r="AF78" s="89"/>
      <c r="AG78" s="88"/>
      <c r="AH78" s="89"/>
      <c r="AI78" s="89"/>
      <c r="AJ78" s="89"/>
      <c r="AK78" s="89"/>
      <c r="AL78" s="89"/>
      <c r="AM78" s="88"/>
      <c r="AN78" s="89"/>
      <c r="AO78" s="89"/>
      <c r="AP78" s="89"/>
      <c r="AQ78" s="89"/>
      <c r="AR78" s="89"/>
      <c r="AS78" s="88"/>
      <c r="AT78" s="89"/>
      <c r="AU78" s="89"/>
      <c r="AV78" s="89"/>
      <c r="AW78" s="89"/>
      <c r="AX78" s="89"/>
      <c r="AY78" s="88"/>
      <c r="AZ78" s="89"/>
      <c r="BA78" s="89"/>
      <c r="BB78" s="89"/>
      <c r="BC78" s="89"/>
      <c r="BD78" s="89"/>
      <c r="BE78" s="88"/>
      <c r="BF78" s="89"/>
      <c r="BG78" s="89"/>
      <c r="BH78" s="89"/>
      <c r="BI78" s="89"/>
      <c r="BJ78" s="89"/>
      <c r="BK78" s="88"/>
      <c r="BL78" s="89"/>
      <c r="BM78" s="89"/>
      <c r="BN78" s="89"/>
      <c r="BO78" s="89"/>
      <c r="BP78" s="89"/>
      <c r="BQ78" s="88"/>
      <c r="BR78" s="89"/>
      <c r="BS78" s="89"/>
      <c r="BT78" s="89"/>
      <c r="BU78" s="89"/>
      <c r="BV78" s="89"/>
      <c r="BW78" s="88"/>
      <c r="BX78" s="89"/>
      <c r="BY78" s="89"/>
      <c r="BZ78" s="89"/>
      <c r="CA78" s="89"/>
      <c r="CB78" s="89"/>
      <c r="CC78" s="88"/>
      <c r="CD78" s="89"/>
      <c r="CE78" s="89"/>
      <c r="CF78" s="89"/>
      <c r="CG78" s="89"/>
      <c r="CH78" s="89"/>
      <c r="CI78" s="88"/>
      <c r="CJ78" s="89"/>
      <c r="CK78" s="89"/>
      <c r="CL78" s="89"/>
      <c r="CM78" s="89"/>
      <c r="CN78" s="89"/>
      <c r="CO78" s="88"/>
      <c r="CP78" s="89"/>
      <c r="CQ78" s="89"/>
      <c r="CR78" s="89"/>
      <c r="CS78" s="89"/>
      <c r="CT78" s="89"/>
      <c r="CU78" s="88">
        <f t="shared" si="4"/>
        <v>11729.766200000002</v>
      </c>
      <c r="CV78" s="89">
        <v>5989.1936000000005</v>
      </c>
      <c r="CW78" s="89">
        <v>5805.8428000000004</v>
      </c>
      <c r="CX78" s="89">
        <v>183.35079999999999</v>
      </c>
      <c r="CY78" s="89">
        <v>5740.5726000000013</v>
      </c>
      <c r="CZ78" s="89"/>
      <c r="DA78" s="88"/>
      <c r="DB78" s="89"/>
      <c r="DC78" s="89"/>
      <c r="DD78" s="89"/>
      <c r="DE78" s="89"/>
      <c r="DF78" s="89"/>
      <c r="DG78" s="88">
        <v>32671.599999999999</v>
      </c>
      <c r="DH78" s="89">
        <v>9518</v>
      </c>
      <c r="DI78" s="89"/>
      <c r="DJ78" s="89"/>
      <c r="DK78" s="89">
        <v>44537.7</v>
      </c>
      <c r="DL78" s="89">
        <v>2348.1</v>
      </c>
      <c r="DM78" s="88"/>
      <c r="DN78" s="89"/>
      <c r="DO78" s="89"/>
      <c r="DP78" s="89"/>
      <c r="DQ78" s="89"/>
      <c r="DR78" s="89"/>
      <c r="DS78" s="88"/>
      <c r="DT78" s="89"/>
      <c r="DU78" s="89"/>
      <c r="DV78" s="89"/>
      <c r="DW78" s="89"/>
      <c r="DX78" s="89"/>
      <c r="DY78" s="88"/>
      <c r="DZ78" s="89"/>
      <c r="EA78" s="89"/>
      <c r="EB78" s="89"/>
      <c r="EC78" s="89"/>
      <c r="ED78" s="89"/>
      <c r="EE78" s="88"/>
      <c r="EF78" s="89"/>
      <c r="EG78" s="89"/>
      <c r="EH78" s="89"/>
      <c r="EI78" s="89"/>
      <c r="EJ78" s="89"/>
      <c r="EK78" s="88">
        <v>4803374.3119999981</v>
      </c>
      <c r="EL78" s="89">
        <f t="shared" si="2"/>
        <v>404821.66699999967</v>
      </c>
      <c r="EM78" s="89">
        <v>248262.03499999968</v>
      </c>
      <c r="EN78" s="89">
        <v>156559.63199999995</v>
      </c>
      <c r="EO78" s="89">
        <v>4362479.1179999989</v>
      </c>
      <c r="EP78" s="89">
        <v>36073.526999999995</v>
      </c>
      <c r="EQ78" s="88"/>
      <c r="ER78" s="89"/>
      <c r="ES78" s="89"/>
      <c r="ET78" s="89"/>
      <c r="EU78" s="89"/>
      <c r="EV78" s="89"/>
      <c r="EW78" s="88"/>
      <c r="EX78" s="89"/>
      <c r="EY78" s="89"/>
      <c r="EZ78" s="89"/>
      <c r="FA78" s="89"/>
      <c r="FB78" s="89"/>
      <c r="FC78" s="88"/>
      <c r="FD78" s="89"/>
      <c r="FE78" s="89"/>
      <c r="FF78" s="89"/>
      <c r="FG78" s="89"/>
      <c r="FH78" s="89"/>
      <c r="FI78" s="88"/>
      <c r="FJ78" s="89"/>
      <c r="FK78" s="89"/>
      <c r="FL78" s="89"/>
      <c r="FM78" s="89"/>
      <c r="FN78" s="89"/>
      <c r="FO78" s="88"/>
      <c r="FP78" s="89"/>
      <c r="FQ78" s="89"/>
      <c r="FR78" s="89"/>
      <c r="FS78" s="89"/>
      <c r="FT78" s="89"/>
      <c r="FU78" s="88"/>
      <c r="FV78" s="89"/>
      <c r="FW78" s="89"/>
      <c r="FX78" s="89"/>
      <c r="FY78" s="89"/>
      <c r="FZ78" s="89"/>
      <c r="GA78" s="120"/>
      <c r="GB78" s="121"/>
      <c r="GC78" s="121"/>
      <c r="GD78" s="121"/>
      <c r="GE78" s="121"/>
      <c r="GF78" s="89"/>
      <c r="GG78" s="88"/>
      <c r="GH78" s="89"/>
      <c r="GI78" s="89"/>
      <c r="GJ78" s="89"/>
      <c r="GK78" s="89"/>
      <c r="GL78" s="89"/>
      <c r="GM78" s="88"/>
      <c r="GN78" s="89"/>
      <c r="GO78" s="89"/>
      <c r="GP78" s="89"/>
      <c r="GQ78" s="89"/>
      <c r="GR78" s="89"/>
      <c r="GS78" s="88"/>
      <c r="GT78" s="87"/>
      <c r="GU78" s="87"/>
      <c r="GV78" s="87"/>
      <c r="GW78" s="87"/>
      <c r="GX78" s="87"/>
      <c r="GY78" s="87"/>
      <c r="GZ78" s="88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8"/>
      <c r="HM78" s="87"/>
      <c r="HN78" s="87"/>
      <c r="HO78" s="87"/>
      <c r="HP78" s="87"/>
      <c r="HQ78" s="87"/>
      <c r="HR78" s="87"/>
      <c r="HS78" s="87"/>
    </row>
    <row r="79" spans="1:231" ht="13.5" customHeight="1">
      <c r="A79" s="69"/>
      <c r="B79" s="87" t="s">
        <v>492</v>
      </c>
      <c r="C79" s="88"/>
      <c r="D79" s="87"/>
      <c r="E79" s="87"/>
      <c r="F79" s="87"/>
      <c r="G79" s="87"/>
      <c r="H79" s="87"/>
      <c r="I79" s="88">
        <v>56907.630000000005</v>
      </c>
      <c r="J79" s="89">
        <v>26053.277999999998</v>
      </c>
      <c r="K79" s="89"/>
      <c r="L79" s="89"/>
      <c r="M79" s="89">
        <v>51353.08</v>
      </c>
      <c r="N79" s="89">
        <v>-20498.727999999999</v>
      </c>
      <c r="O79" s="90"/>
      <c r="P79" s="91"/>
      <c r="Q79" s="91"/>
      <c r="R79" s="91"/>
      <c r="S79" s="91"/>
      <c r="T79" s="91"/>
      <c r="U79" s="90"/>
      <c r="V79" s="91"/>
      <c r="W79" s="91"/>
      <c r="X79" s="91"/>
      <c r="Y79" s="91"/>
      <c r="Z79" s="91"/>
      <c r="AA79" s="88">
        <v>590.52499999999998</v>
      </c>
      <c r="AB79" s="89">
        <f t="shared" si="3"/>
        <v>152.65800000000002</v>
      </c>
      <c r="AC79" s="89">
        <v>133.79300000000001</v>
      </c>
      <c r="AD79" s="89">
        <v>18.864999999999998</v>
      </c>
      <c r="AE79" s="89">
        <v>437.86700000000002</v>
      </c>
      <c r="AF79" s="89"/>
      <c r="AG79" s="88"/>
      <c r="AH79" s="89"/>
      <c r="AI79" s="89"/>
      <c r="AJ79" s="89"/>
      <c r="AK79" s="89"/>
      <c r="AL79" s="89"/>
      <c r="AM79" s="88"/>
      <c r="AN79" s="89"/>
      <c r="AO79" s="89"/>
      <c r="AP79" s="89"/>
      <c r="AQ79" s="89"/>
      <c r="AR79" s="89"/>
      <c r="AS79" s="88"/>
      <c r="AT79" s="89"/>
      <c r="AU79" s="89"/>
      <c r="AV79" s="89"/>
      <c r="AW79" s="89"/>
      <c r="AX79" s="89"/>
      <c r="AY79" s="88"/>
      <c r="AZ79" s="89"/>
      <c r="BA79" s="89"/>
      <c r="BB79" s="89"/>
      <c r="BC79" s="89"/>
      <c r="BD79" s="89"/>
      <c r="BE79" s="88"/>
      <c r="BF79" s="89"/>
      <c r="BG79" s="89"/>
      <c r="BH79" s="89"/>
      <c r="BI79" s="89"/>
      <c r="BJ79" s="89"/>
      <c r="BK79" s="88"/>
      <c r="BL79" s="89"/>
      <c r="BM79" s="89"/>
      <c r="BN79" s="89"/>
      <c r="BO79" s="89"/>
      <c r="BP79" s="89"/>
      <c r="BQ79" s="88"/>
      <c r="BR79" s="89"/>
      <c r="BS79" s="89"/>
      <c r="BT79" s="89"/>
      <c r="BU79" s="89"/>
      <c r="BV79" s="89"/>
      <c r="BW79" s="88"/>
      <c r="BX79" s="89"/>
      <c r="BY79" s="89"/>
      <c r="BZ79" s="89"/>
      <c r="CA79" s="89"/>
      <c r="CB79" s="89"/>
      <c r="CC79" s="88"/>
      <c r="CD79" s="89"/>
      <c r="CE79" s="89"/>
      <c r="CF79" s="89"/>
      <c r="CG79" s="89"/>
      <c r="CH79" s="89"/>
      <c r="CI79" s="88"/>
      <c r="CJ79" s="89"/>
      <c r="CK79" s="89"/>
      <c r="CL79" s="89"/>
      <c r="CM79" s="89"/>
      <c r="CN79" s="89"/>
      <c r="CO79" s="88"/>
      <c r="CP79" s="89"/>
      <c r="CQ79" s="89"/>
      <c r="CR79" s="89"/>
      <c r="CS79" s="89"/>
      <c r="CT79" s="89"/>
      <c r="CU79" s="88">
        <f t="shared" si="4"/>
        <v>11984.58383</v>
      </c>
      <c r="CV79" s="89">
        <v>6102.1373999999996</v>
      </c>
      <c r="CW79" s="89">
        <v>5914.3572999999997</v>
      </c>
      <c r="CX79" s="89">
        <v>187.7801</v>
      </c>
      <c r="CY79" s="89">
        <v>5882.44643</v>
      </c>
      <c r="CZ79" s="89"/>
      <c r="DA79" s="88"/>
      <c r="DB79" s="89"/>
      <c r="DC79" s="89"/>
      <c r="DD79" s="89"/>
      <c r="DE79" s="89"/>
      <c r="DF79" s="89"/>
      <c r="DG79" s="88">
        <v>34593.1</v>
      </c>
      <c r="DH79" s="89">
        <v>5350.9</v>
      </c>
      <c r="DI79" s="89"/>
      <c r="DJ79" s="89"/>
      <c r="DK79" s="89">
        <v>44105.8</v>
      </c>
      <c r="DL79" s="89">
        <v>4161.8</v>
      </c>
      <c r="DM79" s="88"/>
      <c r="DN79" s="89"/>
      <c r="DO79" s="89"/>
      <c r="DP79" s="89"/>
      <c r="DQ79" s="89"/>
      <c r="DR79" s="89"/>
      <c r="DS79" s="88"/>
      <c r="DT79" s="89"/>
      <c r="DU79" s="89"/>
      <c r="DV79" s="89"/>
      <c r="DW79" s="89"/>
      <c r="DX79" s="89"/>
      <c r="DY79" s="88"/>
      <c r="DZ79" s="89"/>
      <c r="EA79" s="89"/>
      <c r="EB79" s="89"/>
      <c r="EC79" s="89"/>
      <c r="ED79" s="89"/>
      <c r="EE79" s="88"/>
      <c r="EF79" s="89"/>
      <c r="EG79" s="89"/>
      <c r="EH79" s="89"/>
      <c r="EI79" s="89"/>
      <c r="EJ79" s="89"/>
      <c r="EK79" s="88">
        <v>4779408.8090000004</v>
      </c>
      <c r="EL79" s="89">
        <f t="shared" si="2"/>
        <v>336899.44100000011</v>
      </c>
      <c r="EM79" s="89">
        <v>213223.25900000008</v>
      </c>
      <c r="EN79" s="89">
        <v>123676.182</v>
      </c>
      <c r="EO79" s="89">
        <v>4401053.7319999998</v>
      </c>
      <c r="EP79" s="89">
        <v>41455.636000000013</v>
      </c>
      <c r="EQ79" s="88"/>
      <c r="ER79" s="89"/>
      <c r="ES79" s="89"/>
      <c r="ET79" s="89"/>
      <c r="EU79" s="89"/>
      <c r="EV79" s="89"/>
      <c r="EW79" s="88"/>
      <c r="EX79" s="89"/>
      <c r="EY79" s="89"/>
      <c r="EZ79" s="89"/>
      <c r="FA79" s="89"/>
      <c r="FB79" s="89"/>
      <c r="FC79" s="88"/>
      <c r="FD79" s="89"/>
      <c r="FE79" s="89"/>
      <c r="FF79" s="89"/>
      <c r="FG79" s="89"/>
      <c r="FH79" s="89"/>
      <c r="FI79" s="88"/>
      <c r="FJ79" s="89"/>
      <c r="FK79" s="89"/>
      <c r="FL79" s="89"/>
      <c r="FM79" s="89"/>
      <c r="FN79" s="89"/>
      <c r="FO79" s="88"/>
      <c r="FP79" s="89"/>
      <c r="FQ79" s="89"/>
      <c r="FR79" s="89"/>
      <c r="FS79" s="89"/>
      <c r="FT79" s="89"/>
      <c r="FU79" s="88"/>
      <c r="FV79" s="89"/>
      <c r="FW79" s="89"/>
      <c r="FX79" s="89"/>
      <c r="FY79" s="89"/>
      <c r="FZ79" s="89"/>
      <c r="GA79" s="120"/>
      <c r="GB79" s="121"/>
      <c r="GC79" s="121"/>
      <c r="GD79" s="121"/>
      <c r="GE79" s="121"/>
      <c r="GF79" s="89"/>
      <c r="GG79" s="88"/>
      <c r="GH79" s="89"/>
      <c r="GI79" s="89"/>
      <c r="GJ79" s="89"/>
      <c r="GK79" s="89"/>
      <c r="GL79" s="89"/>
      <c r="GM79" s="88"/>
      <c r="GN79" s="89"/>
      <c r="GO79" s="89"/>
      <c r="GP79" s="89"/>
      <c r="GQ79" s="89"/>
      <c r="GR79" s="89"/>
      <c r="GS79" s="88"/>
      <c r="GT79" s="87"/>
      <c r="GU79" s="87"/>
      <c r="GV79" s="87"/>
      <c r="GW79" s="87"/>
      <c r="GX79" s="87"/>
      <c r="GY79" s="87"/>
      <c r="GZ79" s="88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8"/>
      <c r="HM79" s="87"/>
      <c r="HN79" s="87"/>
      <c r="HO79" s="87"/>
      <c r="HP79" s="87"/>
      <c r="HQ79" s="87"/>
      <c r="HR79" s="87"/>
      <c r="HS79" s="87"/>
    </row>
    <row r="80" spans="1:231" ht="13.5" customHeight="1">
      <c r="A80" s="69"/>
      <c r="B80" s="87" t="s">
        <v>493</v>
      </c>
      <c r="C80" s="88"/>
      <c r="D80" s="87"/>
      <c r="E80" s="87"/>
      <c r="F80" s="87"/>
      <c r="G80" s="87"/>
      <c r="H80" s="87"/>
      <c r="I80" s="88">
        <v>58333.83</v>
      </c>
      <c r="J80" s="89">
        <v>27375.405999999999</v>
      </c>
      <c r="K80" s="89"/>
      <c r="L80" s="89"/>
      <c r="M80" s="89">
        <v>52146.775000000001</v>
      </c>
      <c r="N80" s="89">
        <v>-20688.350999999999</v>
      </c>
      <c r="O80" s="90"/>
      <c r="P80" s="91"/>
      <c r="Q80" s="91"/>
      <c r="R80" s="91"/>
      <c r="S80" s="91"/>
      <c r="T80" s="91"/>
      <c r="U80" s="90"/>
      <c r="V80" s="91"/>
      <c r="W80" s="91"/>
      <c r="X80" s="91"/>
      <c r="Y80" s="91"/>
      <c r="Z80" s="91"/>
      <c r="AA80" s="88">
        <v>598.38699999999994</v>
      </c>
      <c r="AB80" s="89">
        <f t="shared" si="3"/>
        <v>153.36500000000001</v>
      </c>
      <c r="AC80" s="89">
        <v>135.667</v>
      </c>
      <c r="AD80" s="89">
        <v>17.698</v>
      </c>
      <c r="AE80" s="89">
        <v>445.02199999999999</v>
      </c>
      <c r="AF80" s="89"/>
      <c r="AG80" s="88"/>
      <c r="AH80" s="89"/>
      <c r="AI80" s="89"/>
      <c r="AJ80" s="89"/>
      <c r="AK80" s="89"/>
      <c r="AL80" s="89"/>
      <c r="AM80" s="88"/>
      <c r="AN80" s="89"/>
      <c r="AO80" s="89"/>
      <c r="AP80" s="89"/>
      <c r="AQ80" s="89"/>
      <c r="AR80" s="89"/>
      <c r="AS80" s="88"/>
      <c r="AT80" s="89"/>
      <c r="AU80" s="89"/>
      <c r="AV80" s="89"/>
      <c r="AW80" s="89"/>
      <c r="AX80" s="89"/>
      <c r="AY80" s="88"/>
      <c r="AZ80" s="89"/>
      <c r="BA80" s="89"/>
      <c r="BB80" s="89"/>
      <c r="BC80" s="89"/>
      <c r="BD80" s="89"/>
      <c r="BE80" s="88"/>
      <c r="BF80" s="89"/>
      <c r="BG80" s="89"/>
      <c r="BH80" s="89"/>
      <c r="BI80" s="89"/>
      <c r="BJ80" s="89"/>
      <c r="BK80" s="88"/>
      <c r="BL80" s="89"/>
      <c r="BM80" s="89"/>
      <c r="BN80" s="89"/>
      <c r="BO80" s="89"/>
      <c r="BP80" s="89"/>
      <c r="BQ80" s="88"/>
      <c r="BR80" s="89"/>
      <c r="BS80" s="89"/>
      <c r="BT80" s="89"/>
      <c r="BU80" s="89"/>
      <c r="BV80" s="89"/>
      <c r="BW80" s="88"/>
      <c r="BX80" s="89"/>
      <c r="BY80" s="89"/>
      <c r="BZ80" s="89"/>
      <c r="CA80" s="89"/>
      <c r="CB80" s="89"/>
      <c r="CC80" s="88"/>
      <c r="CD80" s="89"/>
      <c r="CE80" s="89"/>
      <c r="CF80" s="89"/>
      <c r="CG80" s="89"/>
      <c r="CH80" s="89"/>
      <c r="CI80" s="88"/>
      <c r="CJ80" s="89"/>
      <c r="CK80" s="89"/>
      <c r="CL80" s="89"/>
      <c r="CM80" s="89"/>
      <c r="CN80" s="89"/>
      <c r="CO80" s="88"/>
      <c r="CP80" s="89"/>
      <c r="CQ80" s="89"/>
      <c r="CR80" s="89"/>
      <c r="CS80" s="89"/>
      <c r="CT80" s="89"/>
      <c r="CU80" s="88">
        <f t="shared" si="4"/>
        <v>11728.307419999999</v>
      </c>
      <c r="CV80" s="89">
        <v>5922.6854999999996</v>
      </c>
      <c r="CW80" s="89">
        <v>5749.9189999999999</v>
      </c>
      <c r="CX80" s="89">
        <v>172.76650000000001</v>
      </c>
      <c r="CY80" s="89">
        <v>5805.6219199999996</v>
      </c>
      <c r="CZ80" s="89"/>
      <c r="DA80" s="88"/>
      <c r="DB80" s="89"/>
      <c r="DC80" s="89"/>
      <c r="DD80" s="89"/>
      <c r="DE80" s="89"/>
      <c r="DF80" s="89"/>
      <c r="DG80" s="88">
        <v>36725.199999999997</v>
      </c>
      <c r="DH80" s="89">
        <v>3290.4</v>
      </c>
      <c r="DI80" s="89"/>
      <c r="DJ80" s="89"/>
      <c r="DK80" s="89">
        <v>43501.3</v>
      </c>
      <c r="DL80" s="89">
        <v>3485.7</v>
      </c>
      <c r="DM80" s="88"/>
      <c r="DN80" s="89"/>
      <c r="DO80" s="89"/>
      <c r="DP80" s="89"/>
      <c r="DQ80" s="89"/>
      <c r="DR80" s="89"/>
      <c r="DS80" s="88"/>
      <c r="DT80" s="89"/>
      <c r="DU80" s="89"/>
      <c r="DV80" s="89"/>
      <c r="DW80" s="89"/>
      <c r="DX80" s="89"/>
      <c r="DY80" s="88"/>
      <c r="DZ80" s="89"/>
      <c r="EA80" s="89"/>
      <c r="EB80" s="89"/>
      <c r="EC80" s="89"/>
      <c r="ED80" s="89"/>
      <c r="EE80" s="88"/>
      <c r="EF80" s="89"/>
      <c r="EG80" s="89"/>
      <c r="EH80" s="89"/>
      <c r="EI80" s="89"/>
      <c r="EJ80" s="89"/>
      <c r="EK80" s="88">
        <v>4668014.4760000007</v>
      </c>
      <c r="EL80" s="89">
        <f t="shared" si="2"/>
        <v>276696.39849999989</v>
      </c>
      <c r="EM80" s="89">
        <v>174512.98249999993</v>
      </c>
      <c r="EN80" s="89">
        <v>102183.416</v>
      </c>
      <c r="EO80" s="89">
        <v>4354876.1610000003</v>
      </c>
      <c r="EP80" s="89">
        <v>36441.916500000007</v>
      </c>
      <c r="EQ80" s="88"/>
      <c r="ER80" s="89"/>
      <c r="ES80" s="89"/>
      <c r="ET80" s="89"/>
      <c r="EU80" s="89"/>
      <c r="EV80" s="89"/>
      <c r="EW80" s="88"/>
      <c r="EX80" s="89"/>
      <c r="EY80" s="89"/>
      <c r="EZ80" s="89"/>
      <c r="FA80" s="89"/>
      <c r="FB80" s="89"/>
      <c r="FC80" s="88"/>
      <c r="FD80" s="89"/>
      <c r="FE80" s="89"/>
      <c r="FF80" s="89"/>
      <c r="FG80" s="89"/>
      <c r="FH80" s="89"/>
      <c r="FI80" s="88"/>
      <c r="FJ80" s="89"/>
      <c r="FK80" s="89"/>
      <c r="FL80" s="89"/>
      <c r="FM80" s="89"/>
      <c r="FN80" s="89"/>
      <c r="FO80" s="88"/>
      <c r="FP80" s="89"/>
      <c r="FQ80" s="89"/>
      <c r="FR80" s="89"/>
      <c r="FS80" s="89"/>
      <c r="FT80" s="89"/>
      <c r="FU80" s="88"/>
      <c r="FV80" s="89"/>
      <c r="FW80" s="89"/>
      <c r="FX80" s="89"/>
      <c r="FY80" s="89"/>
      <c r="FZ80" s="89"/>
      <c r="GA80" s="120"/>
      <c r="GB80" s="121"/>
      <c r="GC80" s="121"/>
      <c r="GD80" s="121"/>
      <c r="GE80" s="121"/>
      <c r="GF80" s="89"/>
      <c r="GG80" s="88"/>
      <c r="GH80" s="89"/>
      <c r="GI80" s="89"/>
      <c r="GJ80" s="89"/>
      <c r="GK80" s="89"/>
      <c r="GL80" s="89"/>
      <c r="GM80" s="88"/>
      <c r="GN80" s="89"/>
      <c r="GO80" s="89"/>
      <c r="GP80" s="89"/>
      <c r="GQ80" s="89"/>
      <c r="GR80" s="89"/>
      <c r="GS80" s="88"/>
      <c r="GT80" s="87"/>
      <c r="GU80" s="87"/>
      <c r="GV80" s="87"/>
      <c r="GW80" s="87"/>
      <c r="GX80" s="87"/>
      <c r="GY80" s="87"/>
      <c r="GZ80" s="88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8"/>
      <c r="HM80" s="87"/>
      <c r="HN80" s="87"/>
      <c r="HO80" s="87"/>
      <c r="HP80" s="87"/>
      <c r="HQ80" s="87"/>
      <c r="HR80" s="87"/>
      <c r="HS80" s="87"/>
    </row>
    <row r="81" spans="1:227">
      <c r="A81" s="69"/>
      <c r="B81" s="87" t="s">
        <v>494</v>
      </c>
      <c r="C81" s="88"/>
      <c r="D81" s="87"/>
      <c r="E81" s="87"/>
      <c r="F81" s="87"/>
      <c r="G81" s="87"/>
      <c r="H81" s="87"/>
      <c r="I81" s="88">
        <v>58932.72</v>
      </c>
      <c r="J81" s="89">
        <v>27385.278999999999</v>
      </c>
      <c r="K81" s="89"/>
      <c r="L81" s="89"/>
      <c r="M81" s="89">
        <v>51878.796000000002</v>
      </c>
      <c r="N81" s="89">
        <v>-19931.355</v>
      </c>
      <c r="O81" s="90"/>
      <c r="P81" s="91"/>
      <c r="Q81" s="91"/>
      <c r="R81" s="91"/>
      <c r="S81" s="91"/>
      <c r="T81" s="91"/>
      <c r="U81" s="90"/>
      <c r="V81" s="91"/>
      <c r="W81" s="91"/>
      <c r="X81" s="91"/>
      <c r="Y81" s="91"/>
      <c r="Z81" s="91"/>
      <c r="AA81" s="88">
        <v>598.673</v>
      </c>
      <c r="AB81" s="89">
        <f t="shared" si="3"/>
        <v>149.99699999999999</v>
      </c>
      <c r="AC81" s="89">
        <v>132.30099999999999</v>
      </c>
      <c r="AD81" s="89">
        <v>17.696000000000002</v>
      </c>
      <c r="AE81" s="89">
        <v>448.67599999999999</v>
      </c>
      <c r="AF81" s="89"/>
      <c r="AG81" s="88"/>
      <c r="AH81" s="89"/>
      <c r="AI81" s="89"/>
      <c r="AJ81" s="89"/>
      <c r="AK81" s="89"/>
      <c r="AL81" s="89"/>
      <c r="AM81" s="88"/>
      <c r="AN81" s="89"/>
      <c r="AO81" s="89"/>
      <c r="AP81" s="89"/>
      <c r="AQ81" s="89"/>
      <c r="AR81" s="89"/>
      <c r="AS81" s="88"/>
      <c r="AT81" s="89"/>
      <c r="AU81" s="89"/>
      <c r="AV81" s="89"/>
      <c r="AW81" s="89"/>
      <c r="AX81" s="89"/>
      <c r="AY81" s="88"/>
      <c r="AZ81" s="89"/>
      <c r="BA81" s="89"/>
      <c r="BB81" s="89"/>
      <c r="BC81" s="89"/>
      <c r="BD81" s="89"/>
      <c r="BE81" s="88"/>
      <c r="BF81" s="89"/>
      <c r="BG81" s="89"/>
      <c r="BH81" s="89"/>
      <c r="BI81" s="89"/>
      <c r="BJ81" s="89"/>
      <c r="BK81" s="88"/>
      <c r="BL81" s="89"/>
      <c r="BM81" s="89"/>
      <c r="BN81" s="89"/>
      <c r="BO81" s="89"/>
      <c r="BP81" s="89"/>
      <c r="BQ81" s="88"/>
      <c r="BR81" s="89"/>
      <c r="BS81" s="89"/>
      <c r="BT81" s="89"/>
      <c r="BU81" s="89"/>
      <c r="BV81" s="89"/>
      <c r="BW81" s="88"/>
      <c r="BX81" s="89"/>
      <c r="BY81" s="89"/>
      <c r="BZ81" s="89"/>
      <c r="CA81" s="89"/>
      <c r="CB81" s="89"/>
      <c r="CC81" s="88"/>
      <c r="CD81" s="89"/>
      <c r="CE81" s="89"/>
      <c r="CF81" s="89"/>
      <c r="CG81" s="89"/>
      <c r="CH81" s="89"/>
      <c r="CI81" s="88"/>
      <c r="CJ81" s="89"/>
      <c r="CK81" s="89"/>
      <c r="CL81" s="89"/>
      <c r="CM81" s="89"/>
      <c r="CN81" s="89"/>
      <c r="CO81" s="88"/>
      <c r="CP81" s="89"/>
      <c r="CQ81" s="89"/>
      <c r="CR81" s="89"/>
      <c r="CS81" s="89"/>
      <c r="CT81" s="89"/>
      <c r="CU81" s="88">
        <f t="shared" si="4"/>
        <v>11758.650750000001</v>
      </c>
      <c r="CV81" s="89">
        <v>5842.6239999999998</v>
      </c>
      <c r="CW81" s="89">
        <v>5688.9110999999994</v>
      </c>
      <c r="CX81" s="89">
        <v>153.71289999999999</v>
      </c>
      <c r="CY81" s="89">
        <v>5916.02675</v>
      </c>
      <c r="CZ81" s="89"/>
      <c r="DA81" s="88"/>
      <c r="DB81" s="89"/>
      <c r="DC81" s="89"/>
      <c r="DD81" s="89"/>
      <c r="DE81" s="89"/>
      <c r="DF81" s="89"/>
      <c r="DG81" s="88">
        <v>35504.6</v>
      </c>
      <c r="DH81" s="89">
        <v>3526.5</v>
      </c>
      <c r="DI81" s="89"/>
      <c r="DJ81" s="89"/>
      <c r="DK81" s="89">
        <v>42553.4</v>
      </c>
      <c r="DL81" s="89">
        <v>3522.3</v>
      </c>
      <c r="DM81" s="88"/>
      <c r="DN81" s="89"/>
      <c r="DO81" s="89"/>
      <c r="DP81" s="89"/>
      <c r="DQ81" s="89"/>
      <c r="DR81" s="89"/>
      <c r="DS81" s="88"/>
      <c r="DT81" s="89"/>
      <c r="DU81" s="89"/>
      <c r="DV81" s="89"/>
      <c r="DW81" s="89"/>
      <c r="DX81" s="89"/>
      <c r="DY81" s="88"/>
      <c r="DZ81" s="89"/>
      <c r="EA81" s="89"/>
      <c r="EB81" s="89"/>
      <c r="EC81" s="89"/>
      <c r="ED81" s="89"/>
      <c r="EE81" s="88"/>
      <c r="EF81" s="89"/>
      <c r="EG81" s="89"/>
      <c r="EH81" s="89"/>
      <c r="EI81" s="89"/>
      <c r="EJ81" s="89"/>
      <c r="EK81" s="88">
        <v>4704987.9239999996</v>
      </c>
      <c r="EL81" s="89">
        <f t="shared" si="2"/>
        <v>322985.29799999995</v>
      </c>
      <c r="EM81" s="89">
        <v>189731.20799999998</v>
      </c>
      <c r="EN81" s="89">
        <v>133254.09</v>
      </c>
      <c r="EO81" s="89">
        <v>4333787.720999999</v>
      </c>
      <c r="EP81" s="89">
        <v>48214.904999999999</v>
      </c>
      <c r="EQ81" s="88"/>
      <c r="ER81" s="89"/>
      <c r="ES81" s="89"/>
      <c r="ET81" s="89"/>
      <c r="EU81" s="89"/>
      <c r="EV81" s="89"/>
      <c r="EW81" s="88"/>
      <c r="EX81" s="89"/>
      <c r="EY81" s="89"/>
      <c r="EZ81" s="89"/>
      <c r="FA81" s="89"/>
      <c r="FB81" s="89"/>
      <c r="FC81" s="88"/>
      <c r="FD81" s="89"/>
      <c r="FE81" s="89"/>
      <c r="FF81" s="89"/>
      <c r="FG81" s="89"/>
      <c r="FH81" s="89"/>
      <c r="FI81" s="88"/>
      <c r="FJ81" s="89"/>
      <c r="FK81" s="89"/>
      <c r="FL81" s="89"/>
      <c r="FM81" s="89"/>
      <c r="FN81" s="89"/>
      <c r="FO81" s="88"/>
      <c r="FP81" s="89"/>
      <c r="FQ81" s="89"/>
      <c r="FR81" s="89"/>
      <c r="FS81" s="89"/>
      <c r="FT81" s="89"/>
      <c r="FU81" s="88"/>
      <c r="FV81" s="89"/>
      <c r="FW81" s="89"/>
      <c r="FX81" s="89"/>
      <c r="FY81" s="89"/>
      <c r="FZ81" s="89"/>
      <c r="GA81" s="120"/>
      <c r="GB81" s="121"/>
      <c r="GC81" s="121"/>
      <c r="GD81" s="121"/>
      <c r="GE81" s="121"/>
      <c r="GF81" s="89"/>
      <c r="GG81" s="88"/>
      <c r="GH81" s="89"/>
      <c r="GI81" s="89"/>
      <c r="GJ81" s="89"/>
      <c r="GK81" s="89"/>
      <c r="GL81" s="89"/>
      <c r="GM81" s="88"/>
      <c r="GN81" s="89"/>
      <c r="GO81" s="89"/>
      <c r="GP81" s="89"/>
      <c r="GQ81" s="89"/>
      <c r="GR81" s="89"/>
      <c r="GS81" s="88"/>
      <c r="GT81" s="87"/>
      <c r="GU81" s="87"/>
      <c r="GV81" s="87"/>
      <c r="GW81" s="87"/>
      <c r="GX81" s="87"/>
      <c r="GY81" s="87"/>
      <c r="GZ81" s="88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8"/>
      <c r="HM81" s="87"/>
      <c r="HN81" s="87"/>
      <c r="HO81" s="87"/>
      <c r="HP81" s="87"/>
      <c r="HQ81" s="87"/>
      <c r="HR81" s="87"/>
      <c r="HS81" s="87"/>
    </row>
    <row r="82" spans="1:227">
      <c r="A82" s="69"/>
      <c r="B82" s="87" t="s">
        <v>495</v>
      </c>
      <c r="C82" s="88"/>
      <c r="D82" s="87"/>
      <c r="E82" s="87"/>
      <c r="F82" s="87"/>
      <c r="G82" s="87"/>
      <c r="H82" s="87"/>
      <c r="I82" s="88">
        <v>59939.031999999999</v>
      </c>
      <c r="J82" s="89">
        <v>27460.213</v>
      </c>
      <c r="K82" s="89"/>
      <c r="L82" s="89"/>
      <c r="M82" s="89">
        <v>51763.585999999996</v>
      </c>
      <c r="N82" s="89">
        <v>-19284.767</v>
      </c>
      <c r="O82" s="90"/>
      <c r="P82" s="91"/>
      <c r="Q82" s="91"/>
      <c r="R82" s="91"/>
      <c r="S82" s="91"/>
      <c r="T82" s="91"/>
      <c r="U82" s="90"/>
      <c r="V82" s="91"/>
      <c r="W82" s="91"/>
      <c r="X82" s="91"/>
      <c r="Y82" s="91"/>
      <c r="Z82" s="91"/>
      <c r="AA82" s="88">
        <v>552.35500000000002</v>
      </c>
      <c r="AB82" s="89">
        <f t="shared" si="3"/>
        <v>100.235</v>
      </c>
      <c r="AC82" s="89">
        <v>82.314999999999998</v>
      </c>
      <c r="AD82" s="89">
        <v>17.920000000000002</v>
      </c>
      <c r="AE82" s="89">
        <v>452.12</v>
      </c>
      <c r="AF82" s="89"/>
      <c r="AG82" s="88"/>
      <c r="AH82" s="89"/>
      <c r="AI82" s="89"/>
      <c r="AJ82" s="89"/>
      <c r="AK82" s="89"/>
      <c r="AL82" s="89"/>
      <c r="AM82" s="88"/>
      <c r="AN82" s="89"/>
      <c r="AO82" s="89"/>
      <c r="AP82" s="89"/>
      <c r="AQ82" s="89"/>
      <c r="AR82" s="89"/>
      <c r="AS82" s="88"/>
      <c r="AT82" s="89"/>
      <c r="AU82" s="89"/>
      <c r="AV82" s="89"/>
      <c r="AW82" s="89"/>
      <c r="AX82" s="89"/>
      <c r="AY82" s="88"/>
      <c r="AZ82" s="89"/>
      <c r="BA82" s="89"/>
      <c r="BB82" s="89"/>
      <c r="BC82" s="89"/>
      <c r="BD82" s="89"/>
      <c r="BE82" s="88"/>
      <c r="BF82" s="89"/>
      <c r="BG82" s="89"/>
      <c r="BH82" s="89"/>
      <c r="BI82" s="89"/>
      <c r="BJ82" s="89"/>
      <c r="BK82" s="88"/>
      <c r="BL82" s="89"/>
      <c r="BM82" s="89"/>
      <c r="BN82" s="89"/>
      <c r="BO82" s="89"/>
      <c r="BP82" s="89"/>
      <c r="BQ82" s="88"/>
      <c r="BR82" s="89"/>
      <c r="BS82" s="89"/>
      <c r="BT82" s="89"/>
      <c r="BU82" s="89"/>
      <c r="BV82" s="89"/>
      <c r="BW82" s="88"/>
      <c r="BX82" s="89"/>
      <c r="BY82" s="89"/>
      <c r="BZ82" s="89"/>
      <c r="CA82" s="89"/>
      <c r="CB82" s="89"/>
      <c r="CC82" s="88"/>
      <c r="CD82" s="89"/>
      <c r="CE82" s="89"/>
      <c r="CF82" s="89"/>
      <c r="CG82" s="89"/>
      <c r="CH82" s="89"/>
      <c r="CI82" s="88"/>
      <c r="CJ82" s="89"/>
      <c r="CK82" s="89"/>
      <c r="CL82" s="89"/>
      <c r="CM82" s="89"/>
      <c r="CN82" s="89"/>
      <c r="CO82" s="88"/>
      <c r="CP82" s="89"/>
      <c r="CQ82" s="89"/>
      <c r="CR82" s="89"/>
      <c r="CS82" s="89"/>
      <c r="CT82" s="89"/>
      <c r="CU82" s="88">
        <f t="shared" si="4"/>
        <v>11692.223959999999</v>
      </c>
      <c r="CV82" s="89">
        <v>5690.9426000000003</v>
      </c>
      <c r="CW82" s="89">
        <v>5539.6694000000007</v>
      </c>
      <c r="CX82" s="89">
        <v>151.2732</v>
      </c>
      <c r="CY82" s="89">
        <v>6001.281359999999</v>
      </c>
      <c r="CZ82" s="89"/>
      <c r="DA82" s="88"/>
      <c r="DB82" s="89"/>
      <c r="DC82" s="89"/>
      <c r="DD82" s="89"/>
      <c r="DE82" s="89"/>
      <c r="DF82" s="89"/>
      <c r="DG82" s="88">
        <v>42500</v>
      </c>
      <c r="DH82" s="89">
        <v>383.5</v>
      </c>
      <c r="DI82" s="89"/>
      <c r="DJ82" s="89"/>
      <c r="DK82" s="89">
        <v>43889.5</v>
      </c>
      <c r="DL82" s="89">
        <v>1773</v>
      </c>
      <c r="DM82" s="88"/>
      <c r="DN82" s="89"/>
      <c r="DO82" s="89"/>
      <c r="DP82" s="89"/>
      <c r="DQ82" s="89"/>
      <c r="DR82" s="89"/>
      <c r="DS82" s="88"/>
      <c r="DT82" s="89"/>
      <c r="DU82" s="89"/>
      <c r="DV82" s="89"/>
      <c r="DW82" s="89"/>
      <c r="DX82" s="89"/>
      <c r="DY82" s="88"/>
      <c r="DZ82" s="89"/>
      <c r="EA82" s="89"/>
      <c r="EB82" s="89"/>
      <c r="EC82" s="89"/>
      <c r="ED82" s="89"/>
      <c r="EE82" s="88"/>
      <c r="EF82" s="89"/>
      <c r="EG82" s="89"/>
      <c r="EH82" s="89"/>
      <c r="EI82" s="89"/>
      <c r="EJ82" s="89"/>
      <c r="EK82" s="88">
        <v>4668034.6229999997</v>
      </c>
      <c r="EL82" s="89">
        <f t="shared" si="2"/>
        <v>221826.65299999993</v>
      </c>
      <c r="EM82" s="89">
        <v>122940.65799999994</v>
      </c>
      <c r="EN82" s="89">
        <v>98885.99500000001</v>
      </c>
      <c r="EO82" s="89">
        <v>4399591.2469999995</v>
      </c>
      <c r="EP82" s="89">
        <v>46616.722999999991</v>
      </c>
      <c r="EQ82" s="88"/>
      <c r="ER82" s="89"/>
      <c r="ES82" s="89"/>
      <c r="ET82" s="89"/>
      <c r="EU82" s="89"/>
      <c r="EV82" s="89"/>
      <c r="EW82" s="88"/>
      <c r="EX82" s="89"/>
      <c r="EY82" s="89"/>
      <c r="EZ82" s="89"/>
      <c r="FA82" s="89"/>
      <c r="FB82" s="89"/>
      <c r="FC82" s="88"/>
      <c r="FD82" s="89"/>
      <c r="FE82" s="89"/>
      <c r="FF82" s="89"/>
      <c r="FG82" s="89"/>
      <c r="FH82" s="89"/>
      <c r="FI82" s="88"/>
      <c r="FJ82" s="89"/>
      <c r="FK82" s="89"/>
      <c r="FL82" s="89"/>
      <c r="FM82" s="89"/>
      <c r="FN82" s="89"/>
      <c r="FO82" s="88"/>
      <c r="FP82" s="89"/>
      <c r="FQ82" s="89"/>
      <c r="FR82" s="89"/>
      <c r="FS82" s="89"/>
      <c r="FT82" s="89"/>
      <c r="FU82" s="88"/>
      <c r="FV82" s="89"/>
      <c r="FW82" s="89"/>
      <c r="FX82" s="89"/>
      <c r="FY82" s="89"/>
      <c r="FZ82" s="89"/>
      <c r="GA82" s="120"/>
      <c r="GB82" s="121"/>
      <c r="GC82" s="121"/>
      <c r="GD82" s="121"/>
      <c r="GE82" s="121"/>
      <c r="GF82" s="89"/>
      <c r="GG82" s="88"/>
      <c r="GH82" s="89"/>
      <c r="GI82" s="89"/>
      <c r="GJ82" s="89"/>
      <c r="GK82" s="89"/>
      <c r="GL82" s="89"/>
      <c r="GM82" s="88">
        <v>3502.16</v>
      </c>
      <c r="GN82" s="89">
        <v>1132.3699999999999</v>
      </c>
      <c r="GO82" s="89">
        <v>746.98500000000001</v>
      </c>
      <c r="GP82" s="89">
        <v>385.38499999999999</v>
      </c>
      <c r="GQ82" s="89">
        <v>1573.1489999999999</v>
      </c>
      <c r="GR82" s="89">
        <v>796.64099999999996</v>
      </c>
      <c r="GS82" s="88"/>
      <c r="GT82" s="87"/>
      <c r="GU82" s="87"/>
      <c r="GV82" s="87"/>
      <c r="GW82" s="87"/>
      <c r="GX82" s="87"/>
      <c r="GY82" s="87"/>
      <c r="GZ82" s="88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8"/>
      <c r="HM82" s="87"/>
      <c r="HN82" s="87"/>
      <c r="HO82" s="87"/>
      <c r="HP82" s="87"/>
      <c r="HQ82" s="87"/>
      <c r="HR82" s="87"/>
      <c r="HS82" s="87"/>
    </row>
    <row r="83" spans="1:227">
      <c r="A83" s="69"/>
      <c r="B83" s="87" t="s">
        <v>496</v>
      </c>
      <c r="C83" s="88"/>
      <c r="D83" s="87"/>
      <c r="E83" s="87"/>
      <c r="F83" s="87"/>
      <c r="G83" s="87"/>
      <c r="H83" s="87"/>
      <c r="I83" s="88">
        <v>60324.123999999996</v>
      </c>
      <c r="J83" s="89">
        <v>27890.626</v>
      </c>
      <c r="K83" s="89"/>
      <c r="L83" s="89"/>
      <c r="M83" s="89">
        <v>52013.195</v>
      </c>
      <c r="N83" s="89">
        <v>-19579.697</v>
      </c>
      <c r="O83" s="90"/>
      <c r="P83" s="91"/>
      <c r="Q83" s="91"/>
      <c r="R83" s="91"/>
      <c r="S83" s="91"/>
      <c r="T83" s="91"/>
      <c r="U83" s="90"/>
      <c r="V83" s="91"/>
      <c r="W83" s="91"/>
      <c r="X83" s="91"/>
      <c r="Y83" s="91"/>
      <c r="Z83" s="91"/>
      <c r="AA83" s="88">
        <v>554.37699999999995</v>
      </c>
      <c r="AB83" s="89">
        <f t="shared" si="3"/>
        <v>100.502</v>
      </c>
      <c r="AC83" s="89">
        <v>82.352999999999994</v>
      </c>
      <c r="AD83" s="89">
        <v>18.149000000000001</v>
      </c>
      <c r="AE83" s="89">
        <v>453.875</v>
      </c>
      <c r="AF83" s="89"/>
      <c r="AG83" s="88"/>
      <c r="AH83" s="89"/>
      <c r="AI83" s="89"/>
      <c r="AJ83" s="89"/>
      <c r="AK83" s="89"/>
      <c r="AL83" s="89"/>
      <c r="AM83" s="88"/>
      <c r="AN83" s="89"/>
      <c r="AO83" s="89"/>
      <c r="AP83" s="89"/>
      <c r="AQ83" s="89"/>
      <c r="AR83" s="89"/>
      <c r="AS83" s="88"/>
      <c r="AT83" s="89"/>
      <c r="AU83" s="89"/>
      <c r="AV83" s="89"/>
      <c r="AW83" s="89"/>
      <c r="AX83" s="89"/>
      <c r="AY83" s="88"/>
      <c r="AZ83" s="89"/>
      <c r="BA83" s="89"/>
      <c r="BB83" s="89"/>
      <c r="BC83" s="89"/>
      <c r="BD83" s="89"/>
      <c r="BE83" s="88"/>
      <c r="BF83" s="89"/>
      <c r="BG83" s="89"/>
      <c r="BH83" s="89"/>
      <c r="BI83" s="89"/>
      <c r="BJ83" s="89"/>
      <c r="BK83" s="88"/>
      <c r="BL83" s="89"/>
      <c r="BM83" s="89"/>
      <c r="BN83" s="89"/>
      <c r="BO83" s="89"/>
      <c r="BP83" s="89"/>
      <c r="BQ83" s="88"/>
      <c r="BR83" s="89"/>
      <c r="BS83" s="89"/>
      <c r="BT83" s="89"/>
      <c r="BU83" s="89"/>
      <c r="BV83" s="89"/>
      <c r="BW83" s="88"/>
      <c r="BX83" s="89"/>
      <c r="BY83" s="89"/>
      <c r="BZ83" s="89"/>
      <c r="CA83" s="89"/>
      <c r="CB83" s="89"/>
      <c r="CC83" s="88"/>
      <c r="CD83" s="89"/>
      <c r="CE83" s="89"/>
      <c r="CF83" s="89"/>
      <c r="CG83" s="89"/>
      <c r="CH83" s="89"/>
      <c r="CI83" s="88"/>
      <c r="CJ83" s="89"/>
      <c r="CK83" s="89"/>
      <c r="CL83" s="89"/>
      <c r="CM83" s="89"/>
      <c r="CN83" s="89"/>
      <c r="CO83" s="88"/>
      <c r="CP83" s="89"/>
      <c r="CQ83" s="89"/>
      <c r="CR83" s="89"/>
      <c r="CS83" s="89"/>
      <c r="CT83" s="89"/>
      <c r="CU83" s="88">
        <f t="shared" si="4"/>
        <v>11502.398430000001</v>
      </c>
      <c r="CV83" s="89">
        <v>5612.1189999999997</v>
      </c>
      <c r="CW83" s="89">
        <v>5529.2685000000001</v>
      </c>
      <c r="CX83" s="89">
        <v>82.850499999999982</v>
      </c>
      <c r="CY83" s="89">
        <v>5890.2794300000005</v>
      </c>
      <c r="CZ83" s="89"/>
      <c r="DA83" s="88"/>
      <c r="DB83" s="89"/>
      <c r="DC83" s="89"/>
      <c r="DD83" s="89"/>
      <c r="DE83" s="89"/>
      <c r="DF83" s="89"/>
      <c r="DG83" s="88">
        <v>43703.1</v>
      </c>
      <c r="DH83" s="89">
        <v>2043.3</v>
      </c>
      <c r="DI83" s="89"/>
      <c r="DJ83" s="89"/>
      <c r="DK83" s="89">
        <v>45037.599999999999</v>
      </c>
      <c r="DL83" s="89">
        <v>3377.8</v>
      </c>
      <c r="DM83" s="88"/>
      <c r="DN83" s="89"/>
      <c r="DO83" s="89"/>
      <c r="DP83" s="89"/>
      <c r="DQ83" s="89"/>
      <c r="DR83" s="89"/>
      <c r="DS83" s="88"/>
      <c r="DT83" s="89"/>
      <c r="DU83" s="89"/>
      <c r="DV83" s="89"/>
      <c r="DW83" s="89"/>
      <c r="DX83" s="89"/>
      <c r="DY83" s="88"/>
      <c r="DZ83" s="89"/>
      <c r="EA83" s="89"/>
      <c r="EB83" s="89"/>
      <c r="EC83" s="89"/>
      <c r="ED83" s="89"/>
      <c r="EE83" s="88"/>
      <c r="EF83" s="89"/>
      <c r="EG83" s="89"/>
      <c r="EH83" s="89"/>
      <c r="EI83" s="89"/>
      <c r="EJ83" s="89"/>
      <c r="EK83" s="88">
        <v>4867298.396399999</v>
      </c>
      <c r="EL83" s="89">
        <f t="shared" si="2"/>
        <v>309687.80999999994</v>
      </c>
      <c r="EM83" s="89">
        <v>216626.60499999998</v>
      </c>
      <c r="EN83" s="89">
        <v>93061.204999999958</v>
      </c>
      <c r="EO83" s="89">
        <v>4514317.1323999995</v>
      </c>
      <c r="EP83" s="89">
        <v>43293.453999999998</v>
      </c>
      <c r="EQ83" s="88"/>
      <c r="ER83" s="89"/>
      <c r="ES83" s="89"/>
      <c r="ET83" s="89"/>
      <c r="EU83" s="89"/>
      <c r="EV83" s="89"/>
      <c r="EW83" s="88"/>
      <c r="EX83" s="89"/>
      <c r="EY83" s="89"/>
      <c r="EZ83" s="89"/>
      <c r="FA83" s="89"/>
      <c r="FB83" s="89"/>
      <c r="FC83" s="88"/>
      <c r="FD83" s="89"/>
      <c r="FE83" s="89"/>
      <c r="FF83" s="89"/>
      <c r="FG83" s="89"/>
      <c r="FH83" s="89"/>
      <c r="FI83" s="88"/>
      <c r="FJ83" s="89"/>
      <c r="FK83" s="89"/>
      <c r="FL83" s="89"/>
      <c r="FM83" s="89"/>
      <c r="FN83" s="89"/>
      <c r="FO83" s="88"/>
      <c r="FP83" s="89"/>
      <c r="FQ83" s="89"/>
      <c r="FR83" s="89"/>
      <c r="FS83" s="89"/>
      <c r="FT83" s="89"/>
      <c r="FU83" s="88"/>
      <c r="FV83" s="89"/>
      <c r="FW83" s="89"/>
      <c r="FX83" s="89"/>
      <c r="FY83" s="89"/>
      <c r="FZ83" s="89"/>
      <c r="GA83" s="120"/>
      <c r="GB83" s="121"/>
      <c r="GC83" s="121"/>
      <c r="GD83" s="121"/>
      <c r="GE83" s="121"/>
      <c r="GF83" s="89"/>
      <c r="GG83" s="88"/>
      <c r="GH83" s="89"/>
      <c r="GI83" s="89"/>
      <c r="GJ83" s="89"/>
      <c r="GK83" s="89"/>
      <c r="GL83" s="89"/>
      <c r="GM83" s="88">
        <v>3653.36</v>
      </c>
      <c r="GN83" s="89">
        <v>1154.798</v>
      </c>
      <c r="GO83" s="89">
        <v>793.78899999999999</v>
      </c>
      <c r="GP83" s="89">
        <v>361.00900000000001</v>
      </c>
      <c r="GQ83" s="89">
        <v>1688.739</v>
      </c>
      <c r="GR83" s="89">
        <v>809.82299999999998</v>
      </c>
      <c r="GS83" s="88"/>
      <c r="GT83" s="87"/>
      <c r="GU83" s="87"/>
      <c r="GV83" s="87"/>
      <c r="GW83" s="87"/>
      <c r="GX83" s="87"/>
      <c r="GY83" s="87"/>
      <c r="GZ83" s="88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8"/>
      <c r="HM83" s="87"/>
      <c r="HN83" s="87"/>
      <c r="HO83" s="87"/>
      <c r="HP83" s="87"/>
      <c r="HQ83" s="87"/>
      <c r="HR83" s="87"/>
      <c r="HS83" s="87"/>
    </row>
    <row r="84" spans="1:227">
      <c r="A84" s="69"/>
      <c r="B84" s="87" t="s">
        <v>497</v>
      </c>
      <c r="C84" s="88"/>
      <c r="D84" s="87"/>
      <c r="E84" s="87"/>
      <c r="F84" s="87"/>
      <c r="G84" s="87"/>
      <c r="H84" s="87"/>
      <c r="I84" s="88">
        <v>59608.635000000009</v>
      </c>
      <c r="J84" s="89">
        <v>27248.808000000001</v>
      </c>
      <c r="K84" s="89"/>
      <c r="L84" s="89"/>
      <c r="M84" s="89">
        <v>52072.853000000003</v>
      </c>
      <c r="N84" s="89">
        <v>-19713.026000000002</v>
      </c>
      <c r="O84" s="90"/>
      <c r="P84" s="91"/>
      <c r="Q84" s="91"/>
      <c r="R84" s="91"/>
      <c r="S84" s="91"/>
      <c r="T84" s="91"/>
      <c r="U84" s="90"/>
      <c r="V84" s="91"/>
      <c r="W84" s="91"/>
      <c r="X84" s="91"/>
      <c r="Y84" s="91"/>
      <c r="Z84" s="91"/>
      <c r="AA84" s="88">
        <v>569.73900000000003</v>
      </c>
      <c r="AB84" s="89">
        <f t="shared" si="3"/>
        <v>105.45899999999999</v>
      </c>
      <c r="AC84" s="89">
        <v>86.956999999999994</v>
      </c>
      <c r="AD84" s="89">
        <v>18.501999999999999</v>
      </c>
      <c r="AE84" s="89">
        <v>464.28</v>
      </c>
      <c r="AF84" s="89"/>
      <c r="AG84" s="88"/>
      <c r="AH84" s="89"/>
      <c r="AI84" s="89"/>
      <c r="AJ84" s="89"/>
      <c r="AK84" s="89"/>
      <c r="AL84" s="89"/>
      <c r="AM84" s="88"/>
      <c r="AN84" s="89"/>
      <c r="AO84" s="89"/>
      <c r="AP84" s="89"/>
      <c r="AQ84" s="89"/>
      <c r="AR84" s="89"/>
      <c r="AS84" s="88"/>
      <c r="AT84" s="89"/>
      <c r="AU84" s="89"/>
      <c r="AV84" s="89"/>
      <c r="AW84" s="89"/>
      <c r="AX84" s="89"/>
      <c r="AY84" s="88"/>
      <c r="AZ84" s="89"/>
      <c r="BA84" s="89"/>
      <c r="BB84" s="89"/>
      <c r="BC84" s="89"/>
      <c r="BD84" s="89"/>
      <c r="BE84" s="88"/>
      <c r="BF84" s="89"/>
      <c r="BG84" s="89"/>
      <c r="BH84" s="89"/>
      <c r="BI84" s="89"/>
      <c r="BJ84" s="89"/>
      <c r="BK84" s="88"/>
      <c r="BL84" s="89"/>
      <c r="BM84" s="89"/>
      <c r="BN84" s="89"/>
      <c r="BO84" s="89"/>
      <c r="BP84" s="89"/>
      <c r="BQ84" s="88"/>
      <c r="BR84" s="89"/>
      <c r="BS84" s="89"/>
      <c r="BT84" s="89"/>
      <c r="BU84" s="89"/>
      <c r="BV84" s="89"/>
      <c r="BW84" s="88"/>
      <c r="BX84" s="89"/>
      <c r="BY84" s="89"/>
      <c r="BZ84" s="89"/>
      <c r="CA84" s="89"/>
      <c r="CB84" s="89"/>
      <c r="CC84" s="88"/>
      <c r="CD84" s="89"/>
      <c r="CE84" s="89"/>
      <c r="CF84" s="89"/>
      <c r="CG84" s="89"/>
      <c r="CH84" s="89"/>
      <c r="CI84" s="88"/>
      <c r="CJ84" s="89"/>
      <c r="CK84" s="89"/>
      <c r="CL84" s="89"/>
      <c r="CM84" s="89"/>
      <c r="CN84" s="89"/>
      <c r="CO84" s="88"/>
      <c r="CP84" s="89"/>
      <c r="CQ84" s="89"/>
      <c r="CR84" s="89"/>
      <c r="CS84" s="89"/>
      <c r="CT84" s="89"/>
      <c r="CU84" s="88">
        <f t="shared" si="4"/>
        <v>11568.113429999999</v>
      </c>
      <c r="CV84" s="89">
        <v>5924.8357899999992</v>
      </c>
      <c r="CW84" s="89">
        <v>5927.7488699999994</v>
      </c>
      <c r="CX84" s="89">
        <v>-2.9130800000000003</v>
      </c>
      <c r="CY84" s="89">
        <v>5643.2776400000002</v>
      </c>
      <c r="CZ84" s="89"/>
      <c r="DA84" s="88"/>
      <c r="DB84" s="89"/>
      <c r="DC84" s="89"/>
      <c r="DD84" s="89"/>
      <c r="DE84" s="89"/>
      <c r="DF84" s="89"/>
      <c r="DG84" s="88">
        <v>46366.3</v>
      </c>
      <c r="DH84" s="89">
        <v>977.8</v>
      </c>
      <c r="DI84" s="89"/>
      <c r="DJ84" s="89"/>
      <c r="DK84" s="89">
        <v>48810.5</v>
      </c>
      <c r="DL84" s="89">
        <v>3422</v>
      </c>
      <c r="DM84" s="88"/>
      <c r="DN84" s="89"/>
      <c r="DO84" s="89"/>
      <c r="DP84" s="89"/>
      <c r="DQ84" s="89"/>
      <c r="DR84" s="89"/>
      <c r="DS84" s="88"/>
      <c r="DT84" s="89"/>
      <c r="DU84" s="89"/>
      <c r="DV84" s="89"/>
      <c r="DW84" s="89"/>
      <c r="DX84" s="89"/>
      <c r="DY84" s="88"/>
      <c r="DZ84" s="89"/>
      <c r="EA84" s="89"/>
      <c r="EB84" s="89"/>
      <c r="EC84" s="89"/>
      <c r="ED84" s="89"/>
      <c r="EE84" s="88"/>
      <c r="EF84" s="89"/>
      <c r="EG84" s="89"/>
      <c r="EH84" s="89"/>
      <c r="EI84" s="89"/>
      <c r="EJ84" s="89"/>
      <c r="EK84" s="88">
        <v>4868207.08</v>
      </c>
      <c r="EL84" s="89">
        <f t="shared" si="2"/>
        <v>238109.01700000023</v>
      </c>
      <c r="EM84" s="89">
        <v>121004.00700000022</v>
      </c>
      <c r="EN84" s="89">
        <v>117105.01000000001</v>
      </c>
      <c r="EO84" s="89">
        <v>4583993.9919999996</v>
      </c>
      <c r="EP84" s="89">
        <v>46104.070999999996</v>
      </c>
      <c r="EQ84" s="88"/>
      <c r="ER84" s="89"/>
      <c r="ES84" s="89"/>
      <c r="ET84" s="89"/>
      <c r="EU84" s="89"/>
      <c r="EV84" s="89"/>
      <c r="EW84" s="88"/>
      <c r="EX84" s="89"/>
      <c r="EY84" s="89"/>
      <c r="EZ84" s="89"/>
      <c r="FA84" s="89"/>
      <c r="FB84" s="89"/>
      <c r="FC84" s="88"/>
      <c r="FD84" s="89"/>
      <c r="FE84" s="89"/>
      <c r="FF84" s="89"/>
      <c r="FG84" s="89"/>
      <c r="FH84" s="89"/>
      <c r="FI84" s="88"/>
      <c r="FJ84" s="89"/>
      <c r="FK84" s="89"/>
      <c r="FL84" s="89"/>
      <c r="FM84" s="89"/>
      <c r="FN84" s="89"/>
      <c r="FO84" s="88"/>
      <c r="FP84" s="89"/>
      <c r="FQ84" s="89"/>
      <c r="FR84" s="89"/>
      <c r="FS84" s="89"/>
      <c r="FT84" s="89"/>
      <c r="FU84" s="88"/>
      <c r="FV84" s="89"/>
      <c r="FW84" s="89"/>
      <c r="FX84" s="89"/>
      <c r="FY84" s="89"/>
      <c r="FZ84" s="89"/>
      <c r="GA84" s="120"/>
      <c r="GB84" s="121"/>
      <c r="GC84" s="121"/>
      <c r="GD84" s="121"/>
      <c r="GE84" s="121"/>
      <c r="GF84" s="89"/>
      <c r="GG84" s="88"/>
      <c r="GH84" s="89"/>
      <c r="GI84" s="89"/>
      <c r="GJ84" s="89"/>
      <c r="GK84" s="89"/>
      <c r="GL84" s="89"/>
      <c r="GM84" s="88">
        <v>3734.53</v>
      </c>
      <c r="GN84" s="89">
        <v>1113.79</v>
      </c>
      <c r="GO84" s="89">
        <v>780.99699999999996</v>
      </c>
      <c r="GP84" s="89">
        <v>332.79300000000001</v>
      </c>
      <c r="GQ84" s="89">
        <v>1755.5630000000001</v>
      </c>
      <c r="GR84" s="89">
        <v>865.17700000000002</v>
      </c>
      <c r="GS84" s="88"/>
      <c r="GT84" s="87"/>
      <c r="GU84" s="87"/>
      <c r="GV84" s="87"/>
      <c r="GW84" s="87"/>
      <c r="GX84" s="87"/>
      <c r="GY84" s="87"/>
      <c r="GZ84" s="88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8"/>
      <c r="HM84" s="87"/>
      <c r="HN84" s="87"/>
      <c r="HO84" s="87"/>
      <c r="HP84" s="87"/>
      <c r="HQ84" s="87"/>
      <c r="HR84" s="87"/>
      <c r="HS84" s="87"/>
    </row>
    <row r="85" spans="1:227">
      <c r="A85" s="69"/>
      <c r="B85" s="87" t="s">
        <v>498</v>
      </c>
      <c r="C85" s="88"/>
      <c r="D85" s="87"/>
      <c r="E85" s="87"/>
      <c r="F85" s="87"/>
      <c r="G85" s="87"/>
      <c r="H85" s="87"/>
      <c r="I85" s="88">
        <v>60867.587</v>
      </c>
      <c r="J85" s="89">
        <v>28014.67</v>
      </c>
      <c r="K85" s="89"/>
      <c r="L85" s="89"/>
      <c r="M85" s="89">
        <v>52548.817999999999</v>
      </c>
      <c r="N85" s="91">
        <v>-19695.901000000002</v>
      </c>
      <c r="O85" s="90"/>
      <c r="P85" s="91"/>
      <c r="Q85" s="91"/>
      <c r="R85" s="91"/>
      <c r="S85" s="91"/>
      <c r="T85" s="91"/>
      <c r="U85" s="90"/>
      <c r="V85" s="91"/>
      <c r="W85" s="91"/>
      <c r="X85" s="91"/>
      <c r="Y85" s="91"/>
      <c r="Z85" s="91"/>
      <c r="AA85" s="88">
        <v>587.64599999999996</v>
      </c>
      <c r="AB85" s="89">
        <f t="shared" si="3"/>
        <v>109.113</v>
      </c>
      <c r="AC85" s="89">
        <v>89.86</v>
      </c>
      <c r="AD85" s="89">
        <v>19.253</v>
      </c>
      <c r="AE85" s="89">
        <v>478.53300000000002</v>
      </c>
      <c r="AF85" s="89"/>
      <c r="AG85" s="88"/>
      <c r="AH85" s="89"/>
      <c r="AI85" s="89"/>
      <c r="AJ85" s="89"/>
      <c r="AK85" s="89"/>
      <c r="AL85" s="89"/>
      <c r="AM85" s="88"/>
      <c r="AN85" s="89"/>
      <c r="AO85" s="89"/>
      <c r="AP85" s="89"/>
      <c r="AQ85" s="89"/>
      <c r="AR85" s="89"/>
      <c r="AS85" s="88"/>
      <c r="AT85" s="89"/>
      <c r="AU85" s="89"/>
      <c r="AV85" s="89"/>
      <c r="AW85" s="89"/>
      <c r="AX85" s="89"/>
      <c r="AY85" s="88"/>
      <c r="AZ85" s="89"/>
      <c r="BA85" s="89"/>
      <c r="BB85" s="89"/>
      <c r="BC85" s="89"/>
      <c r="BD85" s="89"/>
      <c r="BE85" s="88"/>
      <c r="BF85" s="89"/>
      <c r="BG85" s="89"/>
      <c r="BH85" s="89"/>
      <c r="BI85" s="89"/>
      <c r="BJ85" s="89"/>
      <c r="BK85" s="88"/>
      <c r="BL85" s="89"/>
      <c r="BM85" s="89"/>
      <c r="BN85" s="89"/>
      <c r="BO85" s="89"/>
      <c r="BP85" s="89"/>
      <c r="BQ85" s="88"/>
      <c r="BR85" s="89"/>
      <c r="BS85" s="89"/>
      <c r="BT85" s="89"/>
      <c r="BU85" s="89"/>
      <c r="BV85" s="89"/>
      <c r="BW85" s="88"/>
      <c r="BX85" s="89"/>
      <c r="BY85" s="89"/>
      <c r="BZ85" s="89"/>
      <c r="CA85" s="89"/>
      <c r="CB85" s="89"/>
      <c r="CC85" s="88"/>
      <c r="CD85" s="89"/>
      <c r="CE85" s="89"/>
      <c r="CF85" s="89"/>
      <c r="CG85" s="89"/>
      <c r="CH85" s="89"/>
      <c r="CI85" s="88"/>
      <c r="CJ85" s="89"/>
      <c r="CK85" s="89"/>
      <c r="CL85" s="89"/>
      <c r="CM85" s="89"/>
      <c r="CN85" s="89"/>
      <c r="CO85" s="88"/>
      <c r="CP85" s="89"/>
      <c r="CQ85" s="89"/>
      <c r="CR85" s="89"/>
      <c r="CS85" s="89"/>
      <c r="CT85" s="89"/>
      <c r="CU85" s="88">
        <f t="shared" si="4"/>
        <v>11622.68239</v>
      </c>
      <c r="CV85" s="89">
        <v>5751.6977999999999</v>
      </c>
      <c r="CW85" s="89">
        <v>5802.7824000000001</v>
      </c>
      <c r="CX85" s="89">
        <v>-51.084599999999995</v>
      </c>
      <c r="CY85" s="89">
        <v>5870.98459</v>
      </c>
      <c r="CZ85" s="89"/>
      <c r="DA85" s="88"/>
      <c r="DB85" s="89"/>
      <c r="DC85" s="89"/>
      <c r="DD85" s="89"/>
      <c r="DE85" s="89"/>
      <c r="DF85" s="89"/>
      <c r="DG85" s="88">
        <v>47714.7</v>
      </c>
      <c r="DH85" s="89">
        <v>1466.9</v>
      </c>
      <c r="DI85" s="89"/>
      <c r="DJ85" s="89"/>
      <c r="DK85" s="89">
        <v>48812.1</v>
      </c>
      <c r="DL85" s="89">
        <v>2564.3000000000002</v>
      </c>
      <c r="DM85" s="88"/>
      <c r="DN85" s="89"/>
      <c r="DO85" s="89"/>
      <c r="DP85" s="89"/>
      <c r="DQ85" s="89"/>
      <c r="DR85" s="89"/>
      <c r="DS85" s="88"/>
      <c r="DT85" s="89"/>
      <c r="DU85" s="89"/>
      <c r="DV85" s="89"/>
      <c r="DW85" s="89"/>
      <c r="DX85" s="89"/>
      <c r="DY85" s="88"/>
      <c r="DZ85" s="89"/>
      <c r="EA85" s="89"/>
      <c r="EB85" s="89"/>
      <c r="EC85" s="89"/>
      <c r="ED85" s="89"/>
      <c r="EE85" s="88"/>
      <c r="EF85" s="89"/>
      <c r="EG85" s="89"/>
      <c r="EH85" s="89"/>
      <c r="EI85" s="89"/>
      <c r="EJ85" s="89"/>
      <c r="EK85" s="88">
        <v>4635265.0310000004</v>
      </c>
      <c r="EL85" s="89">
        <f t="shared" si="2"/>
        <v>-160660.45699999988</v>
      </c>
      <c r="EM85" s="89">
        <v>-136199.21799999988</v>
      </c>
      <c r="EN85" s="89">
        <v>-24461.239000000016</v>
      </c>
      <c r="EO85" s="89">
        <v>4758914.0829999996</v>
      </c>
      <c r="EP85" s="89">
        <v>37011.404999999999</v>
      </c>
      <c r="EQ85" s="88"/>
      <c r="ER85" s="89"/>
      <c r="ES85" s="89"/>
      <c r="ET85" s="89"/>
      <c r="EU85" s="89"/>
      <c r="EV85" s="89"/>
      <c r="EW85" s="88"/>
      <c r="EX85" s="89"/>
      <c r="EY85" s="89"/>
      <c r="EZ85" s="89"/>
      <c r="FA85" s="89"/>
      <c r="FB85" s="89"/>
      <c r="FC85" s="88"/>
      <c r="FD85" s="89"/>
      <c r="FE85" s="89"/>
      <c r="FF85" s="89"/>
      <c r="FG85" s="89"/>
      <c r="FH85" s="89"/>
      <c r="FI85" s="88"/>
      <c r="FJ85" s="89"/>
      <c r="FK85" s="89"/>
      <c r="FL85" s="89"/>
      <c r="FM85" s="89"/>
      <c r="FN85" s="89"/>
      <c r="FO85" s="88"/>
      <c r="FP85" s="89"/>
      <c r="FQ85" s="89"/>
      <c r="FR85" s="89"/>
      <c r="FS85" s="89"/>
      <c r="FT85" s="89"/>
      <c r="FU85" s="88"/>
      <c r="FV85" s="89"/>
      <c r="FW85" s="89"/>
      <c r="FX85" s="89"/>
      <c r="FY85" s="89"/>
      <c r="FZ85" s="89"/>
      <c r="GA85" s="120"/>
      <c r="GB85" s="121"/>
      <c r="GC85" s="121"/>
      <c r="GD85" s="121"/>
      <c r="GE85" s="121"/>
      <c r="GF85" s="89"/>
      <c r="GG85" s="88"/>
      <c r="GH85" s="89"/>
      <c r="GI85" s="89"/>
      <c r="GJ85" s="89"/>
      <c r="GK85" s="89"/>
      <c r="GL85" s="89"/>
      <c r="GM85" s="88">
        <v>3869.848</v>
      </c>
      <c r="GN85" s="89">
        <v>1112.046</v>
      </c>
      <c r="GO85" s="89">
        <v>804.82899999999995</v>
      </c>
      <c r="GP85" s="89">
        <v>307.21699999999998</v>
      </c>
      <c r="GQ85" s="89">
        <v>1833.942</v>
      </c>
      <c r="GR85" s="89">
        <v>923.86</v>
      </c>
      <c r="GS85" s="88"/>
      <c r="GT85" s="87"/>
      <c r="GU85" s="87"/>
      <c r="GV85" s="87"/>
      <c r="GW85" s="87"/>
      <c r="GX85" s="87"/>
      <c r="GY85" s="87"/>
      <c r="GZ85" s="88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8"/>
      <c r="HM85" s="87"/>
      <c r="HN85" s="87"/>
      <c r="HO85" s="87"/>
      <c r="HP85" s="87"/>
      <c r="HQ85" s="87"/>
      <c r="HR85" s="87"/>
      <c r="HS85" s="87"/>
    </row>
    <row r="86" spans="1:227">
      <c r="A86" s="69"/>
      <c r="B86" s="87" t="s">
        <v>499</v>
      </c>
      <c r="C86" s="88"/>
      <c r="D86" s="87"/>
      <c r="E86" s="87"/>
      <c r="F86" s="87"/>
      <c r="G86" s="87"/>
      <c r="H86" s="87"/>
      <c r="I86" s="88">
        <v>61754.751000000004</v>
      </c>
      <c r="J86" s="89">
        <v>28318.407999999999</v>
      </c>
      <c r="K86" s="89"/>
      <c r="L86" s="89"/>
      <c r="M86" s="89">
        <v>53345.964</v>
      </c>
      <c r="N86" s="91">
        <v>-19909.620999999999</v>
      </c>
      <c r="O86" s="90"/>
      <c r="P86" s="91"/>
      <c r="Q86" s="91"/>
      <c r="R86" s="91"/>
      <c r="S86" s="91"/>
      <c r="T86" s="91"/>
      <c r="U86" s="90"/>
      <c r="V86" s="91"/>
      <c r="W86" s="91"/>
      <c r="X86" s="91"/>
      <c r="Y86" s="91"/>
      <c r="Z86" s="91"/>
      <c r="AA86" s="88">
        <v>590.18200000000002</v>
      </c>
      <c r="AB86" s="89">
        <f t="shared" si="3"/>
        <v>104.47800000000001</v>
      </c>
      <c r="AC86" s="89">
        <v>85.822000000000003</v>
      </c>
      <c r="AD86" s="89">
        <v>18.655999999999999</v>
      </c>
      <c r="AE86" s="89">
        <v>485.70400000000001</v>
      </c>
      <c r="AF86" s="89"/>
      <c r="AG86" s="88"/>
      <c r="AH86" s="89"/>
      <c r="AI86" s="89"/>
      <c r="AJ86" s="89"/>
      <c r="AK86" s="89"/>
      <c r="AL86" s="89"/>
      <c r="AM86" s="88"/>
      <c r="AN86" s="89"/>
      <c r="AO86" s="89"/>
      <c r="AP86" s="89"/>
      <c r="AQ86" s="89"/>
      <c r="AR86" s="89"/>
      <c r="AS86" s="88"/>
      <c r="AT86" s="89"/>
      <c r="AU86" s="89"/>
      <c r="AV86" s="89"/>
      <c r="AW86" s="89"/>
      <c r="AX86" s="89"/>
      <c r="AY86" s="88"/>
      <c r="AZ86" s="89"/>
      <c r="BA86" s="89"/>
      <c r="BB86" s="89"/>
      <c r="BC86" s="89"/>
      <c r="BD86" s="89"/>
      <c r="BE86" s="88"/>
      <c r="BF86" s="89"/>
      <c r="BG86" s="89"/>
      <c r="BH86" s="89"/>
      <c r="BI86" s="89"/>
      <c r="BJ86" s="89"/>
      <c r="BK86" s="88"/>
      <c r="BL86" s="89"/>
      <c r="BM86" s="89"/>
      <c r="BN86" s="89"/>
      <c r="BO86" s="89"/>
      <c r="BP86" s="89"/>
      <c r="BQ86" s="88"/>
      <c r="BR86" s="89"/>
      <c r="BS86" s="89"/>
      <c r="BT86" s="89"/>
      <c r="BU86" s="89"/>
      <c r="BV86" s="89"/>
      <c r="BW86" s="88"/>
      <c r="BX86" s="89"/>
      <c r="BY86" s="89"/>
      <c r="BZ86" s="89"/>
      <c r="CA86" s="89"/>
      <c r="CB86" s="89"/>
      <c r="CC86" s="88"/>
      <c r="CD86" s="89"/>
      <c r="CE86" s="89"/>
      <c r="CF86" s="89"/>
      <c r="CG86" s="89"/>
      <c r="CH86" s="89"/>
      <c r="CI86" s="88"/>
      <c r="CJ86" s="89"/>
      <c r="CK86" s="89"/>
      <c r="CL86" s="89"/>
      <c r="CM86" s="89"/>
      <c r="CN86" s="89"/>
      <c r="CO86" s="88"/>
      <c r="CP86" s="89"/>
      <c r="CQ86" s="89"/>
      <c r="CR86" s="89"/>
      <c r="CS86" s="89"/>
      <c r="CT86" s="89"/>
      <c r="CU86" s="88">
        <f t="shared" si="4"/>
        <v>11449.035580000002</v>
      </c>
      <c r="CV86" s="89">
        <v>5648.026100000001</v>
      </c>
      <c r="CW86" s="89">
        <v>5683.1992000000009</v>
      </c>
      <c r="CX86" s="89">
        <v>-35.173100000000005</v>
      </c>
      <c r="CY86" s="89">
        <v>5801.0094800000006</v>
      </c>
      <c r="CZ86" s="89"/>
      <c r="DA86" s="88"/>
      <c r="DB86" s="89"/>
      <c r="DC86" s="89"/>
      <c r="DD86" s="89"/>
      <c r="DE86" s="89"/>
      <c r="DF86" s="89"/>
      <c r="DG86" s="88">
        <v>48725.4</v>
      </c>
      <c r="DH86" s="89">
        <v>3580.5</v>
      </c>
      <c r="DI86" s="89"/>
      <c r="DJ86" s="89"/>
      <c r="DK86" s="89">
        <v>48563.5</v>
      </c>
      <c r="DL86" s="89">
        <v>3418.6</v>
      </c>
      <c r="DM86" s="88"/>
      <c r="DN86" s="89"/>
      <c r="DO86" s="89"/>
      <c r="DP86" s="89"/>
      <c r="DQ86" s="89"/>
      <c r="DR86" s="89"/>
      <c r="DS86" s="88"/>
      <c r="DT86" s="89"/>
      <c r="DU86" s="89"/>
      <c r="DV86" s="89"/>
      <c r="DW86" s="89"/>
      <c r="DX86" s="89"/>
      <c r="DY86" s="88"/>
      <c r="DZ86" s="89"/>
      <c r="EA86" s="89"/>
      <c r="EB86" s="89"/>
      <c r="EC86" s="89"/>
      <c r="ED86" s="89"/>
      <c r="EE86" s="88"/>
      <c r="EF86" s="89"/>
      <c r="EG86" s="89"/>
      <c r="EH86" s="89"/>
      <c r="EI86" s="89"/>
      <c r="EJ86" s="89"/>
      <c r="EK86" s="88">
        <v>4722677.9339999994</v>
      </c>
      <c r="EL86" s="89">
        <f t="shared" si="2"/>
        <v>-225264.17900000003</v>
      </c>
      <c r="EM86" s="89">
        <v>-200397.74600000004</v>
      </c>
      <c r="EN86" s="89">
        <v>-24866.432999999986</v>
      </c>
      <c r="EO86" s="89">
        <v>4920263.602</v>
      </c>
      <c r="EP86" s="89">
        <v>27678.51100000001</v>
      </c>
      <c r="EQ86" s="88"/>
      <c r="ER86" s="89"/>
      <c r="ES86" s="89"/>
      <c r="ET86" s="89"/>
      <c r="EU86" s="89"/>
      <c r="EV86" s="89"/>
      <c r="EW86" s="88"/>
      <c r="EX86" s="89"/>
      <c r="EY86" s="89"/>
      <c r="EZ86" s="89"/>
      <c r="FA86" s="89"/>
      <c r="FB86" s="89"/>
      <c r="FC86" s="88"/>
      <c r="FD86" s="89"/>
      <c r="FE86" s="89"/>
      <c r="FF86" s="89"/>
      <c r="FG86" s="89"/>
      <c r="FH86" s="89"/>
      <c r="FI86" s="88"/>
      <c r="FJ86" s="89"/>
      <c r="FK86" s="89"/>
      <c r="FL86" s="89"/>
      <c r="FM86" s="89"/>
      <c r="FN86" s="89"/>
      <c r="FO86" s="88"/>
      <c r="FP86" s="89"/>
      <c r="FQ86" s="89"/>
      <c r="FR86" s="89"/>
      <c r="FS86" s="89"/>
      <c r="FT86" s="89"/>
      <c r="FU86" s="88"/>
      <c r="FV86" s="89"/>
      <c r="FW86" s="89"/>
      <c r="FX86" s="89"/>
      <c r="FY86" s="89"/>
      <c r="FZ86" s="89"/>
      <c r="GA86" s="120"/>
      <c r="GB86" s="121"/>
      <c r="GC86" s="121"/>
      <c r="GD86" s="121"/>
      <c r="GE86" s="121"/>
      <c r="GF86" s="89"/>
      <c r="GG86" s="88"/>
      <c r="GH86" s="89"/>
      <c r="GI86" s="89"/>
      <c r="GJ86" s="89"/>
      <c r="GK86" s="89"/>
      <c r="GL86" s="89"/>
      <c r="GM86" s="88">
        <v>4161.5389999999998</v>
      </c>
      <c r="GN86" s="89">
        <v>1069.837</v>
      </c>
      <c r="GO86" s="89">
        <v>759.24300000000005</v>
      </c>
      <c r="GP86" s="89">
        <v>310.59399999999999</v>
      </c>
      <c r="GQ86" s="89">
        <v>2001.1079999999999</v>
      </c>
      <c r="GR86" s="89">
        <v>1090.5940000000001</v>
      </c>
      <c r="GS86" s="88"/>
      <c r="GT86" s="87"/>
      <c r="GU86" s="87"/>
      <c r="GV86" s="87"/>
      <c r="GW86" s="87"/>
      <c r="GX86" s="87"/>
      <c r="GY86" s="87"/>
      <c r="GZ86" s="88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8"/>
      <c r="HM86" s="87"/>
      <c r="HN86" s="87"/>
      <c r="HO86" s="87"/>
      <c r="HP86" s="87"/>
      <c r="HQ86" s="87"/>
      <c r="HR86" s="87"/>
      <c r="HS86" s="87"/>
    </row>
    <row r="87" spans="1:227" ht="12" thickBot="1">
      <c r="A87" s="102"/>
      <c r="B87" s="105" t="s">
        <v>500</v>
      </c>
      <c r="C87" s="104"/>
      <c r="D87" s="105"/>
      <c r="E87" s="105"/>
      <c r="F87" s="105"/>
      <c r="G87" s="105"/>
      <c r="H87" s="105"/>
      <c r="I87" s="104">
        <v>61748.164999999994</v>
      </c>
      <c r="J87" s="105">
        <v>27358.43</v>
      </c>
      <c r="K87" s="105"/>
      <c r="L87" s="105"/>
      <c r="M87" s="105">
        <v>54938.875</v>
      </c>
      <c r="N87" s="105">
        <v>-20349.14</v>
      </c>
      <c r="O87" s="106">
        <v>2776.7</v>
      </c>
      <c r="P87" s="107">
        <f>Q87+R87</f>
        <v>512.80000000000007</v>
      </c>
      <c r="Q87" s="107">
        <v>422.1</v>
      </c>
      <c r="R87" s="107">
        <v>90.7</v>
      </c>
      <c r="S87" s="107">
        <v>2263.9</v>
      </c>
      <c r="T87" s="107"/>
      <c r="U87" s="106"/>
      <c r="V87" s="107"/>
      <c r="W87" s="119"/>
      <c r="X87" s="119"/>
      <c r="Y87" s="119"/>
      <c r="Z87" s="119"/>
      <c r="AA87" s="104">
        <v>580.95399999999995</v>
      </c>
      <c r="AB87" s="105">
        <f t="shared" si="3"/>
        <v>99.614999999999995</v>
      </c>
      <c r="AC87" s="105">
        <v>80.876999999999995</v>
      </c>
      <c r="AD87" s="105">
        <v>18.738</v>
      </c>
      <c r="AE87" s="105">
        <v>481.339</v>
      </c>
      <c r="AF87" s="105"/>
      <c r="AG87" s="104">
        <v>25571.469989000001</v>
      </c>
      <c r="AH87" s="105">
        <v>5647.2009889999999</v>
      </c>
      <c r="AI87" s="105">
        <v>5528.285989</v>
      </c>
      <c r="AJ87" s="105"/>
      <c r="AK87" s="105">
        <v>19924.27</v>
      </c>
      <c r="AL87" s="105"/>
      <c r="AM87" s="104"/>
      <c r="AN87" s="105"/>
      <c r="AO87" s="105"/>
      <c r="AP87" s="105"/>
      <c r="AQ87" s="105"/>
      <c r="AR87" s="105"/>
      <c r="AS87" s="104"/>
      <c r="AT87" s="105"/>
      <c r="AU87" s="105"/>
      <c r="AV87" s="105"/>
      <c r="AW87" s="105"/>
      <c r="AX87" s="105"/>
      <c r="AY87" s="104"/>
      <c r="AZ87" s="105"/>
      <c r="BA87" s="105"/>
      <c r="BB87" s="105"/>
      <c r="BC87" s="105"/>
      <c r="BD87" s="105"/>
      <c r="BE87" s="104"/>
      <c r="BF87" s="105"/>
      <c r="BG87" s="105"/>
      <c r="BH87" s="105"/>
      <c r="BI87" s="105"/>
      <c r="BJ87" s="105"/>
      <c r="BK87" s="104"/>
      <c r="BL87" s="105"/>
      <c r="BM87" s="105"/>
      <c r="BN87" s="105"/>
      <c r="BO87" s="105"/>
      <c r="BP87" s="105"/>
      <c r="BQ87" s="104"/>
      <c r="BR87" s="105"/>
      <c r="BS87" s="105"/>
      <c r="BT87" s="105"/>
      <c r="BU87" s="105"/>
      <c r="BV87" s="105"/>
      <c r="BW87" s="104"/>
      <c r="BX87" s="105"/>
      <c r="BY87" s="105"/>
      <c r="BZ87" s="105"/>
      <c r="CA87" s="105"/>
      <c r="CB87" s="105"/>
      <c r="CC87" s="104"/>
      <c r="CD87" s="105"/>
      <c r="CE87" s="105"/>
      <c r="CF87" s="105"/>
      <c r="CG87" s="105"/>
      <c r="CH87" s="105"/>
      <c r="CI87" s="104"/>
      <c r="CJ87" s="105"/>
      <c r="CK87" s="105"/>
      <c r="CL87" s="105"/>
      <c r="CM87" s="105"/>
      <c r="CN87" s="105"/>
      <c r="CO87" s="104"/>
      <c r="CP87" s="105"/>
      <c r="CQ87" s="105"/>
      <c r="CR87" s="105"/>
      <c r="CS87" s="105"/>
      <c r="CT87" s="105"/>
      <c r="CU87" s="104">
        <f t="shared" si="4"/>
        <v>11566.71542</v>
      </c>
      <c r="CV87" s="105">
        <v>5507.2815000000001</v>
      </c>
      <c r="CW87" s="105">
        <v>5573.6472000000003</v>
      </c>
      <c r="CX87" s="105">
        <v>-66.365700000000004</v>
      </c>
      <c r="CY87" s="105">
        <v>6059.4339199999995</v>
      </c>
      <c r="CZ87" s="105"/>
      <c r="DA87" s="104"/>
      <c r="DB87" s="105"/>
      <c r="DC87" s="105"/>
      <c r="DD87" s="105"/>
      <c r="DE87" s="105"/>
      <c r="DF87" s="105"/>
      <c r="DG87" s="104">
        <v>57151.9</v>
      </c>
      <c r="DH87" s="105">
        <v>9179.6</v>
      </c>
      <c r="DI87" s="108"/>
      <c r="DJ87" s="108"/>
      <c r="DK87" s="108">
        <v>50036.9</v>
      </c>
      <c r="DL87" s="108">
        <v>2064.6</v>
      </c>
      <c r="DM87" s="109"/>
      <c r="DN87" s="108"/>
      <c r="DO87" s="108"/>
      <c r="DP87" s="108"/>
      <c r="DQ87" s="105"/>
      <c r="DR87" s="105"/>
      <c r="DS87" s="104"/>
      <c r="DT87" s="105"/>
      <c r="DU87" s="105"/>
      <c r="DV87" s="105"/>
      <c r="DW87" s="105"/>
      <c r="DX87" s="105"/>
      <c r="DY87" s="104"/>
      <c r="DZ87" s="105"/>
      <c r="EA87" s="105"/>
      <c r="EB87" s="105"/>
      <c r="EC87" s="105"/>
      <c r="ED87" s="105"/>
      <c r="EE87" s="104"/>
      <c r="EF87" s="105"/>
      <c r="EG87" s="105"/>
      <c r="EH87" s="105"/>
      <c r="EI87" s="105"/>
      <c r="EJ87" s="105"/>
      <c r="EK87" s="104">
        <v>4751006.8259999994</v>
      </c>
      <c r="EL87" s="105">
        <f t="shared" si="2"/>
        <v>-277375.82999999978</v>
      </c>
      <c r="EM87" s="105">
        <v>-266748.90199999977</v>
      </c>
      <c r="EN87" s="105">
        <v>-10626.928000000009</v>
      </c>
      <c r="EO87" s="105">
        <v>5001571.4989999998</v>
      </c>
      <c r="EP87" s="105">
        <v>26811.156999999996</v>
      </c>
      <c r="EQ87" s="104"/>
      <c r="ER87" s="105"/>
      <c r="ES87" s="105"/>
      <c r="ET87" s="105"/>
      <c r="EU87" s="105"/>
      <c r="EV87" s="105"/>
      <c r="EW87" s="104"/>
      <c r="EX87" s="105"/>
      <c r="EY87" s="105"/>
      <c r="EZ87" s="105"/>
      <c r="FA87" s="105"/>
      <c r="FB87" s="105"/>
      <c r="FC87" s="104"/>
      <c r="FD87" s="105"/>
      <c r="FE87" s="105"/>
      <c r="FF87" s="105"/>
      <c r="FG87" s="105"/>
      <c r="FH87" s="105"/>
      <c r="FI87" s="104"/>
      <c r="FJ87" s="105"/>
      <c r="FK87" s="105"/>
      <c r="FL87" s="105"/>
      <c r="FM87" s="105"/>
      <c r="FN87" s="103"/>
      <c r="FO87" s="109"/>
      <c r="FP87" s="108"/>
      <c r="FQ87" s="108"/>
      <c r="FR87" s="108"/>
      <c r="FS87" s="108"/>
      <c r="FT87" s="108"/>
      <c r="FU87" s="104"/>
      <c r="FV87" s="105"/>
      <c r="FW87" s="105"/>
      <c r="FX87" s="105"/>
      <c r="FY87" s="105"/>
      <c r="FZ87" s="105"/>
      <c r="GA87" s="104"/>
      <c r="GB87" s="105"/>
      <c r="GC87" s="105"/>
      <c r="GD87" s="105"/>
      <c r="GE87" s="105"/>
      <c r="GF87" s="105"/>
      <c r="GG87" s="104"/>
      <c r="GH87" s="105"/>
      <c r="GI87" s="105"/>
      <c r="GJ87" s="105"/>
      <c r="GK87" s="105"/>
      <c r="GL87" s="105"/>
      <c r="GM87" s="104">
        <v>4633.5259999999998</v>
      </c>
      <c r="GN87" s="105">
        <v>1024.682</v>
      </c>
      <c r="GO87" s="105">
        <v>718.48699999999997</v>
      </c>
      <c r="GP87" s="105">
        <v>306.19499999999999</v>
      </c>
      <c r="GQ87" s="105">
        <v>2392.2779999999998</v>
      </c>
      <c r="GR87" s="103">
        <v>1216.566</v>
      </c>
      <c r="GS87" s="88"/>
      <c r="GT87" s="87"/>
      <c r="GU87" s="87"/>
      <c r="GV87" s="87"/>
      <c r="GW87" s="87"/>
      <c r="GX87" s="87"/>
      <c r="GY87" s="87"/>
      <c r="GZ87" s="88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8"/>
      <c r="HM87" s="87"/>
      <c r="HN87" s="87"/>
      <c r="HO87" s="87"/>
      <c r="HP87" s="87"/>
      <c r="HQ87" s="87"/>
      <c r="HR87" s="87"/>
      <c r="HS87" s="87"/>
    </row>
    <row r="88" spans="1:227">
      <c r="A88" s="86">
        <v>1997</v>
      </c>
      <c r="B88" s="87" t="s">
        <v>489</v>
      </c>
      <c r="C88" s="88"/>
      <c r="D88" s="87"/>
      <c r="E88" s="87"/>
      <c r="F88" s="87"/>
      <c r="G88" s="87"/>
      <c r="H88" s="87"/>
      <c r="I88" s="88">
        <v>62731.745999999999</v>
      </c>
      <c r="J88" s="89">
        <v>27938.445</v>
      </c>
      <c r="K88" s="89"/>
      <c r="L88" s="89"/>
      <c r="M88" s="89">
        <v>55209.815999999992</v>
      </c>
      <c r="N88" s="89">
        <v>-20466.514999999999</v>
      </c>
      <c r="O88" s="90"/>
      <c r="P88" s="91"/>
      <c r="Q88" s="91"/>
      <c r="R88" s="91"/>
      <c r="S88" s="91"/>
      <c r="T88" s="91"/>
      <c r="U88" s="90"/>
      <c r="V88" s="91"/>
      <c r="W88" s="91"/>
      <c r="X88" s="91"/>
      <c r="Y88" s="91"/>
      <c r="Z88" s="91"/>
      <c r="AA88" s="88">
        <v>597.755</v>
      </c>
      <c r="AB88" s="89">
        <f t="shared" si="3"/>
        <v>105.405</v>
      </c>
      <c r="AC88" s="89">
        <v>87.02</v>
      </c>
      <c r="AD88" s="89">
        <v>18.385000000000002</v>
      </c>
      <c r="AE88" s="89">
        <v>492.35</v>
      </c>
      <c r="AF88" s="89"/>
      <c r="AG88" s="88"/>
      <c r="AH88" s="89"/>
      <c r="AI88" s="89"/>
      <c r="AJ88" s="89"/>
      <c r="AK88" s="89"/>
      <c r="AL88" s="89"/>
      <c r="AM88" s="88"/>
      <c r="AN88" s="89"/>
      <c r="AO88" s="89"/>
      <c r="AP88" s="89"/>
      <c r="AQ88" s="89"/>
      <c r="AR88" s="89"/>
      <c r="AS88" s="88"/>
      <c r="AT88" s="89"/>
      <c r="AU88" s="89"/>
      <c r="AV88" s="89"/>
      <c r="AW88" s="89"/>
      <c r="AX88" s="89"/>
      <c r="AY88" s="88"/>
      <c r="AZ88" s="89"/>
      <c r="BA88" s="89"/>
      <c r="BB88" s="89"/>
      <c r="BC88" s="89"/>
      <c r="BD88" s="89"/>
      <c r="BE88" s="88"/>
      <c r="BF88" s="89"/>
      <c r="BG88" s="89"/>
      <c r="BH88" s="89"/>
      <c r="BI88" s="89"/>
      <c r="BJ88" s="89"/>
      <c r="BK88" s="88"/>
      <c r="BL88" s="89"/>
      <c r="BM88" s="89"/>
      <c r="BN88" s="89"/>
      <c r="BO88" s="89"/>
      <c r="BP88" s="89"/>
      <c r="BQ88" s="88"/>
      <c r="BR88" s="89"/>
      <c r="BS88" s="89"/>
      <c r="BT88" s="89"/>
      <c r="BU88" s="89"/>
      <c r="BV88" s="89"/>
      <c r="BW88" s="88"/>
      <c r="BX88" s="89"/>
      <c r="BY88" s="89"/>
      <c r="BZ88" s="89"/>
      <c r="CA88" s="89"/>
      <c r="CB88" s="89"/>
      <c r="CC88" s="88"/>
      <c r="CD88" s="89"/>
      <c r="CE88" s="89"/>
      <c r="CF88" s="89"/>
      <c r="CG88" s="89"/>
      <c r="CH88" s="89"/>
      <c r="CI88" s="88"/>
      <c r="CJ88" s="89"/>
      <c r="CK88" s="89"/>
      <c r="CL88" s="89"/>
      <c r="CM88" s="89"/>
      <c r="CN88" s="89"/>
      <c r="CO88" s="88"/>
      <c r="CP88" s="89"/>
      <c r="CQ88" s="89"/>
      <c r="CR88" s="89"/>
      <c r="CS88" s="89"/>
      <c r="CT88" s="89"/>
      <c r="CU88" s="88">
        <f t="shared" si="4"/>
        <v>11908.099400000003</v>
      </c>
      <c r="CV88" s="89">
        <v>5562.0268000000015</v>
      </c>
      <c r="CW88" s="89">
        <v>5616.0527000000011</v>
      </c>
      <c r="CX88" s="89">
        <v>-54.0259</v>
      </c>
      <c r="CY88" s="89">
        <v>6346.0726000000004</v>
      </c>
      <c r="CZ88" s="89"/>
      <c r="DA88" s="88"/>
      <c r="DB88" s="89"/>
      <c r="DC88" s="89"/>
      <c r="DD88" s="89"/>
      <c r="DE88" s="89"/>
      <c r="DF88" s="89"/>
      <c r="DG88" s="88">
        <v>55230.5</v>
      </c>
      <c r="DH88" s="89">
        <v>8107.3</v>
      </c>
      <c r="DI88" s="89"/>
      <c r="DJ88" s="89"/>
      <c r="DK88" s="89">
        <v>44673.2</v>
      </c>
      <c r="DL88" s="89">
        <v>2450</v>
      </c>
      <c r="DM88" s="88"/>
      <c r="DN88" s="89"/>
      <c r="DO88" s="89"/>
      <c r="DP88" s="89"/>
      <c r="DQ88" s="89"/>
      <c r="DR88" s="89"/>
      <c r="DS88" s="88"/>
      <c r="DT88" s="89"/>
      <c r="DU88" s="89"/>
      <c r="DV88" s="89"/>
      <c r="DW88" s="89"/>
      <c r="DX88" s="89"/>
      <c r="DY88" s="88"/>
      <c r="DZ88" s="89"/>
      <c r="EA88" s="89"/>
      <c r="EB88" s="89"/>
      <c r="EC88" s="89"/>
      <c r="ED88" s="89"/>
      <c r="EE88" s="88"/>
      <c r="EF88" s="89"/>
      <c r="EG88" s="89"/>
      <c r="EH88" s="89"/>
      <c r="EI88" s="89"/>
      <c r="EJ88" s="89"/>
      <c r="EK88" s="88">
        <v>4976499.2070000004</v>
      </c>
      <c r="EL88" s="89">
        <f t="shared" si="2"/>
        <v>-99004.991000000329</v>
      </c>
      <c r="EM88" s="89">
        <v>-105319.26200000034</v>
      </c>
      <c r="EN88" s="89">
        <v>6314.2710000000134</v>
      </c>
      <c r="EO88" s="89">
        <v>5034247.6240000008</v>
      </c>
      <c r="EP88" s="89">
        <v>41256.574000000008</v>
      </c>
      <c r="EQ88" s="88"/>
      <c r="ER88" s="89"/>
      <c r="ES88" s="89"/>
      <c r="ET88" s="89"/>
      <c r="EU88" s="89"/>
      <c r="EV88" s="89"/>
      <c r="EW88" s="88"/>
      <c r="EX88" s="89"/>
      <c r="EY88" s="89"/>
      <c r="EZ88" s="89"/>
      <c r="FA88" s="89"/>
      <c r="FB88" s="89"/>
      <c r="FC88" s="88"/>
      <c r="FD88" s="89"/>
      <c r="FE88" s="89"/>
      <c r="FF88" s="89"/>
      <c r="FG88" s="89"/>
      <c r="FH88" s="89"/>
      <c r="FI88" s="88"/>
      <c r="FJ88" s="89"/>
      <c r="FK88" s="89"/>
      <c r="FL88" s="89"/>
      <c r="FM88" s="89"/>
      <c r="FN88" s="89"/>
      <c r="FO88" s="88"/>
      <c r="FP88" s="89"/>
      <c r="FQ88" s="89"/>
      <c r="FR88" s="89"/>
      <c r="FS88" s="89"/>
      <c r="FT88" s="89"/>
      <c r="FU88" s="88"/>
      <c r="FV88" s="89"/>
      <c r="FW88" s="89"/>
      <c r="FX88" s="89"/>
      <c r="FY88" s="89"/>
      <c r="FZ88" s="89"/>
      <c r="GA88" s="120"/>
      <c r="GB88" s="121"/>
      <c r="GC88" s="121"/>
      <c r="GD88" s="121"/>
      <c r="GE88" s="121"/>
      <c r="GF88" s="89"/>
      <c r="GG88" s="88"/>
      <c r="GH88" s="89"/>
      <c r="GI88" s="89"/>
      <c r="GJ88" s="89"/>
      <c r="GK88" s="89"/>
      <c r="GL88" s="89"/>
      <c r="GM88" s="88">
        <v>4615.6499999999996</v>
      </c>
      <c r="GN88" s="89">
        <v>914.678</v>
      </c>
      <c r="GO88" s="89">
        <v>685.35400000000004</v>
      </c>
      <c r="GP88" s="89">
        <v>229.32400000000001</v>
      </c>
      <c r="GQ88" s="89">
        <v>2418.1959999999999</v>
      </c>
      <c r="GR88" s="89">
        <v>1282.7760000000001</v>
      </c>
      <c r="GS88" s="88"/>
      <c r="GT88" s="87"/>
      <c r="GU88" s="87"/>
      <c r="GV88" s="87"/>
      <c r="GW88" s="87"/>
      <c r="GX88" s="87"/>
      <c r="GY88" s="87"/>
      <c r="GZ88" s="88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8"/>
      <c r="HM88" s="87"/>
      <c r="HN88" s="87"/>
      <c r="HO88" s="87"/>
      <c r="HP88" s="87"/>
      <c r="HQ88" s="87"/>
      <c r="HR88" s="87"/>
      <c r="HS88" s="87"/>
    </row>
    <row r="89" spans="1:227">
      <c r="A89" s="69"/>
      <c r="B89" s="87" t="s">
        <v>490</v>
      </c>
      <c r="C89" s="88"/>
      <c r="D89" s="87"/>
      <c r="E89" s="87"/>
      <c r="F89" s="87"/>
      <c r="G89" s="87"/>
      <c r="H89" s="87"/>
      <c r="I89" s="88">
        <v>63121.898999999998</v>
      </c>
      <c r="J89" s="89">
        <v>28019.368999999999</v>
      </c>
      <c r="K89" s="89"/>
      <c r="L89" s="89"/>
      <c r="M89" s="89">
        <v>55368.698999999993</v>
      </c>
      <c r="N89" s="91">
        <v>-20266.169000000002</v>
      </c>
      <c r="O89" s="90"/>
      <c r="P89" s="91"/>
      <c r="Q89" s="91"/>
      <c r="R89" s="91"/>
      <c r="S89" s="91"/>
      <c r="T89" s="91"/>
      <c r="U89" s="90"/>
      <c r="V89" s="91"/>
      <c r="W89" s="91"/>
      <c r="X89" s="91"/>
      <c r="Y89" s="91"/>
      <c r="Z89" s="91"/>
      <c r="AA89" s="88">
        <v>591.09400000000005</v>
      </c>
      <c r="AB89" s="89">
        <f t="shared" si="3"/>
        <v>98.700999999999993</v>
      </c>
      <c r="AC89" s="89">
        <v>89.25</v>
      </c>
      <c r="AD89" s="89">
        <v>9.4510000000000005</v>
      </c>
      <c r="AE89" s="89">
        <v>492.39299999999997</v>
      </c>
      <c r="AF89" s="89"/>
      <c r="AG89" s="88"/>
      <c r="AH89" s="89"/>
      <c r="AI89" s="89"/>
      <c r="AJ89" s="89"/>
      <c r="AK89" s="89"/>
      <c r="AL89" s="89"/>
      <c r="AM89" s="88"/>
      <c r="AN89" s="89"/>
      <c r="AO89" s="89"/>
      <c r="AP89" s="89"/>
      <c r="AQ89" s="89"/>
      <c r="AR89" s="89"/>
      <c r="AS89" s="88"/>
      <c r="AT89" s="89"/>
      <c r="AU89" s="89"/>
      <c r="AV89" s="89"/>
      <c r="AW89" s="89"/>
      <c r="AX89" s="89"/>
      <c r="AY89" s="88"/>
      <c r="AZ89" s="89"/>
      <c r="BA89" s="89"/>
      <c r="BB89" s="89"/>
      <c r="BC89" s="89"/>
      <c r="BD89" s="89"/>
      <c r="BE89" s="88"/>
      <c r="BF89" s="89"/>
      <c r="BG89" s="89"/>
      <c r="BH89" s="89"/>
      <c r="BI89" s="89"/>
      <c r="BJ89" s="89"/>
      <c r="BK89" s="88"/>
      <c r="BL89" s="89"/>
      <c r="BM89" s="89"/>
      <c r="BN89" s="89"/>
      <c r="BO89" s="89"/>
      <c r="BP89" s="89"/>
      <c r="BQ89" s="88"/>
      <c r="BR89" s="89"/>
      <c r="BS89" s="89"/>
      <c r="BT89" s="89"/>
      <c r="BU89" s="89"/>
      <c r="BV89" s="89"/>
      <c r="BW89" s="88"/>
      <c r="BX89" s="89"/>
      <c r="BY89" s="89"/>
      <c r="BZ89" s="89"/>
      <c r="CA89" s="89"/>
      <c r="CB89" s="89"/>
      <c r="CC89" s="88"/>
      <c r="CD89" s="89"/>
      <c r="CE89" s="89"/>
      <c r="CF89" s="89"/>
      <c r="CG89" s="89"/>
      <c r="CH89" s="89"/>
      <c r="CI89" s="88"/>
      <c r="CJ89" s="89"/>
      <c r="CK89" s="89"/>
      <c r="CL89" s="89"/>
      <c r="CM89" s="89"/>
      <c r="CN89" s="89"/>
      <c r="CO89" s="88"/>
      <c r="CP89" s="89"/>
      <c r="CQ89" s="89"/>
      <c r="CR89" s="89"/>
      <c r="CS89" s="89"/>
      <c r="CT89" s="89"/>
      <c r="CU89" s="88">
        <f t="shared" si="4"/>
        <v>12082.59791</v>
      </c>
      <c r="CV89" s="89">
        <v>5624.8625000000002</v>
      </c>
      <c r="CW89" s="89">
        <v>5652.3190000000004</v>
      </c>
      <c r="CX89" s="89">
        <v>-27.456499999999998</v>
      </c>
      <c r="CY89" s="89">
        <v>6457.7354100000002</v>
      </c>
      <c r="CZ89" s="89"/>
      <c r="DA89" s="88"/>
      <c r="DB89" s="89"/>
      <c r="DC89" s="89"/>
      <c r="DD89" s="89"/>
      <c r="DE89" s="89"/>
      <c r="DF89" s="89"/>
      <c r="DG89" s="88">
        <v>62588.6</v>
      </c>
      <c r="DH89" s="89">
        <v>10780.4</v>
      </c>
      <c r="DI89" s="89"/>
      <c r="DJ89" s="89"/>
      <c r="DK89" s="89">
        <v>45932.4</v>
      </c>
      <c r="DL89" s="89">
        <v>5875.8</v>
      </c>
      <c r="DM89" s="88"/>
      <c r="DN89" s="89"/>
      <c r="DO89" s="89"/>
      <c r="DP89" s="89"/>
      <c r="DQ89" s="89"/>
      <c r="DR89" s="89"/>
      <c r="DS89" s="88"/>
      <c r="DT89" s="89"/>
      <c r="DU89" s="89"/>
      <c r="DV89" s="89"/>
      <c r="DW89" s="89"/>
      <c r="DX89" s="89"/>
      <c r="DY89" s="88"/>
      <c r="DZ89" s="89"/>
      <c r="EA89" s="89"/>
      <c r="EB89" s="89"/>
      <c r="EC89" s="89"/>
      <c r="ED89" s="89"/>
      <c r="EE89" s="88"/>
      <c r="EF89" s="89"/>
      <c r="EG89" s="89"/>
      <c r="EH89" s="89"/>
      <c r="EI89" s="89"/>
      <c r="EJ89" s="89"/>
      <c r="EK89" s="88">
        <v>5182075.9579999996</v>
      </c>
      <c r="EL89" s="89">
        <f t="shared" si="2"/>
        <v>-15929.119999999661</v>
      </c>
      <c r="EM89" s="89">
        <v>-81720.375999999698</v>
      </c>
      <c r="EN89" s="89">
        <v>65791.256000000038</v>
      </c>
      <c r="EO89" s="89">
        <v>5157289.6629999997</v>
      </c>
      <c r="EP89" s="89">
        <v>40715.414999999994</v>
      </c>
      <c r="EQ89" s="88"/>
      <c r="ER89" s="89"/>
      <c r="ES89" s="89"/>
      <c r="ET89" s="89"/>
      <c r="EU89" s="89"/>
      <c r="EV89" s="89"/>
      <c r="EW89" s="88"/>
      <c r="EX89" s="89"/>
      <c r="EY89" s="89"/>
      <c r="EZ89" s="89"/>
      <c r="FA89" s="89"/>
      <c r="FB89" s="89"/>
      <c r="FC89" s="88"/>
      <c r="FD89" s="89"/>
      <c r="FE89" s="89"/>
      <c r="FF89" s="89"/>
      <c r="FG89" s="89"/>
      <c r="FH89" s="89"/>
      <c r="FI89" s="88"/>
      <c r="FJ89" s="89"/>
      <c r="FK89" s="89"/>
      <c r="FL89" s="89"/>
      <c r="FM89" s="89"/>
      <c r="FN89" s="89"/>
      <c r="FO89" s="88"/>
      <c r="FP89" s="89"/>
      <c r="FQ89" s="89"/>
      <c r="FR89" s="89"/>
      <c r="FS89" s="89"/>
      <c r="FT89" s="89"/>
      <c r="FU89" s="88"/>
      <c r="FV89" s="89"/>
      <c r="FW89" s="89"/>
      <c r="FX89" s="89"/>
      <c r="FY89" s="89"/>
      <c r="FZ89" s="89"/>
      <c r="GA89" s="120"/>
      <c r="GB89" s="121"/>
      <c r="GC89" s="121"/>
      <c r="GD89" s="121"/>
      <c r="GE89" s="121"/>
      <c r="GF89" s="89"/>
      <c r="GG89" s="88"/>
      <c r="GH89" s="89"/>
      <c r="GI89" s="89"/>
      <c r="GJ89" s="89"/>
      <c r="GK89" s="89"/>
      <c r="GL89" s="89"/>
      <c r="GM89" s="88">
        <v>4722.1570000000002</v>
      </c>
      <c r="GN89" s="89">
        <v>830.22199999999998</v>
      </c>
      <c r="GO89" s="89">
        <v>673.89300000000003</v>
      </c>
      <c r="GP89" s="89">
        <v>156.32900000000001</v>
      </c>
      <c r="GQ89" s="89">
        <v>2545.9989999999998</v>
      </c>
      <c r="GR89" s="89">
        <v>1345.9359999999999</v>
      </c>
      <c r="GS89" s="88"/>
      <c r="GT89" s="87"/>
      <c r="GU89" s="87"/>
      <c r="GV89" s="87"/>
      <c r="GW89" s="87"/>
      <c r="GX89" s="87"/>
      <c r="GY89" s="87"/>
      <c r="GZ89" s="88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8"/>
      <c r="HM89" s="87"/>
      <c r="HN89" s="87"/>
      <c r="HO89" s="87"/>
      <c r="HP89" s="87"/>
      <c r="HQ89" s="87"/>
      <c r="HR89" s="87"/>
      <c r="HS89" s="87"/>
    </row>
    <row r="90" spans="1:227">
      <c r="A90" s="69"/>
      <c r="B90" s="87" t="s">
        <v>491</v>
      </c>
      <c r="C90" s="88"/>
      <c r="D90" s="87"/>
      <c r="E90" s="87"/>
      <c r="F90" s="87"/>
      <c r="G90" s="87"/>
      <c r="H90" s="87"/>
      <c r="I90" s="88">
        <v>64710.146000000008</v>
      </c>
      <c r="J90" s="89">
        <v>28820.448</v>
      </c>
      <c r="K90" s="89"/>
      <c r="L90" s="89"/>
      <c r="M90" s="89">
        <v>55971.933000000005</v>
      </c>
      <c r="N90" s="89">
        <v>-20082.235000000001</v>
      </c>
      <c r="O90" s="90"/>
      <c r="P90" s="91"/>
      <c r="Q90" s="91"/>
      <c r="R90" s="91"/>
      <c r="S90" s="91"/>
      <c r="T90" s="91"/>
      <c r="U90" s="90"/>
      <c r="V90" s="91"/>
      <c r="W90" s="91"/>
      <c r="X90" s="91"/>
      <c r="Y90" s="91"/>
      <c r="Z90" s="91"/>
      <c r="AA90" s="88">
        <v>605.57799999999997</v>
      </c>
      <c r="AB90" s="89">
        <f t="shared" si="3"/>
        <v>101.032</v>
      </c>
      <c r="AC90" s="89">
        <v>91.817999999999998</v>
      </c>
      <c r="AD90" s="89">
        <v>9.2140000000000004</v>
      </c>
      <c r="AE90" s="89">
        <v>504.54599999999999</v>
      </c>
      <c r="AF90" s="89"/>
      <c r="AG90" s="88"/>
      <c r="AH90" s="89"/>
      <c r="AI90" s="89"/>
      <c r="AJ90" s="89"/>
      <c r="AK90" s="89"/>
      <c r="AL90" s="89"/>
      <c r="AM90" s="88"/>
      <c r="AN90" s="89"/>
      <c r="AO90" s="89"/>
      <c r="AP90" s="89"/>
      <c r="AQ90" s="89"/>
      <c r="AR90" s="89"/>
      <c r="AS90" s="88"/>
      <c r="AT90" s="89"/>
      <c r="AU90" s="89"/>
      <c r="AV90" s="89"/>
      <c r="AW90" s="89"/>
      <c r="AX90" s="89"/>
      <c r="AY90" s="88"/>
      <c r="AZ90" s="89"/>
      <c r="BA90" s="89"/>
      <c r="BB90" s="89"/>
      <c r="BC90" s="89"/>
      <c r="BD90" s="89"/>
      <c r="BE90" s="88"/>
      <c r="BF90" s="89"/>
      <c r="BG90" s="89"/>
      <c r="BH90" s="89"/>
      <c r="BI90" s="89"/>
      <c r="BJ90" s="89"/>
      <c r="BK90" s="88"/>
      <c r="BL90" s="89"/>
      <c r="BM90" s="89"/>
      <c r="BN90" s="89"/>
      <c r="BO90" s="89"/>
      <c r="BP90" s="89"/>
      <c r="BQ90" s="88"/>
      <c r="BR90" s="89"/>
      <c r="BS90" s="89"/>
      <c r="BT90" s="89"/>
      <c r="BU90" s="89"/>
      <c r="BV90" s="89"/>
      <c r="BW90" s="88"/>
      <c r="BX90" s="89"/>
      <c r="BY90" s="89"/>
      <c r="BZ90" s="89"/>
      <c r="CA90" s="89"/>
      <c r="CB90" s="89"/>
      <c r="CC90" s="88"/>
      <c r="CD90" s="89"/>
      <c r="CE90" s="89"/>
      <c r="CF90" s="89"/>
      <c r="CG90" s="89"/>
      <c r="CH90" s="89"/>
      <c r="CI90" s="88"/>
      <c r="CJ90" s="89"/>
      <c r="CK90" s="89"/>
      <c r="CL90" s="89"/>
      <c r="CM90" s="89"/>
      <c r="CN90" s="89"/>
      <c r="CO90" s="88"/>
      <c r="CP90" s="89"/>
      <c r="CQ90" s="89"/>
      <c r="CR90" s="89"/>
      <c r="CS90" s="89"/>
      <c r="CT90" s="89"/>
      <c r="CU90" s="88">
        <f t="shared" si="4"/>
        <v>12400.23791</v>
      </c>
      <c r="CV90" s="89">
        <v>5633.7108000000007</v>
      </c>
      <c r="CW90" s="89">
        <v>5679.1017000000011</v>
      </c>
      <c r="CX90" s="89">
        <v>-45.390900000000002</v>
      </c>
      <c r="CY90" s="89">
        <v>6766.52711</v>
      </c>
      <c r="CZ90" s="89"/>
      <c r="DA90" s="88"/>
      <c r="DB90" s="89"/>
      <c r="DC90" s="89"/>
      <c r="DD90" s="89"/>
      <c r="DE90" s="89"/>
      <c r="DF90" s="89"/>
      <c r="DG90" s="88">
        <v>64576.6</v>
      </c>
      <c r="DH90" s="89">
        <v>23667.4</v>
      </c>
      <c r="DI90" s="89"/>
      <c r="DJ90" s="89"/>
      <c r="DK90" s="89">
        <v>44768.1</v>
      </c>
      <c r="DL90" s="89">
        <v>3858.9</v>
      </c>
      <c r="DM90" s="88"/>
      <c r="DN90" s="89"/>
      <c r="DO90" s="89"/>
      <c r="DP90" s="89"/>
      <c r="DQ90" s="89"/>
      <c r="DR90" s="89"/>
      <c r="DS90" s="88"/>
      <c r="DT90" s="89"/>
      <c r="DU90" s="89"/>
      <c r="DV90" s="89"/>
      <c r="DW90" s="89"/>
      <c r="DX90" s="89"/>
      <c r="DY90" s="88"/>
      <c r="DZ90" s="89"/>
      <c r="EA90" s="89"/>
      <c r="EB90" s="89"/>
      <c r="EC90" s="89"/>
      <c r="ED90" s="89"/>
      <c r="EE90" s="88"/>
      <c r="EF90" s="89"/>
      <c r="EG90" s="89"/>
      <c r="EH90" s="89"/>
      <c r="EI90" s="89"/>
      <c r="EJ90" s="89"/>
      <c r="EK90" s="88">
        <v>5342848.4409999996</v>
      </c>
      <c r="EL90" s="89">
        <f t="shared" si="2"/>
        <v>-66124.454999999711</v>
      </c>
      <c r="EM90" s="89">
        <v>-95368.118999999715</v>
      </c>
      <c r="EN90" s="89">
        <v>29243.664000000008</v>
      </c>
      <c r="EO90" s="89">
        <v>5361043.2609999999</v>
      </c>
      <c r="EP90" s="89">
        <v>47929.634999999995</v>
      </c>
      <c r="EQ90" s="88"/>
      <c r="ER90" s="89"/>
      <c r="ES90" s="89"/>
      <c r="ET90" s="89"/>
      <c r="EU90" s="89"/>
      <c r="EV90" s="89"/>
      <c r="EW90" s="88"/>
      <c r="EX90" s="89"/>
      <c r="EY90" s="89"/>
      <c r="EZ90" s="89"/>
      <c r="FA90" s="89"/>
      <c r="FB90" s="89"/>
      <c r="FC90" s="88"/>
      <c r="FD90" s="89"/>
      <c r="FE90" s="89"/>
      <c r="FF90" s="89"/>
      <c r="FG90" s="89"/>
      <c r="FH90" s="89"/>
      <c r="FI90" s="88"/>
      <c r="FJ90" s="89"/>
      <c r="FK90" s="89"/>
      <c r="FL90" s="89"/>
      <c r="FM90" s="89"/>
      <c r="FN90" s="89"/>
      <c r="FO90" s="88"/>
      <c r="FP90" s="89"/>
      <c r="FQ90" s="89"/>
      <c r="FR90" s="89"/>
      <c r="FS90" s="89"/>
      <c r="FT90" s="89"/>
      <c r="FU90" s="88"/>
      <c r="FV90" s="89"/>
      <c r="FW90" s="89"/>
      <c r="FX90" s="89"/>
      <c r="FY90" s="89"/>
      <c r="FZ90" s="89"/>
      <c r="GA90" s="120"/>
      <c r="GB90" s="121"/>
      <c r="GC90" s="121"/>
      <c r="GD90" s="121"/>
      <c r="GE90" s="121"/>
      <c r="GF90" s="89"/>
      <c r="GG90" s="88"/>
      <c r="GH90" s="89"/>
      <c r="GI90" s="89"/>
      <c r="GJ90" s="89"/>
      <c r="GK90" s="89"/>
      <c r="GL90" s="89"/>
      <c r="GM90" s="88">
        <v>5018.8919999999998</v>
      </c>
      <c r="GN90" s="89">
        <v>802.54200000000003</v>
      </c>
      <c r="GO90" s="89">
        <v>627.86699999999996</v>
      </c>
      <c r="GP90" s="89">
        <v>174.67500000000001</v>
      </c>
      <c r="GQ90" s="89">
        <v>2857.5619999999999</v>
      </c>
      <c r="GR90" s="89">
        <v>1358.788</v>
      </c>
      <c r="GS90" s="88"/>
      <c r="GT90" s="87"/>
      <c r="GU90" s="87"/>
      <c r="GV90" s="87"/>
      <c r="GW90" s="87"/>
      <c r="GX90" s="87"/>
      <c r="GY90" s="87"/>
      <c r="GZ90" s="88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8"/>
      <c r="HM90" s="87"/>
      <c r="HN90" s="87"/>
      <c r="HO90" s="87"/>
      <c r="HP90" s="87"/>
      <c r="HQ90" s="87"/>
      <c r="HR90" s="87"/>
      <c r="HS90" s="87"/>
    </row>
    <row r="91" spans="1:227">
      <c r="A91" s="69"/>
      <c r="B91" s="87" t="s">
        <v>492</v>
      </c>
      <c r="C91" s="88"/>
      <c r="D91" s="87"/>
      <c r="E91" s="87"/>
      <c r="F91" s="87"/>
      <c r="G91" s="87"/>
      <c r="H91" s="87"/>
      <c r="I91" s="88">
        <v>65252.837</v>
      </c>
      <c r="J91" s="89">
        <v>28632.057000000001</v>
      </c>
      <c r="K91" s="89"/>
      <c r="L91" s="89"/>
      <c r="M91" s="89">
        <v>56301.977999999996</v>
      </c>
      <c r="N91" s="89">
        <v>-19681.198</v>
      </c>
      <c r="O91" s="90"/>
      <c r="P91" s="91"/>
      <c r="Q91" s="91"/>
      <c r="R91" s="91"/>
      <c r="S91" s="91"/>
      <c r="T91" s="91"/>
      <c r="U91" s="90"/>
      <c r="V91" s="91"/>
      <c r="W91" s="91"/>
      <c r="X91" s="91"/>
      <c r="Y91" s="91"/>
      <c r="Z91" s="91"/>
      <c r="AA91" s="88">
        <v>605.98500000000001</v>
      </c>
      <c r="AB91" s="89">
        <f t="shared" si="3"/>
        <v>97.558999999999997</v>
      </c>
      <c r="AC91" s="89">
        <v>88.468999999999994</v>
      </c>
      <c r="AD91" s="89">
        <v>9.09</v>
      </c>
      <c r="AE91" s="89">
        <v>508.42599999999999</v>
      </c>
      <c r="AF91" s="89"/>
      <c r="AG91" s="88"/>
      <c r="AH91" s="89"/>
      <c r="AI91" s="89"/>
      <c r="AJ91" s="89"/>
      <c r="AK91" s="89"/>
      <c r="AL91" s="89"/>
      <c r="AM91" s="88"/>
      <c r="AN91" s="89"/>
      <c r="AO91" s="89"/>
      <c r="AP91" s="89"/>
      <c r="AQ91" s="89"/>
      <c r="AR91" s="89"/>
      <c r="AS91" s="88"/>
      <c r="AT91" s="89"/>
      <c r="AU91" s="89"/>
      <c r="AV91" s="89"/>
      <c r="AW91" s="89"/>
      <c r="AX91" s="89"/>
      <c r="AY91" s="88"/>
      <c r="AZ91" s="89"/>
      <c r="BA91" s="89"/>
      <c r="BB91" s="89"/>
      <c r="BC91" s="89"/>
      <c r="BD91" s="89"/>
      <c r="BE91" s="88"/>
      <c r="BF91" s="89"/>
      <c r="BG91" s="89"/>
      <c r="BH91" s="89"/>
      <c r="BI91" s="89"/>
      <c r="BJ91" s="89"/>
      <c r="BK91" s="88"/>
      <c r="BL91" s="89"/>
      <c r="BM91" s="89"/>
      <c r="BN91" s="89"/>
      <c r="BO91" s="89"/>
      <c r="BP91" s="89"/>
      <c r="BQ91" s="88"/>
      <c r="BR91" s="89"/>
      <c r="BS91" s="89"/>
      <c r="BT91" s="89"/>
      <c r="BU91" s="89"/>
      <c r="BV91" s="89"/>
      <c r="BW91" s="88"/>
      <c r="BX91" s="89"/>
      <c r="BY91" s="89"/>
      <c r="BZ91" s="89"/>
      <c r="CA91" s="89"/>
      <c r="CB91" s="89"/>
      <c r="CC91" s="88"/>
      <c r="CD91" s="89"/>
      <c r="CE91" s="89"/>
      <c r="CF91" s="89"/>
      <c r="CG91" s="89"/>
      <c r="CH91" s="89"/>
      <c r="CI91" s="88"/>
      <c r="CJ91" s="89"/>
      <c r="CK91" s="89"/>
      <c r="CL91" s="89"/>
      <c r="CM91" s="89"/>
      <c r="CN91" s="89"/>
      <c r="CO91" s="88"/>
      <c r="CP91" s="89"/>
      <c r="CQ91" s="89"/>
      <c r="CR91" s="89"/>
      <c r="CS91" s="89"/>
      <c r="CT91" s="89"/>
      <c r="CU91" s="88">
        <f t="shared" si="4"/>
        <v>12588.836800000001</v>
      </c>
      <c r="CV91" s="89">
        <v>5498.8606000000009</v>
      </c>
      <c r="CW91" s="89">
        <v>5625.0183000000006</v>
      </c>
      <c r="CX91" s="89">
        <v>-126.15769999999999</v>
      </c>
      <c r="CY91" s="89">
        <v>7089.9761999999992</v>
      </c>
      <c r="CZ91" s="89"/>
      <c r="DA91" s="88"/>
      <c r="DB91" s="89"/>
      <c r="DC91" s="89"/>
      <c r="DD91" s="89"/>
      <c r="DE91" s="89"/>
      <c r="DF91" s="89"/>
      <c r="DG91" s="88">
        <v>69852</v>
      </c>
      <c r="DH91" s="89">
        <v>26962.9</v>
      </c>
      <c r="DI91" s="89"/>
      <c r="DJ91" s="89"/>
      <c r="DK91" s="89">
        <v>45835</v>
      </c>
      <c r="DL91" s="89">
        <v>2945.9</v>
      </c>
      <c r="DM91" s="88"/>
      <c r="DN91" s="89"/>
      <c r="DO91" s="89"/>
      <c r="DP91" s="89"/>
      <c r="DQ91" s="89"/>
      <c r="DR91" s="89"/>
      <c r="DS91" s="88"/>
      <c r="DT91" s="89"/>
      <c r="DU91" s="89"/>
      <c r="DV91" s="89"/>
      <c r="DW91" s="89"/>
      <c r="DX91" s="89"/>
      <c r="DY91" s="88"/>
      <c r="DZ91" s="89"/>
      <c r="EA91" s="89"/>
      <c r="EB91" s="89"/>
      <c r="EC91" s="89"/>
      <c r="ED91" s="89"/>
      <c r="EE91" s="88"/>
      <c r="EF91" s="89"/>
      <c r="EG91" s="89"/>
      <c r="EH91" s="89"/>
      <c r="EI91" s="89"/>
      <c r="EJ91" s="89"/>
      <c r="EK91" s="88">
        <v>5344097.1939999992</v>
      </c>
      <c r="EL91" s="89">
        <f t="shared" si="2"/>
        <v>-153539.00800000009</v>
      </c>
      <c r="EM91" s="89">
        <v>-158731.6370000001</v>
      </c>
      <c r="EN91" s="89">
        <v>5192.6290000000008</v>
      </c>
      <c r="EO91" s="89">
        <v>5451328.4369999999</v>
      </c>
      <c r="EP91" s="89">
        <v>46307.765000000014</v>
      </c>
      <c r="EQ91" s="88"/>
      <c r="ER91" s="89"/>
      <c r="ES91" s="89"/>
      <c r="ET91" s="89"/>
      <c r="EU91" s="89"/>
      <c r="EV91" s="89"/>
      <c r="EW91" s="88"/>
      <c r="EX91" s="89"/>
      <c r="EY91" s="89"/>
      <c r="EZ91" s="89"/>
      <c r="FA91" s="89"/>
      <c r="FB91" s="89"/>
      <c r="FC91" s="88"/>
      <c r="FD91" s="89"/>
      <c r="FE91" s="89"/>
      <c r="FF91" s="89"/>
      <c r="FG91" s="89"/>
      <c r="FH91" s="89"/>
      <c r="FI91" s="88"/>
      <c r="FJ91" s="89"/>
      <c r="FK91" s="89"/>
      <c r="FL91" s="89"/>
      <c r="FM91" s="89"/>
      <c r="FN91" s="89"/>
      <c r="FO91" s="88"/>
      <c r="FP91" s="89"/>
      <c r="FQ91" s="89"/>
      <c r="FR91" s="89"/>
      <c r="FS91" s="89"/>
      <c r="FT91" s="89"/>
      <c r="FU91" s="88"/>
      <c r="FV91" s="89"/>
      <c r="FW91" s="89"/>
      <c r="FX91" s="89"/>
      <c r="FY91" s="89"/>
      <c r="FZ91" s="89"/>
      <c r="GA91" s="120"/>
      <c r="GB91" s="121"/>
      <c r="GC91" s="121"/>
      <c r="GD91" s="121"/>
      <c r="GE91" s="121"/>
      <c r="GF91" s="89"/>
      <c r="GG91" s="88"/>
      <c r="GH91" s="89"/>
      <c r="GI91" s="89"/>
      <c r="GJ91" s="89"/>
      <c r="GK91" s="89"/>
      <c r="GL91" s="89"/>
      <c r="GM91" s="88">
        <v>5313.9610000000002</v>
      </c>
      <c r="GN91" s="89">
        <v>771.55700000000002</v>
      </c>
      <c r="GO91" s="89">
        <v>608.05399999999997</v>
      </c>
      <c r="GP91" s="89">
        <v>163.50299999999999</v>
      </c>
      <c r="GQ91" s="89">
        <v>3012.8760000000002</v>
      </c>
      <c r="GR91" s="89">
        <v>1529.528</v>
      </c>
      <c r="GS91" s="88"/>
      <c r="GT91" s="87"/>
      <c r="GU91" s="87"/>
      <c r="GV91" s="87"/>
      <c r="GW91" s="87"/>
      <c r="GX91" s="87"/>
      <c r="GY91" s="87"/>
      <c r="GZ91" s="88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8"/>
      <c r="HM91" s="87"/>
      <c r="HN91" s="87"/>
      <c r="HO91" s="87"/>
      <c r="HP91" s="87"/>
      <c r="HQ91" s="87"/>
      <c r="HR91" s="87"/>
      <c r="HS91" s="87"/>
    </row>
    <row r="92" spans="1:227">
      <c r="A92" s="69"/>
      <c r="B92" s="87" t="s">
        <v>493</v>
      </c>
      <c r="C92" s="88"/>
      <c r="D92" s="87"/>
      <c r="E92" s="87"/>
      <c r="F92" s="87"/>
      <c r="G92" s="87"/>
      <c r="H92" s="87"/>
      <c r="I92" s="88">
        <v>66759.167000000001</v>
      </c>
      <c r="J92" s="89">
        <v>29403.697</v>
      </c>
      <c r="K92" s="89"/>
      <c r="L92" s="89"/>
      <c r="M92" s="89">
        <v>57365.173999999999</v>
      </c>
      <c r="N92" s="89">
        <v>-20009.704000000002</v>
      </c>
      <c r="O92" s="90"/>
      <c r="P92" s="91"/>
      <c r="Q92" s="91"/>
      <c r="R92" s="91"/>
      <c r="S92" s="91"/>
      <c r="T92" s="91"/>
      <c r="U92" s="90"/>
      <c r="V92" s="91"/>
      <c r="W92" s="91"/>
      <c r="X92" s="91"/>
      <c r="Y92" s="91"/>
      <c r="Z92" s="91"/>
      <c r="AA92" s="88">
        <v>614.64800000000002</v>
      </c>
      <c r="AB92" s="89">
        <f t="shared" si="3"/>
        <v>98.100999999999999</v>
      </c>
      <c r="AC92" s="89">
        <v>88.938999999999993</v>
      </c>
      <c r="AD92" s="89">
        <v>9.1620000000000008</v>
      </c>
      <c r="AE92" s="89">
        <v>516.54700000000003</v>
      </c>
      <c r="AF92" s="89"/>
      <c r="AG92" s="88"/>
      <c r="AH92" s="89"/>
      <c r="AI92" s="89"/>
      <c r="AJ92" s="89"/>
      <c r="AK92" s="89"/>
      <c r="AL92" s="89"/>
      <c r="AM92" s="88"/>
      <c r="AN92" s="89"/>
      <c r="AO92" s="89"/>
      <c r="AP92" s="89"/>
      <c r="AQ92" s="89"/>
      <c r="AR92" s="89"/>
      <c r="AS92" s="88"/>
      <c r="AT92" s="89"/>
      <c r="AU92" s="89"/>
      <c r="AV92" s="89"/>
      <c r="AW92" s="89"/>
      <c r="AX92" s="89"/>
      <c r="AY92" s="88"/>
      <c r="AZ92" s="89"/>
      <c r="BA92" s="89"/>
      <c r="BB92" s="89"/>
      <c r="BC92" s="89"/>
      <c r="BD92" s="89"/>
      <c r="BE92" s="88"/>
      <c r="BF92" s="89"/>
      <c r="BG92" s="89"/>
      <c r="BH92" s="89"/>
      <c r="BI92" s="89"/>
      <c r="BJ92" s="89"/>
      <c r="BK92" s="88"/>
      <c r="BL92" s="89"/>
      <c r="BM92" s="89"/>
      <c r="BN92" s="89"/>
      <c r="BO92" s="89"/>
      <c r="BP92" s="89"/>
      <c r="BQ92" s="88"/>
      <c r="BR92" s="89"/>
      <c r="BS92" s="89"/>
      <c r="BT92" s="89"/>
      <c r="BU92" s="89"/>
      <c r="BV92" s="89"/>
      <c r="BW92" s="88"/>
      <c r="BX92" s="89"/>
      <c r="BY92" s="89"/>
      <c r="BZ92" s="89"/>
      <c r="CA92" s="89"/>
      <c r="CB92" s="89"/>
      <c r="CC92" s="88"/>
      <c r="CD92" s="89"/>
      <c r="CE92" s="89"/>
      <c r="CF92" s="89"/>
      <c r="CG92" s="89"/>
      <c r="CH92" s="89"/>
      <c r="CI92" s="88"/>
      <c r="CJ92" s="89"/>
      <c r="CK92" s="89"/>
      <c r="CL92" s="89"/>
      <c r="CM92" s="89"/>
      <c r="CN92" s="89"/>
      <c r="CO92" s="88"/>
      <c r="CP92" s="89"/>
      <c r="CQ92" s="89"/>
      <c r="CR92" s="89"/>
      <c r="CS92" s="89"/>
      <c r="CT92" s="89"/>
      <c r="CU92" s="88">
        <f t="shared" si="4"/>
        <v>12702.408289999999</v>
      </c>
      <c r="CV92" s="89">
        <v>5469.6528200000012</v>
      </c>
      <c r="CW92" s="89">
        <v>5564.4213000000009</v>
      </c>
      <c r="CX92" s="89">
        <v>-94.768479999999997</v>
      </c>
      <c r="CY92" s="89">
        <v>7232.7554699999991</v>
      </c>
      <c r="CZ92" s="89"/>
      <c r="DA92" s="88"/>
      <c r="DB92" s="89"/>
      <c r="DC92" s="89"/>
      <c r="DD92" s="89"/>
      <c r="DE92" s="89"/>
      <c r="DF92" s="89"/>
      <c r="DG92" s="88">
        <v>74099.8</v>
      </c>
      <c r="DH92" s="89">
        <v>31681.4</v>
      </c>
      <c r="DI92" s="89"/>
      <c r="DJ92" s="89"/>
      <c r="DK92" s="89">
        <v>46735.199999999997</v>
      </c>
      <c r="DL92" s="89">
        <v>4316.8</v>
      </c>
      <c r="DM92" s="88"/>
      <c r="DN92" s="89"/>
      <c r="DO92" s="89"/>
      <c r="DP92" s="89"/>
      <c r="DQ92" s="89"/>
      <c r="DR92" s="89"/>
      <c r="DS92" s="88"/>
      <c r="DT92" s="89"/>
      <c r="DU92" s="89"/>
      <c r="DV92" s="89"/>
      <c r="DW92" s="89"/>
      <c r="DX92" s="89"/>
      <c r="DY92" s="88"/>
      <c r="DZ92" s="89"/>
      <c r="EA92" s="89"/>
      <c r="EB92" s="89"/>
      <c r="EC92" s="89"/>
      <c r="ED92" s="89"/>
      <c r="EE92" s="88"/>
      <c r="EF92" s="89"/>
      <c r="EG92" s="89"/>
      <c r="EH92" s="89"/>
      <c r="EI92" s="89"/>
      <c r="EJ92" s="89"/>
      <c r="EK92" s="88">
        <v>5294207.7979999986</v>
      </c>
      <c r="EL92" s="89">
        <f t="shared" si="2"/>
        <v>-172345.56099999993</v>
      </c>
      <c r="EM92" s="89">
        <v>-205149.00399999996</v>
      </c>
      <c r="EN92" s="89">
        <v>32803.443000000021</v>
      </c>
      <c r="EO92" s="89">
        <v>5424658.8779999986</v>
      </c>
      <c r="EP92" s="89">
        <v>41894.481</v>
      </c>
      <c r="EQ92" s="88"/>
      <c r="ER92" s="89"/>
      <c r="ES92" s="89"/>
      <c r="ET92" s="89"/>
      <c r="EU92" s="89"/>
      <c r="EV92" s="89"/>
      <c r="EW92" s="88"/>
      <c r="EX92" s="89"/>
      <c r="EY92" s="89"/>
      <c r="EZ92" s="89"/>
      <c r="FA92" s="89"/>
      <c r="FB92" s="89"/>
      <c r="FC92" s="88"/>
      <c r="FD92" s="89"/>
      <c r="FE92" s="89"/>
      <c r="FF92" s="89"/>
      <c r="FG92" s="89"/>
      <c r="FH92" s="89"/>
      <c r="FI92" s="88"/>
      <c r="FJ92" s="89"/>
      <c r="FK92" s="89"/>
      <c r="FL92" s="89"/>
      <c r="FM92" s="89"/>
      <c r="FN92" s="89"/>
      <c r="FO92" s="88"/>
      <c r="FP92" s="89"/>
      <c r="FQ92" s="89"/>
      <c r="FR92" s="89"/>
      <c r="FS92" s="89"/>
      <c r="FT92" s="89"/>
      <c r="FU92" s="88"/>
      <c r="FV92" s="89"/>
      <c r="FW92" s="89"/>
      <c r="FX92" s="89"/>
      <c r="FY92" s="89"/>
      <c r="FZ92" s="89"/>
      <c r="GA92" s="120"/>
      <c r="GB92" s="121"/>
      <c r="GC92" s="121"/>
      <c r="GD92" s="121"/>
      <c r="GE92" s="121"/>
      <c r="GF92" s="89"/>
      <c r="GG92" s="88"/>
      <c r="GH92" s="89"/>
      <c r="GI92" s="89"/>
      <c r="GJ92" s="89"/>
      <c r="GK92" s="89"/>
      <c r="GL92" s="89"/>
      <c r="GM92" s="88">
        <v>5330.5330000000004</v>
      </c>
      <c r="GN92" s="89">
        <v>721.50199999999995</v>
      </c>
      <c r="GO92" s="89">
        <v>603.44299999999998</v>
      </c>
      <c r="GP92" s="89">
        <v>118.059</v>
      </c>
      <c r="GQ92" s="89">
        <v>3171.4580000000001</v>
      </c>
      <c r="GR92" s="89">
        <v>1437.5730000000001</v>
      </c>
      <c r="GS92" s="88"/>
      <c r="GT92" s="87"/>
      <c r="GU92" s="87"/>
      <c r="GV92" s="87"/>
      <c r="GW92" s="87"/>
      <c r="GX92" s="87"/>
      <c r="GY92" s="87"/>
      <c r="GZ92" s="88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8"/>
      <c r="HM92" s="87"/>
      <c r="HN92" s="87"/>
      <c r="HO92" s="87"/>
      <c r="HP92" s="87"/>
      <c r="HQ92" s="87"/>
      <c r="HR92" s="87"/>
      <c r="HS92" s="87"/>
    </row>
    <row r="93" spans="1:227">
      <c r="A93" s="69"/>
      <c r="B93" s="87" t="s">
        <v>494</v>
      </c>
      <c r="C93" s="88"/>
      <c r="D93" s="87"/>
      <c r="E93" s="87"/>
      <c r="F93" s="87"/>
      <c r="G93" s="87"/>
      <c r="H93" s="87"/>
      <c r="I93" s="88">
        <v>67241.429000000004</v>
      </c>
      <c r="J93" s="89">
        <v>28766.763999999999</v>
      </c>
      <c r="K93" s="89"/>
      <c r="L93" s="89"/>
      <c r="M93" s="89">
        <v>58808.374000000003</v>
      </c>
      <c r="N93" s="89">
        <v>-20333.708999999999</v>
      </c>
      <c r="O93" s="90"/>
      <c r="P93" s="91"/>
      <c r="Q93" s="91"/>
      <c r="R93" s="91"/>
      <c r="S93" s="91"/>
      <c r="T93" s="91"/>
      <c r="U93" s="90"/>
      <c r="V93" s="91"/>
      <c r="W93" s="91"/>
      <c r="X93" s="91"/>
      <c r="Y93" s="91"/>
      <c r="Z93" s="91"/>
      <c r="AA93" s="88">
        <v>623.19899999999996</v>
      </c>
      <c r="AB93" s="89">
        <f t="shared" si="3"/>
        <v>101.515</v>
      </c>
      <c r="AC93" s="89">
        <v>93.804000000000002</v>
      </c>
      <c r="AD93" s="89">
        <v>7.7110000000000003</v>
      </c>
      <c r="AE93" s="89">
        <v>521.68399999999997</v>
      </c>
      <c r="AF93" s="89"/>
      <c r="AG93" s="88"/>
      <c r="AH93" s="89"/>
      <c r="AI93" s="89"/>
      <c r="AJ93" s="89"/>
      <c r="AK93" s="89"/>
      <c r="AL93" s="89"/>
      <c r="AM93" s="88"/>
      <c r="AN93" s="89"/>
      <c r="AO93" s="89"/>
      <c r="AP93" s="89"/>
      <c r="AQ93" s="89"/>
      <c r="AR93" s="89"/>
      <c r="AS93" s="88"/>
      <c r="AT93" s="89"/>
      <c r="AU93" s="89"/>
      <c r="AV93" s="89"/>
      <c r="AW93" s="89"/>
      <c r="AX93" s="89"/>
      <c r="AY93" s="88"/>
      <c r="AZ93" s="89"/>
      <c r="BA93" s="89"/>
      <c r="BB93" s="89"/>
      <c r="BC93" s="89"/>
      <c r="BD93" s="89"/>
      <c r="BE93" s="88"/>
      <c r="BF93" s="89"/>
      <c r="BG93" s="89"/>
      <c r="BH93" s="89"/>
      <c r="BI93" s="89"/>
      <c r="BJ93" s="89"/>
      <c r="BK93" s="88"/>
      <c r="BL93" s="89"/>
      <c r="BM93" s="89"/>
      <c r="BN93" s="89"/>
      <c r="BO93" s="89"/>
      <c r="BP93" s="89"/>
      <c r="BQ93" s="88"/>
      <c r="BR93" s="89"/>
      <c r="BS93" s="89"/>
      <c r="BT93" s="89"/>
      <c r="BU93" s="89"/>
      <c r="BV93" s="89"/>
      <c r="BW93" s="88"/>
      <c r="BX93" s="89"/>
      <c r="BY93" s="89"/>
      <c r="BZ93" s="89"/>
      <c r="CA93" s="89"/>
      <c r="CB93" s="89"/>
      <c r="CC93" s="88"/>
      <c r="CD93" s="89"/>
      <c r="CE93" s="89"/>
      <c r="CF93" s="89"/>
      <c r="CG93" s="89"/>
      <c r="CH93" s="89"/>
      <c r="CI93" s="88"/>
      <c r="CJ93" s="89"/>
      <c r="CK93" s="89"/>
      <c r="CL93" s="89"/>
      <c r="CM93" s="89"/>
      <c r="CN93" s="89"/>
      <c r="CO93" s="88"/>
      <c r="CP93" s="89"/>
      <c r="CQ93" s="89"/>
      <c r="CR93" s="89"/>
      <c r="CS93" s="89"/>
      <c r="CT93" s="89"/>
      <c r="CU93" s="88">
        <f t="shared" si="4"/>
        <v>12782.372719999999</v>
      </c>
      <c r="CV93" s="89">
        <v>5404.5156100000004</v>
      </c>
      <c r="CW93" s="89">
        <v>5550.0551000000005</v>
      </c>
      <c r="CX93" s="89">
        <v>-145.53949</v>
      </c>
      <c r="CY93" s="89">
        <v>7377.8571099999999</v>
      </c>
      <c r="CZ93" s="89"/>
      <c r="DA93" s="88"/>
      <c r="DB93" s="89"/>
      <c r="DC93" s="89"/>
      <c r="DD93" s="89"/>
      <c r="DE93" s="89"/>
      <c r="DF93" s="89"/>
      <c r="DG93" s="88">
        <v>72519.5</v>
      </c>
      <c r="DH93" s="89">
        <v>30889.7</v>
      </c>
      <c r="DI93" s="89"/>
      <c r="DJ93" s="89"/>
      <c r="DK93" s="89">
        <v>45751.7</v>
      </c>
      <c r="DL93" s="89">
        <v>4121.8999999999996</v>
      </c>
      <c r="DM93" s="88"/>
      <c r="DN93" s="89"/>
      <c r="DO93" s="89"/>
      <c r="DP93" s="89"/>
      <c r="DQ93" s="89"/>
      <c r="DR93" s="89"/>
      <c r="DS93" s="88"/>
      <c r="DT93" s="89"/>
      <c r="DU93" s="89"/>
      <c r="DV93" s="89"/>
      <c r="DW93" s="89"/>
      <c r="DX93" s="89"/>
      <c r="DY93" s="88"/>
      <c r="DZ93" s="89"/>
      <c r="EA93" s="89"/>
      <c r="EB93" s="89"/>
      <c r="EC93" s="89"/>
      <c r="ED93" s="89"/>
      <c r="EE93" s="88"/>
      <c r="EF93" s="89"/>
      <c r="EG93" s="89"/>
      <c r="EH93" s="89"/>
      <c r="EI93" s="89"/>
      <c r="EJ93" s="89"/>
      <c r="EK93" s="88">
        <v>5439253.1430000002</v>
      </c>
      <c r="EL93" s="89">
        <f t="shared" si="2"/>
        <v>-76314.600000000006</v>
      </c>
      <c r="EM93" s="89">
        <v>-122149.66500000004</v>
      </c>
      <c r="EN93" s="89">
        <v>45835.065000000024</v>
      </c>
      <c r="EO93" s="89">
        <v>5408587.0800000001</v>
      </c>
      <c r="EP93" s="89">
        <v>106980.663</v>
      </c>
      <c r="EQ93" s="88"/>
      <c r="ER93" s="89"/>
      <c r="ES93" s="89"/>
      <c r="ET93" s="89"/>
      <c r="EU93" s="89"/>
      <c r="EV93" s="89"/>
      <c r="EW93" s="88"/>
      <c r="EX93" s="89"/>
      <c r="EY93" s="89"/>
      <c r="EZ93" s="89"/>
      <c r="FA93" s="89"/>
      <c r="FB93" s="89"/>
      <c r="FC93" s="88"/>
      <c r="FD93" s="89"/>
      <c r="FE93" s="89"/>
      <c r="FF93" s="89"/>
      <c r="FG93" s="89"/>
      <c r="FH93" s="89"/>
      <c r="FI93" s="88"/>
      <c r="FJ93" s="89"/>
      <c r="FK93" s="89"/>
      <c r="FL93" s="89"/>
      <c r="FM93" s="89"/>
      <c r="FN93" s="89"/>
      <c r="FO93" s="88"/>
      <c r="FP93" s="89"/>
      <c r="FQ93" s="89"/>
      <c r="FR93" s="89"/>
      <c r="FS93" s="89"/>
      <c r="FT93" s="89"/>
      <c r="FU93" s="88"/>
      <c r="FV93" s="89"/>
      <c r="FW93" s="89"/>
      <c r="FX93" s="89"/>
      <c r="FY93" s="89"/>
      <c r="FZ93" s="89"/>
      <c r="GA93" s="120"/>
      <c r="GB93" s="121"/>
      <c r="GC93" s="121"/>
      <c r="GD93" s="121"/>
      <c r="GE93" s="121"/>
      <c r="GF93" s="89"/>
      <c r="GG93" s="88"/>
      <c r="GH93" s="89"/>
      <c r="GI93" s="89"/>
      <c r="GJ93" s="89"/>
      <c r="GK93" s="89"/>
      <c r="GL93" s="89"/>
      <c r="GM93" s="88">
        <v>5537.8969999999999</v>
      </c>
      <c r="GN93" s="89">
        <v>698.62400000000002</v>
      </c>
      <c r="GO93" s="89">
        <v>575.22900000000004</v>
      </c>
      <c r="GP93" s="89">
        <v>123.395</v>
      </c>
      <c r="GQ93" s="89">
        <v>3441.6019999999999</v>
      </c>
      <c r="GR93" s="89">
        <v>1397.671</v>
      </c>
      <c r="GS93" s="88"/>
      <c r="GT93" s="87"/>
      <c r="GU93" s="87"/>
      <c r="GV93" s="87"/>
      <c r="GW93" s="87"/>
      <c r="GX93" s="87"/>
      <c r="GY93" s="87"/>
      <c r="GZ93" s="88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8"/>
      <c r="HM93" s="87"/>
      <c r="HN93" s="87"/>
      <c r="HO93" s="87"/>
      <c r="HP93" s="87"/>
      <c r="HQ93" s="87"/>
      <c r="HR93" s="87"/>
      <c r="HS93" s="87"/>
    </row>
    <row r="94" spans="1:227">
      <c r="A94" s="69"/>
      <c r="B94" s="87" t="s">
        <v>495</v>
      </c>
      <c r="C94" s="88"/>
      <c r="D94" s="87"/>
      <c r="E94" s="87"/>
      <c r="F94" s="87"/>
      <c r="G94" s="87"/>
      <c r="H94" s="87"/>
      <c r="I94" s="88">
        <v>68639.297000000006</v>
      </c>
      <c r="J94" s="89">
        <v>29382.51</v>
      </c>
      <c r="K94" s="89"/>
      <c r="L94" s="89"/>
      <c r="M94" s="89">
        <v>60123.771000000008</v>
      </c>
      <c r="N94" s="89">
        <v>-20866.984</v>
      </c>
      <c r="O94" s="90"/>
      <c r="P94" s="91"/>
      <c r="Q94" s="91"/>
      <c r="R94" s="91"/>
      <c r="S94" s="91"/>
      <c r="T94" s="91"/>
      <c r="U94" s="90"/>
      <c r="V94" s="91"/>
      <c r="W94" s="91"/>
      <c r="X94" s="91"/>
      <c r="Y94" s="91"/>
      <c r="Z94" s="91"/>
      <c r="AA94" s="88">
        <v>633.95100000000002</v>
      </c>
      <c r="AB94" s="89">
        <f t="shared" si="3"/>
        <v>109.02800000000001</v>
      </c>
      <c r="AC94" s="89">
        <v>101.25</v>
      </c>
      <c r="AD94" s="89">
        <v>7.7779999999999996</v>
      </c>
      <c r="AE94" s="89">
        <v>524.923</v>
      </c>
      <c r="AF94" s="89"/>
      <c r="AG94" s="88"/>
      <c r="AH94" s="89"/>
      <c r="AI94" s="89"/>
      <c r="AJ94" s="89"/>
      <c r="AK94" s="89"/>
      <c r="AL94" s="89"/>
      <c r="AM94" s="88"/>
      <c r="AN94" s="89"/>
      <c r="AO94" s="89"/>
      <c r="AP94" s="89"/>
      <c r="AQ94" s="89"/>
      <c r="AR94" s="89"/>
      <c r="AS94" s="88"/>
      <c r="AT94" s="89"/>
      <c r="AU94" s="89"/>
      <c r="AV94" s="89"/>
      <c r="AW94" s="89"/>
      <c r="AX94" s="89"/>
      <c r="AY94" s="88"/>
      <c r="AZ94" s="89"/>
      <c r="BA94" s="89"/>
      <c r="BB94" s="89"/>
      <c r="BC94" s="89"/>
      <c r="BD94" s="89"/>
      <c r="BE94" s="88"/>
      <c r="BF94" s="89"/>
      <c r="BG94" s="89"/>
      <c r="BH94" s="89"/>
      <c r="BI94" s="89"/>
      <c r="BJ94" s="89"/>
      <c r="BK94" s="88"/>
      <c r="BL94" s="89"/>
      <c r="BM94" s="89"/>
      <c r="BN94" s="89"/>
      <c r="BO94" s="89"/>
      <c r="BP94" s="89"/>
      <c r="BQ94" s="88"/>
      <c r="BR94" s="89"/>
      <c r="BS94" s="89"/>
      <c r="BT94" s="89"/>
      <c r="BU94" s="89"/>
      <c r="BV94" s="89"/>
      <c r="BW94" s="88"/>
      <c r="BX94" s="89"/>
      <c r="BY94" s="89"/>
      <c r="BZ94" s="89"/>
      <c r="CA94" s="89"/>
      <c r="CB94" s="89"/>
      <c r="CC94" s="88"/>
      <c r="CD94" s="89"/>
      <c r="CE94" s="89"/>
      <c r="CF94" s="89"/>
      <c r="CG94" s="89"/>
      <c r="CH94" s="89"/>
      <c r="CI94" s="88"/>
      <c r="CJ94" s="89"/>
      <c r="CK94" s="89"/>
      <c r="CL94" s="89"/>
      <c r="CM94" s="89"/>
      <c r="CN94" s="89"/>
      <c r="CO94" s="88"/>
      <c r="CP94" s="89"/>
      <c r="CQ94" s="89"/>
      <c r="CR94" s="89"/>
      <c r="CS94" s="89"/>
      <c r="CT94" s="89"/>
      <c r="CU94" s="88">
        <f t="shared" si="4"/>
        <v>13183.570749999999</v>
      </c>
      <c r="CV94" s="89">
        <v>5620.6951999999992</v>
      </c>
      <c r="CW94" s="89">
        <v>5767.0010999999995</v>
      </c>
      <c r="CX94" s="89">
        <v>-146.30589999999998</v>
      </c>
      <c r="CY94" s="89">
        <v>7562.8755499999997</v>
      </c>
      <c r="CZ94" s="89"/>
      <c r="DA94" s="88"/>
      <c r="DB94" s="89"/>
      <c r="DC94" s="89"/>
      <c r="DD94" s="89"/>
      <c r="DE94" s="89"/>
      <c r="DF94" s="89"/>
      <c r="DG94" s="88">
        <v>75707.7</v>
      </c>
      <c r="DH94" s="89">
        <v>31277.599999999999</v>
      </c>
      <c r="DI94" s="89"/>
      <c r="DJ94" s="89"/>
      <c r="DK94" s="89">
        <v>46958.8</v>
      </c>
      <c r="DL94" s="89">
        <v>2528.6999999999998</v>
      </c>
      <c r="DM94" s="88"/>
      <c r="DN94" s="89"/>
      <c r="DO94" s="89"/>
      <c r="DP94" s="89"/>
      <c r="DQ94" s="89"/>
      <c r="DR94" s="89"/>
      <c r="DS94" s="88"/>
      <c r="DT94" s="89"/>
      <c r="DU94" s="89"/>
      <c r="DV94" s="89"/>
      <c r="DW94" s="89"/>
      <c r="DX94" s="89"/>
      <c r="DY94" s="88"/>
      <c r="DZ94" s="89"/>
      <c r="EA94" s="89"/>
      <c r="EB94" s="89"/>
      <c r="EC94" s="89"/>
      <c r="ED94" s="89"/>
      <c r="EE94" s="88"/>
      <c r="EF94" s="89"/>
      <c r="EG94" s="89"/>
      <c r="EH94" s="89"/>
      <c r="EI94" s="89"/>
      <c r="EJ94" s="89"/>
      <c r="EK94" s="88">
        <v>5054620.9449999994</v>
      </c>
      <c r="EL94" s="89">
        <f t="shared" si="2"/>
        <v>38565.776000000071</v>
      </c>
      <c r="EM94" s="89">
        <v>-38464.399999999907</v>
      </c>
      <c r="EN94" s="89">
        <v>77030.175999999978</v>
      </c>
      <c r="EO94" s="89">
        <v>4925031.449</v>
      </c>
      <c r="EP94" s="89">
        <v>91023.72</v>
      </c>
      <c r="EQ94" s="88"/>
      <c r="ER94" s="89"/>
      <c r="ES94" s="89"/>
      <c r="ET94" s="89"/>
      <c r="EU94" s="89"/>
      <c r="EV94" s="89"/>
      <c r="EW94" s="88"/>
      <c r="EX94" s="89"/>
      <c r="EY94" s="89"/>
      <c r="EZ94" s="89"/>
      <c r="FA94" s="89"/>
      <c r="FB94" s="89"/>
      <c r="FC94" s="88"/>
      <c r="FD94" s="89"/>
      <c r="FE94" s="89"/>
      <c r="FF94" s="89"/>
      <c r="FG94" s="89"/>
      <c r="FH94" s="89"/>
      <c r="FI94" s="88"/>
      <c r="FJ94" s="89"/>
      <c r="FK94" s="89"/>
      <c r="FL94" s="89"/>
      <c r="FM94" s="89"/>
      <c r="FN94" s="89"/>
      <c r="FO94" s="88"/>
      <c r="FP94" s="89"/>
      <c r="FQ94" s="89"/>
      <c r="FR94" s="89"/>
      <c r="FS94" s="89"/>
      <c r="FT94" s="89"/>
      <c r="FU94" s="88"/>
      <c r="FV94" s="89"/>
      <c r="FW94" s="89"/>
      <c r="FX94" s="89"/>
      <c r="FY94" s="89"/>
      <c r="FZ94" s="89"/>
      <c r="GA94" s="120"/>
      <c r="GB94" s="121"/>
      <c r="GC94" s="121"/>
      <c r="GD94" s="121"/>
      <c r="GE94" s="121"/>
      <c r="GF94" s="89"/>
      <c r="GG94" s="88"/>
      <c r="GH94" s="89"/>
      <c r="GI94" s="89"/>
      <c r="GJ94" s="89"/>
      <c r="GK94" s="89"/>
      <c r="GL94" s="89"/>
      <c r="GM94" s="88">
        <v>5718.5990000000002</v>
      </c>
      <c r="GN94" s="89">
        <v>653.94200000000001</v>
      </c>
      <c r="GO94" s="89">
        <v>610.03399999999999</v>
      </c>
      <c r="GP94" s="89">
        <v>43.908000000000001</v>
      </c>
      <c r="GQ94" s="89">
        <v>3617.6410000000001</v>
      </c>
      <c r="GR94" s="89">
        <v>1447.0160000000001</v>
      </c>
      <c r="GS94" s="88"/>
      <c r="GT94" s="87"/>
      <c r="GU94" s="87"/>
      <c r="GV94" s="87"/>
      <c r="GW94" s="87"/>
      <c r="GX94" s="87"/>
      <c r="GY94" s="87"/>
      <c r="GZ94" s="88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8"/>
      <c r="HM94" s="87"/>
      <c r="HN94" s="87"/>
      <c r="HO94" s="87"/>
      <c r="HP94" s="87"/>
      <c r="HQ94" s="87"/>
      <c r="HR94" s="87"/>
      <c r="HS94" s="87"/>
    </row>
    <row r="95" spans="1:227">
      <c r="A95" s="69"/>
      <c r="B95" s="87" t="s">
        <v>496</v>
      </c>
      <c r="C95" s="88"/>
      <c r="D95" s="87"/>
      <c r="E95" s="87"/>
      <c r="F95" s="87"/>
      <c r="G95" s="87"/>
      <c r="H95" s="87"/>
      <c r="I95" s="88">
        <v>70232.445999999996</v>
      </c>
      <c r="J95" s="89">
        <v>29716.637999999999</v>
      </c>
      <c r="K95" s="89"/>
      <c r="L95" s="89"/>
      <c r="M95" s="89">
        <v>60859.414000000004</v>
      </c>
      <c r="N95" s="89">
        <v>-20343.606</v>
      </c>
      <c r="O95" s="90"/>
      <c r="P95" s="91"/>
      <c r="Q95" s="91"/>
      <c r="R95" s="91"/>
      <c r="S95" s="91"/>
      <c r="T95" s="91"/>
      <c r="U95" s="90"/>
      <c r="V95" s="91"/>
      <c r="W95" s="91"/>
      <c r="X95" s="91"/>
      <c r="Y95" s="91"/>
      <c r="Z95" s="91"/>
      <c r="AA95" s="88">
        <v>638.92100000000005</v>
      </c>
      <c r="AB95" s="89">
        <f t="shared" si="3"/>
        <v>112.30699999999999</v>
      </c>
      <c r="AC95" s="89">
        <v>104.61799999999999</v>
      </c>
      <c r="AD95" s="89">
        <v>7.6890000000000001</v>
      </c>
      <c r="AE95" s="89">
        <v>526.61400000000003</v>
      </c>
      <c r="AF95" s="89"/>
      <c r="AG95" s="88"/>
      <c r="AH95" s="89"/>
      <c r="AI95" s="89"/>
      <c r="AJ95" s="89"/>
      <c r="AK95" s="89"/>
      <c r="AL95" s="89"/>
      <c r="AM95" s="88"/>
      <c r="AN95" s="89"/>
      <c r="AO95" s="89"/>
      <c r="AP95" s="89"/>
      <c r="AQ95" s="89"/>
      <c r="AR95" s="89"/>
      <c r="AS95" s="88"/>
      <c r="AT95" s="89"/>
      <c r="AU95" s="89"/>
      <c r="AV95" s="89"/>
      <c r="AW95" s="89"/>
      <c r="AX95" s="89"/>
      <c r="AY95" s="88"/>
      <c r="AZ95" s="89"/>
      <c r="BA95" s="89"/>
      <c r="BB95" s="89"/>
      <c r="BC95" s="89"/>
      <c r="BD95" s="89"/>
      <c r="BE95" s="88"/>
      <c r="BF95" s="89"/>
      <c r="BG95" s="89"/>
      <c r="BH95" s="89"/>
      <c r="BI95" s="89"/>
      <c r="BJ95" s="89"/>
      <c r="BK95" s="88"/>
      <c r="BL95" s="89"/>
      <c r="BM95" s="89"/>
      <c r="BN95" s="89"/>
      <c r="BO95" s="89"/>
      <c r="BP95" s="89"/>
      <c r="BQ95" s="88"/>
      <c r="BR95" s="89"/>
      <c r="BS95" s="89"/>
      <c r="BT95" s="89"/>
      <c r="BU95" s="89"/>
      <c r="BV95" s="89"/>
      <c r="BW95" s="88"/>
      <c r="BX95" s="89"/>
      <c r="BY95" s="89"/>
      <c r="BZ95" s="89"/>
      <c r="CA95" s="89"/>
      <c r="CB95" s="89"/>
      <c r="CC95" s="88"/>
      <c r="CD95" s="89"/>
      <c r="CE95" s="89"/>
      <c r="CF95" s="89"/>
      <c r="CG95" s="89"/>
      <c r="CH95" s="89"/>
      <c r="CI95" s="88"/>
      <c r="CJ95" s="89"/>
      <c r="CK95" s="89"/>
      <c r="CL95" s="89"/>
      <c r="CM95" s="89"/>
      <c r="CN95" s="89"/>
      <c r="CO95" s="88"/>
      <c r="CP95" s="89"/>
      <c r="CQ95" s="89"/>
      <c r="CR95" s="89"/>
      <c r="CS95" s="89"/>
      <c r="CT95" s="89"/>
      <c r="CU95" s="88">
        <f t="shared" si="4"/>
        <v>13546.4463</v>
      </c>
      <c r="CV95" s="89">
        <v>5679.9614999999994</v>
      </c>
      <c r="CW95" s="89">
        <v>5826.3045999999995</v>
      </c>
      <c r="CX95" s="89">
        <v>-146.34309999999999</v>
      </c>
      <c r="CY95" s="89">
        <v>7866.4848000000002</v>
      </c>
      <c r="CZ95" s="89"/>
      <c r="DA95" s="88"/>
      <c r="DB95" s="89"/>
      <c r="DC95" s="89"/>
      <c r="DD95" s="89"/>
      <c r="DE95" s="89"/>
      <c r="DF95" s="89"/>
      <c r="DG95" s="88">
        <v>78200</v>
      </c>
      <c r="DH95" s="89">
        <v>35253</v>
      </c>
      <c r="DI95" s="89"/>
      <c r="DJ95" s="89"/>
      <c r="DK95" s="89">
        <v>45855.4</v>
      </c>
      <c r="DL95" s="89">
        <v>2908.4</v>
      </c>
      <c r="DM95" s="88"/>
      <c r="DN95" s="89"/>
      <c r="DO95" s="89"/>
      <c r="DP95" s="89"/>
      <c r="DQ95" s="89"/>
      <c r="DR95" s="89"/>
      <c r="DS95" s="88"/>
      <c r="DT95" s="89"/>
      <c r="DU95" s="89"/>
      <c r="DV95" s="89"/>
      <c r="DW95" s="89"/>
      <c r="DX95" s="89"/>
      <c r="DY95" s="88"/>
      <c r="DZ95" s="89"/>
      <c r="EA95" s="89"/>
      <c r="EB95" s="89"/>
      <c r="EC95" s="89"/>
      <c r="ED95" s="89"/>
      <c r="EE95" s="88"/>
      <c r="EF95" s="89"/>
      <c r="EG95" s="89"/>
      <c r="EH95" s="89"/>
      <c r="EI95" s="89"/>
      <c r="EJ95" s="89"/>
      <c r="EK95" s="88">
        <v>5262125.5950000007</v>
      </c>
      <c r="EL95" s="89">
        <f t="shared" si="2"/>
        <v>141395.71600000007</v>
      </c>
      <c r="EM95" s="89">
        <v>54403.41100000008</v>
      </c>
      <c r="EN95" s="89">
        <v>86992.304999999993</v>
      </c>
      <c r="EO95" s="89">
        <v>5027340.0900000008</v>
      </c>
      <c r="EP95" s="89">
        <v>93389.78899999999</v>
      </c>
      <c r="EQ95" s="88"/>
      <c r="ER95" s="89"/>
      <c r="ES95" s="89"/>
      <c r="ET95" s="89"/>
      <c r="EU95" s="89"/>
      <c r="EV95" s="89"/>
      <c r="EW95" s="88"/>
      <c r="EX95" s="89"/>
      <c r="EY95" s="89"/>
      <c r="EZ95" s="89"/>
      <c r="FA95" s="89"/>
      <c r="FB95" s="89"/>
      <c r="FC95" s="88"/>
      <c r="FD95" s="89"/>
      <c r="FE95" s="89"/>
      <c r="FF95" s="89"/>
      <c r="FG95" s="89"/>
      <c r="FH95" s="89"/>
      <c r="FI95" s="88"/>
      <c r="FJ95" s="89"/>
      <c r="FK95" s="89"/>
      <c r="FL95" s="89"/>
      <c r="FM95" s="89"/>
      <c r="FN95" s="89"/>
      <c r="FO95" s="88"/>
      <c r="FP95" s="89"/>
      <c r="FQ95" s="89"/>
      <c r="FR95" s="89"/>
      <c r="FS95" s="89"/>
      <c r="FT95" s="89"/>
      <c r="FU95" s="88"/>
      <c r="FV95" s="89"/>
      <c r="FW95" s="89"/>
      <c r="FX95" s="89"/>
      <c r="FY95" s="89"/>
      <c r="FZ95" s="89"/>
      <c r="GA95" s="120"/>
      <c r="GB95" s="121"/>
      <c r="GC95" s="121"/>
      <c r="GD95" s="121"/>
      <c r="GE95" s="121"/>
      <c r="GF95" s="89"/>
      <c r="GG95" s="88"/>
      <c r="GH95" s="89"/>
      <c r="GI95" s="89"/>
      <c r="GJ95" s="89"/>
      <c r="GK95" s="89"/>
      <c r="GL95" s="89"/>
      <c r="GM95" s="88">
        <v>6026.8760000000002</v>
      </c>
      <c r="GN95" s="89">
        <v>614.27</v>
      </c>
      <c r="GO95" s="89">
        <v>573.06100000000004</v>
      </c>
      <c r="GP95" s="89">
        <v>41.207000000000001</v>
      </c>
      <c r="GQ95" s="89">
        <v>3842.7310000000002</v>
      </c>
      <c r="GR95" s="89">
        <v>1569.877</v>
      </c>
      <c r="GS95" s="88"/>
      <c r="GT95" s="87"/>
      <c r="GU95" s="87"/>
      <c r="GV95" s="87"/>
      <c r="GW95" s="87"/>
      <c r="GX95" s="87"/>
      <c r="GY95" s="87"/>
      <c r="GZ95" s="88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8"/>
      <c r="HM95" s="87"/>
      <c r="HN95" s="87"/>
      <c r="HO95" s="87"/>
      <c r="HP95" s="87"/>
      <c r="HQ95" s="87"/>
      <c r="HR95" s="87"/>
      <c r="HS95" s="87"/>
    </row>
    <row r="96" spans="1:227">
      <c r="A96" s="69"/>
      <c r="B96" s="87" t="s">
        <v>497</v>
      </c>
      <c r="C96" s="88"/>
      <c r="D96" s="87"/>
      <c r="E96" s="87"/>
      <c r="F96" s="87"/>
      <c r="G96" s="87"/>
      <c r="H96" s="87"/>
      <c r="I96" s="88">
        <v>71193.758000000002</v>
      </c>
      <c r="J96" s="89">
        <v>29797.843000000001</v>
      </c>
      <c r="K96" s="89"/>
      <c r="L96" s="89"/>
      <c r="M96" s="89">
        <v>61677.471999999994</v>
      </c>
      <c r="N96" s="89">
        <v>-20281.557000000001</v>
      </c>
      <c r="O96" s="90"/>
      <c r="P96" s="91"/>
      <c r="Q96" s="91"/>
      <c r="R96" s="91"/>
      <c r="S96" s="91"/>
      <c r="T96" s="91"/>
      <c r="U96" s="90"/>
      <c r="V96" s="91"/>
      <c r="W96" s="91"/>
      <c r="X96" s="91"/>
      <c r="Y96" s="91"/>
      <c r="Z96" s="91"/>
      <c r="AA96" s="88">
        <v>649.77</v>
      </c>
      <c r="AB96" s="89">
        <f t="shared" si="3"/>
        <v>118.324</v>
      </c>
      <c r="AC96" s="89">
        <v>109.31399999999999</v>
      </c>
      <c r="AD96" s="89">
        <v>9.01</v>
      </c>
      <c r="AE96" s="89">
        <v>531.44600000000003</v>
      </c>
      <c r="AF96" s="89"/>
      <c r="AG96" s="88"/>
      <c r="AH96" s="89"/>
      <c r="AI96" s="89"/>
      <c r="AJ96" s="89"/>
      <c r="AK96" s="89"/>
      <c r="AL96" s="89"/>
      <c r="AM96" s="88"/>
      <c r="AN96" s="89"/>
      <c r="AO96" s="89"/>
      <c r="AP96" s="89"/>
      <c r="AQ96" s="89"/>
      <c r="AR96" s="89"/>
      <c r="AS96" s="88"/>
      <c r="AT96" s="89"/>
      <c r="AU96" s="89"/>
      <c r="AV96" s="89"/>
      <c r="AW96" s="89"/>
      <c r="AX96" s="89"/>
      <c r="AY96" s="88"/>
      <c r="AZ96" s="89"/>
      <c r="BA96" s="89"/>
      <c r="BB96" s="89"/>
      <c r="BC96" s="89"/>
      <c r="BD96" s="89"/>
      <c r="BE96" s="88"/>
      <c r="BF96" s="89"/>
      <c r="BG96" s="89"/>
      <c r="BH96" s="89"/>
      <c r="BI96" s="89"/>
      <c r="BJ96" s="89"/>
      <c r="BK96" s="88"/>
      <c r="BL96" s="89"/>
      <c r="BM96" s="89"/>
      <c r="BN96" s="89"/>
      <c r="BO96" s="89"/>
      <c r="BP96" s="89"/>
      <c r="BQ96" s="88"/>
      <c r="BR96" s="89"/>
      <c r="BS96" s="89"/>
      <c r="BT96" s="89"/>
      <c r="BU96" s="89"/>
      <c r="BV96" s="89"/>
      <c r="BW96" s="88"/>
      <c r="BX96" s="89"/>
      <c r="BY96" s="89"/>
      <c r="BZ96" s="89"/>
      <c r="CA96" s="89"/>
      <c r="CB96" s="89"/>
      <c r="CC96" s="88"/>
      <c r="CD96" s="89"/>
      <c r="CE96" s="89"/>
      <c r="CF96" s="89"/>
      <c r="CG96" s="89"/>
      <c r="CH96" s="89"/>
      <c r="CI96" s="88"/>
      <c r="CJ96" s="89"/>
      <c r="CK96" s="89"/>
      <c r="CL96" s="89"/>
      <c r="CM96" s="89"/>
      <c r="CN96" s="89"/>
      <c r="CO96" s="88"/>
      <c r="CP96" s="89"/>
      <c r="CQ96" s="89"/>
      <c r="CR96" s="89"/>
      <c r="CS96" s="89"/>
      <c r="CT96" s="89"/>
      <c r="CU96" s="88">
        <f t="shared" si="4"/>
        <v>13099.92534</v>
      </c>
      <c r="CV96" s="89">
        <v>5247.5167000000001</v>
      </c>
      <c r="CW96" s="89">
        <v>5391.0150000000003</v>
      </c>
      <c r="CX96" s="89">
        <v>-143.4983</v>
      </c>
      <c r="CY96" s="89">
        <v>7852.4086399999997</v>
      </c>
      <c r="CZ96" s="89"/>
      <c r="DA96" s="88"/>
      <c r="DB96" s="89"/>
      <c r="DC96" s="89"/>
      <c r="DD96" s="89"/>
      <c r="DE96" s="89"/>
      <c r="DF96" s="89"/>
      <c r="DG96" s="88">
        <v>81690.2</v>
      </c>
      <c r="DH96" s="89">
        <v>37498.400000000001</v>
      </c>
      <c r="DI96" s="89"/>
      <c r="DJ96" s="89"/>
      <c r="DK96" s="89">
        <v>44840.6</v>
      </c>
      <c r="DL96" s="89">
        <v>648.79999999999995</v>
      </c>
      <c r="DM96" s="88"/>
      <c r="DN96" s="89"/>
      <c r="DO96" s="89"/>
      <c r="DP96" s="89"/>
      <c r="DQ96" s="89"/>
      <c r="DR96" s="89"/>
      <c r="DS96" s="88"/>
      <c r="DT96" s="89"/>
      <c r="DU96" s="89"/>
      <c r="DV96" s="89"/>
      <c r="DW96" s="89"/>
      <c r="DX96" s="89"/>
      <c r="DY96" s="88"/>
      <c r="DZ96" s="89"/>
      <c r="EA96" s="89"/>
      <c r="EB96" s="89"/>
      <c r="EC96" s="89"/>
      <c r="ED96" s="89"/>
      <c r="EE96" s="88"/>
      <c r="EF96" s="89"/>
      <c r="EG96" s="89"/>
      <c r="EH96" s="89"/>
      <c r="EI96" s="89"/>
      <c r="EJ96" s="89"/>
      <c r="EK96" s="88">
        <v>5440067.0519999992</v>
      </c>
      <c r="EL96" s="89">
        <f t="shared" si="2"/>
        <v>139725.39799999972</v>
      </c>
      <c r="EM96" s="89">
        <v>53233.321999999695</v>
      </c>
      <c r="EN96" s="89">
        <v>86492.07600000003</v>
      </c>
      <c r="EO96" s="89">
        <v>5205014.2089999989</v>
      </c>
      <c r="EP96" s="89">
        <v>95327.445000000007</v>
      </c>
      <c r="EQ96" s="88"/>
      <c r="ER96" s="89"/>
      <c r="ES96" s="89"/>
      <c r="ET96" s="89"/>
      <c r="EU96" s="89"/>
      <c r="EV96" s="89"/>
      <c r="EW96" s="88"/>
      <c r="EX96" s="89"/>
      <c r="EY96" s="89"/>
      <c r="EZ96" s="89"/>
      <c r="FA96" s="89"/>
      <c r="FB96" s="89"/>
      <c r="FC96" s="88"/>
      <c r="FD96" s="89"/>
      <c r="FE96" s="89"/>
      <c r="FF96" s="89"/>
      <c r="FG96" s="89"/>
      <c r="FH96" s="89"/>
      <c r="FI96" s="88"/>
      <c r="FJ96" s="89"/>
      <c r="FK96" s="89"/>
      <c r="FL96" s="89"/>
      <c r="FM96" s="89"/>
      <c r="FN96" s="89"/>
      <c r="FO96" s="88"/>
      <c r="FP96" s="89"/>
      <c r="FQ96" s="89"/>
      <c r="FR96" s="89"/>
      <c r="FS96" s="89"/>
      <c r="FT96" s="89"/>
      <c r="FU96" s="88"/>
      <c r="FV96" s="89"/>
      <c r="FW96" s="89"/>
      <c r="FX96" s="89"/>
      <c r="FY96" s="89"/>
      <c r="FZ96" s="89"/>
      <c r="GA96" s="120"/>
      <c r="GB96" s="121"/>
      <c r="GC96" s="121"/>
      <c r="GD96" s="121"/>
      <c r="GE96" s="121"/>
      <c r="GF96" s="89"/>
      <c r="GG96" s="88"/>
      <c r="GH96" s="89"/>
      <c r="GI96" s="89"/>
      <c r="GJ96" s="89"/>
      <c r="GK96" s="89"/>
      <c r="GL96" s="89"/>
      <c r="GM96" s="88">
        <v>6263.6570000000002</v>
      </c>
      <c r="GN96" s="89">
        <v>606.87800000000004</v>
      </c>
      <c r="GO96" s="89">
        <v>564.31500000000005</v>
      </c>
      <c r="GP96" s="89">
        <v>42.563000000000002</v>
      </c>
      <c r="GQ96" s="89">
        <v>4138.6790000000001</v>
      </c>
      <c r="GR96" s="89">
        <v>1518.1</v>
      </c>
      <c r="GS96" s="88"/>
      <c r="GT96" s="87"/>
      <c r="GU96" s="87"/>
      <c r="GV96" s="87"/>
      <c r="GW96" s="87"/>
      <c r="GX96" s="87"/>
      <c r="GY96" s="87"/>
      <c r="GZ96" s="88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8"/>
      <c r="HM96" s="87"/>
      <c r="HN96" s="87"/>
      <c r="HO96" s="87"/>
      <c r="HP96" s="87"/>
      <c r="HQ96" s="87"/>
      <c r="HR96" s="87"/>
      <c r="HS96" s="87"/>
    </row>
    <row r="97" spans="1:227">
      <c r="A97" s="69"/>
      <c r="B97" s="87" t="s">
        <v>498</v>
      </c>
      <c r="C97" s="88"/>
      <c r="D97" s="87"/>
      <c r="E97" s="87"/>
      <c r="F97" s="87"/>
      <c r="G97" s="87"/>
      <c r="H97" s="87"/>
      <c r="I97" s="88">
        <v>72191.84599999999</v>
      </c>
      <c r="J97" s="89">
        <v>29328.224999999999</v>
      </c>
      <c r="K97" s="89"/>
      <c r="L97" s="89"/>
      <c r="M97" s="89">
        <v>62096.987000000008</v>
      </c>
      <c r="N97" s="89">
        <v>-19233.366000000002</v>
      </c>
      <c r="O97" s="90"/>
      <c r="P97" s="91"/>
      <c r="Q97" s="91"/>
      <c r="R97" s="91"/>
      <c r="S97" s="91"/>
      <c r="T97" s="91"/>
      <c r="U97" s="90"/>
      <c r="V97" s="91"/>
      <c r="W97" s="91"/>
      <c r="X97" s="91"/>
      <c r="Y97" s="91"/>
      <c r="Z97" s="91"/>
      <c r="AA97" s="88">
        <v>646.41</v>
      </c>
      <c r="AB97" s="89">
        <f t="shared" si="3"/>
        <v>101.479</v>
      </c>
      <c r="AC97" s="89">
        <v>92.471000000000004</v>
      </c>
      <c r="AD97" s="89">
        <v>9.0079999999999991</v>
      </c>
      <c r="AE97" s="89">
        <v>544.93100000000004</v>
      </c>
      <c r="AF97" s="89"/>
      <c r="AG97" s="88"/>
      <c r="AH97" s="89"/>
      <c r="AI97" s="89"/>
      <c r="AJ97" s="89"/>
      <c r="AK97" s="89"/>
      <c r="AL97" s="89"/>
      <c r="AM97" s="88"/>
      <c r="AN97" s="89"/>
      <c r="AO97" s="89"/>
      <c r="AP97" s="89"/>
      <c r="AQ97" s="89"/>
      <c r="AR97" s="89"/>
      <c r="AS97" s="88"/>
      <c r="AT97" s="89"/>
      <c r="AU97" s="89"/>
      <c r="AV97" s="89"/>
      <c r="AW97" s="89"/>
      <c r="AX97" s="89"/>
      <c r="AY97" s="88"/>
      <c r="AZ97" s="89"/>
      <c r="BA97" s="89"/>
      <c r="BB97" s="89"/>
      <c r="BC97" s="89"/>
      <c r="BD97" s="89"/>
      <c r="BE97" s="88"/>
      <c r="BF97" s="89"/>
      <c r="BG97" s="89"/>
      <c r="BH97" s="89"/>
      <c r="BI97" s="89"/>
      <c r="BJ97" s="89"/>
      <c r="BK97" s="88"/>
      <c r="BL97" s="89"/>
      <c r="BM97" s="89"/>
      <c r="BN97" s="89"/>
      <c r="BO97" s="89"/>
      <c r="BP97" s="89"/>
      <c r="BQ97" s="88"/>
      <c r="BR97" s="89"/>
      <c r="BS97" s="89"/>
      <c r="BT97" s="89"/>
      <c r="BU97" s="89"/>
      <c r="BV97" s="89"/>
      <c r="BW97" s="88"/>
      <c r="BX97" s="89"/>
      <c r="BY97" s="89"/>
      <c r="BZ97" s="89"/>
      <c r="CA97" s="89"/>
      <c r="CB97" s="89"/>
      <c r="CC97" s="88"/>
      <c r="CD97" s="89"/>
      <c r="CE97" s="89"/>
      <c r="CF97" s="89"/>
      <c r="CG97" s="89"/>
      <c r="CH97" s="89"/>
      <c r="CI97" s="88"/>
      <c r="CJ97" s="89"/>
      <c r="CK97" s="89"/>
      <c r="CL97" s="89"/>
      <c r="CM97" s="89"/>
      <c r="CN97" s="89"/>
      <c r="CO97" s="88"/>
      <c r="CP97" s="89"/>
      <c r="CQ97" s="89"/>
      <c r="CR97" s="89"/>
      <c r="CS97" s="89"/>
      <c r="CT97" s="89"/>
      <c r="CU97" s="88">
        <f t="shared" si="4"/>
        <v>13186.89321</v>
      </c>
      <c r="CV97" s="89">
        <v>5060.8248700000004</v>
      </c>
      <c r="CW97" s="89">
        <v>5205.5385700000006</v>
      </c>
      <c r="CX97" s="89">
        <v>-144.71370000000002</v>
      </c>
      <c r="CY97" s="89">
        <v>8126.0683399999998</v>
      </c>
      <c r="CZ97" s="89"/>
      <c r="DA97" s="88"/>
      <c r="DB97" s="89"/>
      <c r="DC97" s="89"/>
      <c r="DD97" s="89"/>
      <c r="DE97" s="89"/>
      <c r="DF97" s="89"/>
      <c r="DG97" s="88">
        <v>77196.399999999994</v>
      </c>
      <c r="DH97" s="89">
        <v>37030</v>
      </c>
      <c r="DI97" s="89"/>
      <c r="DJ97" s="89"/>
      <c r="DK97" s="89">
        <v>41180.400000000001</v>
      </c>
      <c r="DL97" s="89">
        <v>1014</v>
      </c>
      <c r="DM97" s="88"/>
      <c r="DN97" s="89"/>
      <c r="DO97" s="89"/>
      <c r="DP97" s="89"/>
      <c r="DQ97" s="89"/>
      <c r="DR97" s="89"/>
      <c r="DS97" s="88"/>
      <c r="DT97" s="89"/>
      <c r="DU97" s="89"/>
      <c r="DV97" s="89"/>
      <c r="DW97" s="89"/>
      <c r="DX97" s="89"/>
      <c r="DY97" s="88"/>
      <c r="DZ97" s="89"/>
      <c r="EA97" s="89"/>
      <c r="EB97" s="89"/>
      <c r="EC97" s="89"/>
      <c r="ED97" s="89"/>
      <c r="EE97" s="88"/>
      <c r="EF97" s="89"/>
      <c r="EG97" s="89"/>
      <c r="EH97" s="89"/>
      <c r="EI97" s="89"/>
      <c r="EJ97" s="89"/>
      <c r="EK97" s="88">
        <v>5665498.1040000003</v>
      </c>
      <c r="EL97" s="89">
        <f t="shared" si="2"/>
        <v>155426.81000000006</v>
      </c>
      <c r="EM97" s="89">
        <v>75426.357000000076</v>
      </c>
      <c r="EN97" s="89">
        <v>80000.45299999998</v>
      </c>
      <c r="EO97" s="89">
        <v>5410044.2919999994</v>
      </c>
      <c r="EP97" s="89">
        <v>100027.00199999998</v>
      </c>
      <c r="EQ97" s="88"/>
      <c r="ER97" s="89"/>
      <c r="ES97" s="89"/>
      <c r="ET97" s="89"/>
      <c r="EU97" s="89"/>
      <c r="EV97" s="89"/>
      <c r="EW97" s="88"/>
      <c r="EX97" s="89"/>
      <c r="EY97" s="89"/>
      <c r="EZ97" s="89"/>
      <c r="FA97" s="89"/>
      <c r="FB97" s="89"/>
      <c r="FC97" s="88"/>
      <c r="FD97" s="89"/>
      <c r="FE97" s="89"/>
      <c r="FF97" s="89"/>
      <c r="FG97" s="89"/>
      <c r="FH97" s="89"/>
      <c r="FI97" s="88"/>
      <c r="FJ97" s="89"/>
      <c r="FK97" s="89"/>
      <c r="FL97" s="89"/>
      <c r="FM97" s="89"/>
      <c r="FN97" s="89"/>
      <c r="FO97" s="88"/>
      <c r="FP97" s="89"/>
      <c r="FQ97" s="89"/>
      <c r="FR97" s="89"/>
      <c r="FS97" s="89"/>
      <c r="FT97" s="89"/>
      <c r="FU97" s="88"/>
      <c r="FV97" s="89"/>
      <c r="FW97" s="89"/>
      <c r="FX97" s="89"/>
      <c r="FY97" s="89"/>
      <c r="FZ97" s="89"/>
      <c r="GA97" s="120"/>
      <c r="GB97" s="121"/>
      <c r="GC97" s="121"/>
      <c r="GD97" s="121"/>
      <c r="GE97" s="121"/>
      <c r="GF97" s="89"/>
      <c r="GG97" s="88"/>
      <c r="GH97" s="89"/>
      <c r="GI97" s="89"/>
      <c r="GJ97" s="89"/>
      <c r="GK97" s="89"/>
      <c r="GL97" s="89"/>
      <c r="GM97" s="88">
        <v>6667.6909999999998</v>
      </c>
      <c r="GN97" s="89">
        <v>753.70299999999997</v>
      </c>
      <c r="GO97" s="89">
        <v>703.45699999999999</v>
      </c>
      <c r="GP97" s="89">
        <v>50.246000000000002</v>
      </c>
      <c r="GQ97" s="89">
        <v>4493.5630000000001</v>
      </c>
      <c r="GR97" s="89">
        <v>1420.425</v>
      </c>
      <c r="GS97" s="88"/>
      <c r="GT97" s="87"/>
      <c r="GU97" s="87"/>
      <c r="GV97" s="87"/>
      <c r="GW97" s="87"/>
      <c r="GX97" s="87"/>
      <c r="GY97" s="87"/>
      <c r="GZ97" s="88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8"/>
      <c r="HM97" s="87"/>
      <c r="HN97" s="87"/>
      <c r="HO97" s="87"/>
      <c r="HP97" s="87"/>
      <c r="HQ97" s="87"/>
      <c r="HR97" s="87"/>
      <c r="HS97" s="87"/>
    </row>
    <row r="98" spans="1:227">
      <c r="A98" s="69"/>
      <c r="B98" s="87" t="s">
        <v>499</v>
      </c>
      <c r="C98" s="88"/>
      <c r="D98" s="87"/>
      <c r="E98" s="87"/>
      <c r="F98" s="87"/>
      <c r="G98" s="87"/>
      <c r="H98" s="87"/>
      <c r="I98" s="88">
        <v>72305.107999999993</v>
      </c>
      <c r="J98" s="89">
        <v>28494.597000000002</v>
      </c>
      <c r="K98" s="89"/>
      <c r="L98" s="89"/>
      <c r="M98" s="89">
        <v>63118.837999999996</v>
      </c>
      <c r="N98" s="89">
        <v>-19308.327000000001</v>
      </c>
      <c r="O98" s="90"/>
      <c r="P98" s="91"/>
      <c r="Q98" s="91"/>
      <c r="R98" s="91"/>
      <c r="S98" s="91"/>
      <c r="T98" s="91"/>
      <c r="U98" s="90"/>
      <c r="V98" s="91"/>
      <c r="W98" s="91"/>
      <c r="X98" s="91"/>
      <c r="Y98" s="91"/>
      <c r="Z98" s="91"/>
      <c r="AA98" s="88">
        <v>645.04200000000003</v>
      </c>
      <c r="AB98" s="89">
        <f t="shared" si="3"/>
        <v>100.637</v>
      </c>
      <c r="AC98" s="89">
        <v>91.524000000000001</v>
      </c>
      <c r="AD98" s="89">
        <v>9.1129999999999995</v>
      </c>
      <c r="AE98" s="89">
        <v>544.40499999999997</v>
      </c>
      <c r="AF98" s="89"/>
      <c r="AG98" s="88"/>
      <c r="AH98" s="89"/>
      <c r="AI98" s="89"/>
      <c r="AJ98" s="89"/>
      <c r="AK98" s="89"/>
      <c r="AL98" s="89"/>
      <c r="AM98" s="88"/>
      <c r="AN98" s="89"/>
      <c r="AO98" s="89"/>
      <c r="AP98" s="89"/>
      <c r="AQ98" s="89"/>
      <c r="AR98" s="89"/>
      <c r="AS98" s="88"/>
      <c r="AT98" s="89"/>
      <c r="AU98" s="89"/>
      <c r="AV98" s="89"/>
      <c r="AW98" s="89"/>
      <c r="AX98" s="89"/>
      <c r="AY98" s="88"/>
      <c r="AZ98" s="89"/>
      <c r="BA98" s="89"/>
      <c r="BB98" s="89"/>
      <c r="BC98" s="89"/>
      <c r="BD98" s="89"/>
      <c r="BE98" s="88"/>
      <c r="BF98" s="89"/>
      <c r="BG98" s="89"/>
      <c r="BH98" s="89"/>
      <c r="BI98" s="89"/>
      <c r="BJ98" s="89"/>
      <c r="BK98" s="88"/>
      <c r="BL98" s="89"/>
      <c r="BM98" s="89"/>
      <c r="BN98" s="89"/>
      <c r="BO98" s="89"/>
      <c r="BP98" s="89"/>
      <c r="BQ98" s="88"/>
      <c r="BR98" s="89"/>
      <c r="BS98" s="89"/>
      <c r="BT98" s="89"/>
      <c r="BU98" s="89"/>
      <c r="BV98" s="89"/>
      <c r="BW98" s="88"/>
      <c r="BX98" s="89"/>
      <c r="BY98" s="89"/>
      <c r="BZ98" s="89"/>
      <c r="CA98" s="89"/>
      <c r="CB98" s="89"/>
      <c r="CC98" s="88"/>
      <c r="CD98" s="89"/>
      <c r="CE98" s="89"/>
      <c r="CF98" s="89"/>
      <c r="CG98" s="89"/>
      <c r="CH98" s="89"/>
      <c r="CI98" s="88"/>
      <c r="CJ98" s="89"/>
      <c r="CK98" s="89"/>
      <c r="CL98" s="89"/>
      <c r="CM98" s="89"/>
      <c r="CN98" s="89"/>
      <c r="CO98" s="88"/>
      <c r="CP98" s="89"/>
      <c r="CQ98" s="89"/>
      <c r="CR98" s="89"/>
      <c r="CS98" s="89"/>
      <c r="CT98" s="89"/>
      <c r="CU98" s="88">
        <f t="shared" si="4"/>
        <v>13558.336240000001</v>
      </c>
      <c r="CV98" s="89">
        <v>5195.3313399999997</v>
      </c>
      <c r="CW98" s="89">
        <v>5326.6432599999998</v>
      </c>
      <c r="CX98" s="89">
        <v>-131.31192000000001</v>
      </c>
      <c r="CY98" s="89">
        <v>8363.0048999999999</v>
      </c>
      <c r="CZ98" s="89"/>
      <c r="DA98" s="88"/>
      <c r="DB98" s="89"/>
      <c r="DC98" s="89"/>
      <c r="DD98" s="89"/>
      <c r="DE98" s="89"/>
      <c r="DF98" s="89"/>
      <c r="DG98" s="88">
        <v>81563.100000000006</v>
      </c>
      <c r="DH98" s="89">
        <v>41325.699999999997</v>
      </c>
      <c r="DI98" s="89"/>
      <c r="DJ98" s="89"/>
      <c r="DK98" s="89">
        <v>42159.5</v>
      </c>
      <c r="DL98" s="89">
        <v>1922.1</v>
      </c>
      <c r="DM98" s="88"/>
      <c r="DN98" s="89"/>
      <c r="DO98" s="89"/>
      <c r="DP98" s="89"/>
      <c r="DQ98" s="89"/>
      <c r="DR98" s="89"/>
      <c r="DS98" s="88"/>
      <c r="DT98" s="89"/>
      <c r="DU98" s="89"/>
      <c r="DV98" s="89"/>
      <c r="DW98" s="89"/>
      <c r="DX98" s="89"/>
      <c r="DY98" s="88"/>
      <c r="DZ98" s="89"/>
      <c r="EA98" s="89"/>
      <c r="EB98" s="89"/>
      <c r="EC98" s="89"/>
      <c r="ED98" s="89"/>
      <c r="EE98" s="88"/>
      <c r="EF98" s="89"/>
      <c r="EG98" s="89"/>
      <c r="EH98" s="89"/>
      <c r="EI98" s="89"/>
      <c r="EJ98" s="89"/>
      <c r="EK98" s="88">
        <v>5826877.760999999</v>
      </c>
      <c r="EL98" s="89">
        <f t="shared" si="2"/>
        <v>102702.09499999983</v>
      </c>
      <c r="EM98" s="89">
        <v>10491.025999999838</v>
      </c>
      <c r="EN98" s="89">
        <v>92211.068999999989</v>
      </c>
      <c r="EO98" s="89">
        <v>5623751.6619999995</v>
      </c>
      <c r="EP98" s="89">
        <v>100424.00399999999</v>
      </c>
      <c r="EQ98" s="88"/>
      <c r="ER98" s="89"/>
      <c r="ES98" s="89"/>
      <c r="ET98" s="89"/>
      <c r="EU98" s="89"/>
      <c r="EV98" s="89"/>
      <c r="EW98" s="88"/>
      <c r="EX98" s="89"/>
      <c r="EY98" s="89"/>
      <c r="EZ98" s="89"/>
      <c r="FA98" s="89"/>
      <c r="FB98" s="89"/>
      <c r="FC98" s="88"/>
      <c r="FD98" s="89"/>
      <c r="FE98" s="89"/>
      <c r="FF98" s="89"/>
      <c r="FG98" s="89"/>
      <c r="FH98" s="89"/>
      <c r="FI98" s="88"/>
      <c r="FJ98" s="89"/>
      <c r="FK98" s="89"/>
      <c r="FL98" s="89"/>
      <c r="FM98" s="89"/>
      <c r="FN98" s="89"/>
      <c r="FO98" s="88"/>
      <c r="FP98" s="89"/>
      <c r="FQ98" s="89"/>
      <c r="FR98" s="89"/>
      <c r="FS98" s="89"/>
      <c r="FT98" s="89"/>
      <c r="FU98" s="88"/>
      <c r="FV98" s="89"/>
      <c r="FW98" s="89"/>
      <c r="FX98" s="89"/>
      <c r="FY98" s="89"/>
      <c r="FZ98" s="89"/>
      <c r="GA98" s="120"/>
      <c r="GB98" s="121"/>
      <c r="GC98" s="121"/>
      <c r="GD98" s="121"/>
      <c r="GE98" s="121"/>
      <c r="GF98" s="89"/>
      <c r="GG98" s="88"/>
      <c r="GH98" s="89"/>
      <c r="GI98" s="89"/>
      <c r="GJ98" s="89"/>
      <c r="GK98" s="89"/>
      <c r="GL98" s="89"/>
      <c r="GM98" s="88">
        <v>6900.63</v>
      </c>
      <c r="GN98" s="89">
        <v>759.23299999999995</v>
      </c>
      <c r="GO98" s="89">
        <v>712.05</v>
      </c>
      <c r="GP98" s="89">
        <v>47.183</v>
      </c>
      <c r="GQ98" s="89">
        <v>4885.1629999999996</v>
      </c>
      <c r="GR98" s="89">
        <v>1256.2339999999999</v>
      </c>
      <c r="GS98" s="88"/>
      <c r="GT98" s="87"/>
      <c r="GU98" s="87"/>
      <c r="GV98" s="87"/>
      <c r="GW98" s="87"/>
      <c r="GX98" s="87"/>
      <c r="GY98" s="87"/>
      <c r="GZ98" s="88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8"/>
      <c r="HM98" s="87"/>
      <c r="HN98" s="87"/>
      <c r="HO98" s="87"/>
      <c r="HP98" s="87"/>
      <c r="HQ98" s="87"/>
      <c r="HR98" s="87"/>
      <c r="HS98" s="87"/>
    </row>
    <row r="99" spans="1:227">
      <c r="A99" s="102"/>
      <c r="B99" s="103" t="s">
        <v>500</v>
      </c>
      <c r="C99" s="104"/>
      <c r="D99" s="105"/>
      <c r="E99" s="105"/>
      <c r="F99" s="105"/>
      <c r="G99" s="105"/>
      <c r="H99" s="105"/>
      <c r="I99" s="104">
        <v>73302.976999999999</v>
      </c>
      <c r="J99" s="105">
        <v>29039.725999999999</v>
      </c>
      <c r="K99" s="105"/>
      <c r="L99" s="105"/>
      <c r="M99" s="105">
        <v>64234.108000000007</v>
      </c>
      <c r="N99" s="105">
        <v>-19970.857</v>
      </c>
      <c r="O99" s="106">
        <v>3059.3</v>
      </c>
      <c r="P99" s="107">
        <f>Q99+R99</f>
        <v>508.3</v>
      </c>
      <c r="Q99" s="107">
        <v>419.8</v>
      </c>
      <c r="R99" s="107">
        <v>88.5</v>
      </c>
      <c r="S99" s="107">
        <v>2551</v>
      </c>
      <c r="T99" s="107"/>
      <c r="U99" s="106"/>
      <c r="V99" s="107"/>
      <c r="W99" s="107"/>
      <c r="X99" s="107"/>
      <c r="Y99" s="107"/>
      <c r="Z99" s="107"/>
      <c r="AA99" s="104">
        <v>651.25400000000002</v>
      </c>
      <c r="AB99" s="105">
        <f t="shared" si="3"/>
        <v>105.816</v>
      </c>
      <c r="AC99" s="105">
        <v>96.304000000000002</v>
      </c>
      <c r="AD99" s="105">
        <v>9.5120000000000005</v>
      </c>
      <c r="AE99" s="105">
        <v>545.43799999999999</v>
      </c>
      <c r="AF99" s="105"/>
      <c r="AG99" s="104">
        <v>29524.811255519999</v>
      </c>
      <c r="AH99" s="105">
        <v>5273.799255519999</v>
      </c>
      <c r="AI99" s="105">
        <v>5273.799255519999</v>
      </c>
      <c r="AJ99" s="105"/>
      <c r="AK99" s="105">
        <v>24251.011999999999</v>
      </c>
      <c r="AL99" s="105"/>
      <c r="AM99" s="104"/>
      <c r="AN99" s="105"/>
      <c r="AO99" s="105"/>
      <c r="AP99" s="105"/>
      <c r="AQ99" s="105"/>
      <c r="AR99" s="105"/>
      <c r="AS99" s="104"/>
      <c r="AT99" s="105"/>
      <c r="AU99" s="105"/>
      <c r="AV99" s="105"/>
      <c r="AW99" s="105"/>
      <c r="AX99" s="105"/>
      <c r="AY99" s="104"/>
      <c r="AZ99" s="105"/>
      <c r="BA99" s="105"/>
      <c r="BB99" s="105"/>
      <c r="BC99" s="105"/>
      <c r="BD99" s="105"/>
      <c r="BE99" s="104"/>
      <c r="BF99" s="105"/>
      <c r="BG99" s="105"/>
      <c r="BH99" s="105"/>
      <c r="BI99" s="105"/>
      <c r="BJ99" s="105"/>
      <c r="BK99" s="104"/>
      <c r="BL99" s="105"/>
      <c r="BM99" s="105"/>
      <c r="BN99" s="105"/>
      <c r="BO99" s="105"/>
      <c r="BP99" s="105"/>
      <c r="BQ99" s="104"/>
      <c r="BR99" s="105"/>
      <c r="BS99" s="105"/>
      <c r="BT99" s="105"/>
      <c r="BU99" s="105"/>
      <c r="BV99" s="105"/>
      <c r="BW99" s="104"/>
      <c r="BX99" s="105"/>
      <c r="BY99" s="105"/>
      <c r="BZ99" s="105"/>
      <c r="CA99" s="105"/>
      <c r="CB99" s="105"/>
      <c r="CC99" s="104"/>
      <c r="CD99" s="105"/>
      <c r="CE99" s="105"/>
      <c r="CF99" s="105"/>
      <c r="CG99" s="105"/>
      <c r="CH99" s="105"/>
      <c r="CI99" s="104"/>
      <c r="CJ99" s="105"/>
      <c r="CK99" s="105"/>
      <c r="CL99" s="105"/>
      <c r="CM99" s="105"/>
      <c r="CN99" s="105"/>
      <c r="CO99" s="104">
        <v>23926.799999999999</v>
      </c>
      <c r="CP99" s="105">
        <v>-17277</v>
      </c>
      <c r="CQ99" s="105">
        <v>-10974.2</v>
      </c>
      <c r="CR99" s="105">
        <v>-6302.7999999999993</v>
      </c>
      <c r="CS99" s="105">
        <v>44863.3</v>
      </c>
      <c r="CT99" s="105">
        <v>-3659.5</v>
      </c>
      <c r="CU99" s="104">
        <f t="shared" si="4"/>
        <v>14148.861569999999</v>
      </c>
      <c r="CV99" s="105">
        <v>5402.4182799999999</v>
      </c>
      <c r="CW99" s="105">
        <v>5552.7529999999997</v>
      </c>
      <c r="CX99" s="105">
        <v>-150.33472</v>
      </c>
      <c r="CY99" s="105">
        <v>8746.4432899999993</v>
      </c>
      <c r="CZ99" s="105"/>
      <c r="DA99" s="104"/>
      <c r="DB99" s="105"/>
      <c r="DC99" s="105"/>
      <c r="DD99" s="105"/>
      <c r="DE99" s="105"/>
      <c r="DF99" s="105"/>
      <c r="DG99" s="104">
        <v>77196.399999999994</v>
      </c>
      <c r="DH99" s="105">
        <v>37030</v>
      </c>
      <c r="DI99" s="105"/>
      <c r="DJ99" s="105"/>
      <c r="DK99" s="105">
        <v>41180.400000000001</v>
      </c>
      <c r="DL99" s="105">
        <v>1014</v>
      </c>
      <c r="DM99" s="104"/>
      <c r="DN99" s="105"/>
      <c r="DO99" s="105"/>
      <c r="DP99" s="105"/>
      <c r="DQ99" s="105"/>
      <c r="DR99" s="105"/>
      <c r="DS99" s="104"/>
      <c r="DT99" s="105"/>
      <c r="DU99" s="105"/>
      <c r="DV99" s="105"/>
      <c r="DW99" s="105"/>
      <c r="DX99" s="105"/>
      <c r="DY99" s="104"/>
      <c r="DZ99" s="105"/>
      <c r="EA99" s="105"/>
      <c r="EB99" s="105"/>
      <c r="EC99" s="105"/>
      <c r="ED99" s="105"/>
      <c r="EE99" s="104"/>
      <c r="EF99" s="105"/>
      <c r="EG99" s="105"/>
      <c r="EH99" s="105"/>
      <c r="EI99" s="105"/>
      <c r="EJ99" s="105"/>
      <c r="EK99" s="104">
        <v>5555937.4639999997</v>
      </c>
      <c r="EL99" s="105">
        <f t="shared" si="2"/>
        <v>-253416.17700000003</v>
      </c>
      <c r="EM99" s="105">
        <v>-371767.31500000006</v>
      </c>
      <c r="EN99" s="105">
        <v>118351.13800000002</v>
      </c>
      <c r="EO99" s="105">
        <v>5705706.4989999998</v>
      </c>
      <c r="EP99" s="105">
        <v>103647.14200000001</v>
      </c>
      <c r="EQ99" s="104"/>
      <c r="ER99" s="105"/>
      <c r="ES99" s="105"/>
      <c r="ET99" s="105"/>
      <c r="EU99" s="105"/>
      <c r="EV99" s="105"/>
      <c r="EW99" s="104"/>
      <c r="EX99" s="105"/>
      <c r="EY99" s="105"/>
      <c r="EZ99" s="105"/>
      <c r="FA99" s="105"/>
      <c r="FB99" s="105"/>
      <c r="FC99" s="104"/>
      <c r="FD99" s="105"/>
      <c r="FE99" s="105"/>
      <c r="FF99" s="105"/>
      <c r="FG99" s="105"/>
      <c r="FH99" s="105"/>
      <c r="FI99" s="104"/>
      <c r="FJ99" s="105"/>
      <c r="FK99" s="105"/>
      <c r="FL99" s="105"/>
      <c r="FM99" s="105"/>
      <c r="FN99" s="103"/>
      <c r="FO99" s="104"/>
      <c r="FP99" s="105"/>
      <c r="FQ99" s="105"/>
      <c r="FR99" s="105"/>
      <c r="FS99" s="105"/>
      <c r="FT99" s="103"/>
      <c r="FU99" s="104"/>
      <c r="FV99" s="105"/>
      <c r="FW99" s="105"/>
      <c r="FX99" s="105"/>
      <c r="FY99" s="105"/>
      <c r="FZ99" s="105"/>
      <c r="GA99" s="104">
        <v>14954.4</v>
      </c>
      <c r="GB99" s="105">
        <v>3631.3999999999996</v>
      </c>
      <c r="GC99" s="105">
        <v>1523.8</v>
      </c>
      <c r="GD99" s="105">
        <v>2107.6</v>
      </c>
      <c r="GE99" s="105">
        <v>11323.1</v>
      </c>
      <c r="GF99" s="105"/>
      <c r="GG99" s="104"/>
      <c r="GH99" s="105"/>
      <c r="GI99" s="105"/>
      <c r="GJ99" s="105"/>
      <c r="GK99" s="105"/>
      <c r="GL99" s="105"/>
      <c r="GM99" s="104">
        <v>7277.9470000000001</v>
      </c>
      <c r="GN99" s="105">
        <v>830.17100000000005</v>
      </c>
      <c r="GO99" s="105">
        <v>763.86900000000003</v>
      </c>
      <c r="GP99" s="105">
        <v>66.302000000000007</v>
      </c>
      <c r="GQ99" s="105">
        <v>5287.72</v>
      </c>
      <c r="GR99" s="103">
        <v>1160.056</v>
      </c>
      <c r="GS99" s="88"/>
      <c r="GT99" s="87"/>
      <c r="GU99" s="87"/>
      <c r="GV99" s="87"/>
      <c r="GW99" s="87"/>
      <c r="GX99" s="87"/>
      <c r="GY99" s="87"/>
      <c r="GZ99" s="88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8"/>
      <c r="HM99" s="87"/>
      <c r="HN99" s="87"/>
      <c r="HO99" s="87"/>
      <c r="HP99" s="87"/>
      <c r="HQ99" s="87"/>
      <c r="HR99" s="87"/>
      <c r="HS99" s="87"/>
    </row>
    <row r="100" spans="1:227">
      <c r="A100" s="86">
        <v>1998</v>
      </c>
      <c r="B100" s="87" t="s">
        <v>489</v>
      </c>
      <c r="C100" s="88"/>
      <c r="D100" s="87"/>
      <c r="E100" s="87"/>
      <c r="F100" s="87"/>
      <c r="G100" s="87"/>
      <c r="H100" s="87"/>
      <c r="I100" s="88">
        <v>75376.81</v>
      </c>
      <c r="J100" s="89">
        <v>30274.694</v>
      </c>
      <c r="K100" s="89"/>
      <c r="L100" s="89"/>
      <c r="M100" s="89">
        <v>64736.854999999996</v>
      </c>
      <c r="N100" s="89">
        <v>-19634.739000000001</v>
      </c>
      <c r="O100" s="90"/>
      <c r="P100" s="91"/>
      <c r="Q100" s="91"/>
      <c r="R100" s="91"/>
      <c r="S100" s="91"/>
      <c r="T100" s="91"/>
      <c r="U100" s="90"/>
      <c r="V100" s="91"/>
      <c r="W100" s="91"/>
      <c r="X100" s="91"/>
      <c r="Y100" s="91"/>
      <c r="Z100" s="91"/>
      <c r="AA100" s="88">
        <v>659.36900000000003</v>
      </c>
      <c r="AB100" s="89">
        <f t="shared" si="3"/>
        <v>108.88200000000001</v>
      </c>
      <c r="AC100" s="89">
        <v>99.712000000000003</v>
      </c>
      <c r="AD100" s="89">
        <v>9.17</v>
      </c>
      <c r="AE100" s="89">
        <v>550.48699999999997</v>
      </c>
      <c r="AF100" s="89"/>
      <c r="AG100" s="88">
        <v>29732.35273332</v>
      </c>
      <c r="AH100" s="89">
        <v>5473.5706933200008</v>
      </c>
      <c r="AI100" s="89">
        <v>5473.5706933200008</v>
      </c>
      <c r="AJ100" s="89"/>
      <c r="AK100" s="89">
        <v>24258.781999999999</v>
      </c>
      <c r="AL100" s="89"/>
      <c r="AM100" s="88"/>
      <c r="AN100" s="89"/>
      <c r="AO100" s="89"/>
      <c r="AP100" s="89"/>
      <c r="AQ100" s="89"/>
      <c r="AR100" s="89"/>
      <c r="AS100" s="88">
        <v>20045000</v>
      </c>
      <c r="AT100" s="89">
        <f t="shared" ref="AT100:AT146" si="5">AU100+AV100</f>
        <v>961000</v>
      </c>
      <c r="AU100" s="89">
        <v>961000</v>
      </c>
      <c r="AV100" s="89"/>
      <c r="AW100" s="89">
        <v>21212000</v>
      </c>
      <c r="AX100" s="89">
        <v>-2128000</v>
      </c>
      <c r="AY100" s="88"/>
      <c r="AZ100" s="89"/>
      <c r="BA100" s="89"/>
      <c r="BB100" s="89"/>
      <c r="BC100" s="89"/>
      <c r="BD100" s="89"/>
      <c r="BE100" s="88"/>
      <c r="BF100" s="89"/>
      <c r="BG100" s="89"/>
      <c r="BH100" s="89"/>
      <c r="BI100" s="89"/>
      <c r="BJ100" s="89"/>
      <c r="BK100" s="88"/>
      <c r="BL100" s="89"/>
      <c r="BM100" s="89"/>
      <c r="BN100" s="89"/>
      <c r="BO100" s="89"/>
      <c r="BP100" s="89"/>
      <c r="BQ100" s="88"/>
      <c r="BR100" s="89"/>
      <c r="BS100" s="89"/>
      <c r="BT100" s="89"/>
      <c r="BU100" s="89"/>
      <c r="BV100" s="89"/>
      <c r="BW100" s="88"/>
      <c r="BX100" s="89"/>
      <c r="BY100" s="89"/>
      <c r="BZ100" s="89"/>
      <c r="CA100" s="89"/>
      <c r="CB100" s="89"/>
      <c r="CC100" s="88"/>
      <c r="CD100" s="89"/>
      <c r="CE100" s="89"/>
      <c r="CF100" s="89"/>
      <c r="CG100" s="89"/>
      <c r="CH100" s="89"/>
      <c r="CI100" s="88"/>
      <c r="CJ100" s="89"/>
      <c r="CK100" s="89"/>
      <c r="CL100" s="89"/>
      <c r="CM100" s="89"/>
      <c r="CN100" s="89"/>
      <c r="CO100" s="88"/>
      <c r="CP100" s="89"/>
      <c r="CQ100" s="89"/>
      <c r="CR100" s="89"/>
      <c r="CS100" s="89"/>
      <c r="CT100" s="89"/>
      <c r="CU100" s="88">
        <f t="shared" si="4"/>
        <v>14388.48659</v>
      </c>
      <c r="CV100" s="89">
        <v>5502.8607799999991</v>
      </c>
      <c r="CW100" s="89">
        <v>5606.0725999999995</v>
      </c>
      <c r="CX100" s="89">
        <v>-103.21182</v>
      </c>
      <c r="CY100" s="89">
        <v>8885.6258100000014</v>
      </c>
      <c r="CZ100" s="89"/>
      <c r="DA100" s="88"/>
      <c r="DB100" s="89"/>
      <c r="DC100" s="89"/>
      <c r="DD100" s="89"/>
      <c r="DE100" s="89"/>
      <c r="DF100" s="89"/>
      <c r="DG100" s="88">
        <v>83845.100000000006</v>
      </c>
      <c r="DH100" s="89">
        <v>45763.7</v>
      </c>
      <c r="DI100" s="89"/>
      <c r="DJ100" s="89"/>
      <c r="DK100" s="89">
        <v>42727.6</v>
      </c>
      <c r="DL100" s="89">
        <v>-4646.2</v>
      </c>
      <c r="DM100" s="88"/>
      <c r="DN100" s="89"/>
      <c r="DO100" s="89"/>
      <c r="DP100" s="89"/>
      <c r="DQ100" s="89"/>
      <c r="DR100" s="89"/>
      <c r="DS100" s="88"/>
      <c r="DT100" s="89"/>
      <c r="DU100" s="89"/>
      <c r="DV100" s="89"/>
      <c r="DW100" s="89"/>
      <c r="DX100" s="89"/>
      <c r="DY100" s="88"/>
      <c r="DZ100" s="89"/>
      <c r="EA100" s="89"/>
      <c r="EB100" s="89"/>
      <c r="EC100" s="89"/>
      <c r="ED100" s="89"/>
      <c r="EE100" s="88"/>
      <c r="EF100" s="89"/>
      <c r="EG100" s="89"/>
      <c r="EH100" s="89"/>
      <c r="EI100" s="89"/>
      <c r="EJ100" s="89"/>
      <c r="EK100" s="88">
        <v>5937360.1030000001</v>
      </c>
      <c r="EL100" s="89">
        <f t="shared" si="2"/>
        <v>-297609.33400000009</v>
      </c>
      <c r="EM100" s="89">
        <v>-395078.34900000005</v>
      </c>
      <c r="EN100" s="89">
        <v>97469.01499999997</v>
      </c>
      <c r="EO100" s="89">
        <v>6122503.4119999995</v>
      </c>
      <c r="EP100" s="89">
        <v>112466.02499999999</v>
      </c>
      <c r="EQ100" s="88"/>
      <c r="ER100" s="89"/>
      <c r="ES100" s="89"/>
      <c r="ET100" s="89"/>
      <c r="EU100" s="89"/>
      <c r="EV100" s="89"/>
      <c r="EW100" s="88"/>
      <c r="EX100" s="89"/>
      <c r="EY100" s="89"/>
      <c r="EZ100" s="89"/>
      <c r="FA100" s="89"/>
      <c r="FB100" s="89"/>
      <c r="FC100" s="88"/>
      <c r="FD100" s="89"/>
      <c r="FE100" s="89"/>
      <c r="FF100" s="89"/>
      <c r="FG100" s="89"/>
      <c r="FH100" s="89"/>
      <c r="FI100" s="88"/>
      <c r="FJ100" s="89"/>
      <c r="FK100" s="89"/>
      <c r="FL100" s="89"/>
      <c r="FM100" s="89"/>
      <c r="FN100" s="89"/>
      <c r="FO100" s="88"/>
      <c r="FP100" s="89"/>
      <c r="FQ100" s="89"/>
      <c r="FR100" s="89"/>
      <c r="FS100" s="89"/>
      <c r="FT100" s="89"/>
      <c r="FU100" s="88"/>
      <c r="FV100" s="89"/>
      <c r="FW100" s="89"/>
      <c r="FX100" s="89"/>
      <c r="FY100" s="89"/>
      <c r="FZ100" s="89"/>
      <c r="GA100" s="120"/>
      <c r="GB100" s="121"/>
      <c r="GC100" s="121"/>
      <c r="GD100" s="121"/>
      <c r="GE100" s="121"/>
      <c r="GF100" s="89"/>
      <c r="GG100" s="88"/>
      <c r="GH100" s="89"/>
      <c r="GI100" s="89"/>
      <c r="GJ100" s="89"/>
      <c r="GK100" s="89"/>
      <c r="GL100" s="89"/>
      <c r="GM100" s="88">
        <v>7368.8720000000003</v>
      </c>
      <c r="GN100" s="89">
        <v>839.43700000000001</v>
      </c>
      <c r="GO100" s="89">
        <v>771.13699999999994</v>
      </c>
      <c r="GP100" s="89">
        <v>68.3</v>
      </c>
      <c r="GQ100" s="89">
        <v>5276.6729999999998</v>
      </c>
      <c r="GR100" s="89">
        <v>1252.7619999999999</v>
      </c>
      <c r="GS100" s="88"/>
      <c r="GT100" s="87"/>
      <c r="GU100" s="87"/>
      <c r="GV100" s="87"/>
      <c r="GW100" s="87"/>
      <c r="GX100" s="87"/>
      <c r="GY100" s="87"/>
      <c r="GZ100" s="88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8"/>
      <c r="HM100" s="87"/>
      <c r="HN100" s="87"/>
      <c r="HO100" s="87"/>
      <c r="HP100" s="87"/>
      <c r="HQ100" s="87"/>
      <c r="HR100" s="87"/>
      <c r="HS100" s="87"/>
    </row>
    <row r="101" spans="1:227">
      <c r="A101" s="69"/>
      <c r="B101" s="87" t="s">
        <v>490</v>
      </c>
      <c r="C101" s="88"/>
      <c r="D101" s="87"/>
      <c r="E101" s="87"/>
      <c r="F101" s="87"/>
      <c r="G101" s="87"/>
      <c r="H101" s="87"/>
      <c r="I101" s="88">
        <v>75590.342000000004</v>
      </c>
      <c r="J101" s="89">
        <v>30823.296999999999</v>
      </c>
      <c r="K101" s="89"/>
      <c r="L101" s="89"/>
      <c r="M101" s="89">
        <v>65396.27</v>
      </c>
      <c r="N101" s="89">
        <v>-20629.223000000002</v>
      </c>
      <c r="O101" s="90"/>
      <c r="P101" s="91"/>
      <c r="Q101" s="91"/>
      <c r="R101" s="91"/>
      <c r="S101" s="91"/>
      <c r="T101" s="91"/>
      <c r="U101" s="90"/>
      <c r="V101" s="91"/>
      <c r="W101" s="91"/>
      <c r="X101" s="91"/>
      <c r="Y101" s="91"/>
      <c r="Z101" s="91"/>
      <c r="AA101" s="88">
        <v>653.17399999999998</v>
      </c>
      <c r="AB101" s="89">
        <f t="shared" si="3"/>
        <v>107.244</v>
      </c>
      <c r="AC101" s="89">
        <v>98.222999999999999</v>
      </c>
      <c r="AD101" s="89">
        <v>9.0210000000000008</v>
      </c>
      <c r="AE101" s="89">
        <v>545.92999999999995</v>
      </c>
      <c r="AF101" s="89"/>
      <c r="AG101" s="88">
        <v>29868.1951276</v>
      </c>
      <c r="AH101" s="89">
        <v>5332.9451276</v>
      </c>
      <c r="AI101" s="89">
        <v>5332.9451276</v>
      </c>
      <c r="AJ101" s="89"/>
      <c r="AK101" s="89">
        <v>24535.25</v>
      </c>
      <c r="AL101" s="89"/>
      <c r="AM101" s="88"/>
      <c r="AN101" s="89"/>
      <c r="AO101" s="89"/>
      <c r="AP101" s="89"/>
      <c r="AQ101" s="89"/>
      <c r="AR101" s="89"/>
      <c r="AS101" s="88">
        <v>20245000</v>
      </c>
      <c r="AT101" s="89">
        <f t="shared" si="5"/>
        <v>883000</v>
      </c>
      <c r="AU101" s="89">
        <v>883000</v>
      </c>
      <c r="AV101" s="89"/>
      <c r="AW101" s="89">
        <v>21468000</v>
      </c>
      <c r="AX101" s="89">
        <v>-2106000</v>
      </c>
      <c r="AY101" s="88"/>
      <c r="AZ101" s="89"/>
      <c r="BA101" s="89"/>
      <c r="BB101" s="89"/>
      <c r="BC101" s="89"/>
      <c r="BD101" s="89"/>
      <c r="BE101" s="88"/>
      <c r="BF101" s="89"/>
      <c r="BG101" s="89"/>
      <c r="BH101" s="89"/>
      <c r="BI101" s="89"/>
      <c r="BJ101" s="89"/>
      <c r="BK101" s="88"/>
      <c r="BL101" s="89"/>
      <c r="BM101" s="89"/>
      <c r="BN101" s="89"/>
      <c r="BO101" s="89"/>
      <c r="BP101" s="89"/>
      <c r="BQ101" s="88"/>
      <c r="BR101" s="89"/>
      <c r="BS101" s="89"/>
      <c r="BT101" s="89"/>
      <c r="BU101" s="89"/>
      <c r="BV101" s="89"/>
      <c r="BW101" s="88"/>
      <c r="BX101" s="89"/>
      <c r="BY101" s="89"/>
      <c r="BZ101" s="89"/>
      <c r="CA101" s="89"/>
      <c r="CB101" s="89"/>
      <c r="CC101" s="88"/>
      <c r="CD101" s="89"/>
      <c r="CE101" s="89"/>
      <c r="CF101" s="89"/>
      <c r="CG101" s="89"/>
      <c r="CH101" s="89"/>
      <c r="CI101" s="88"/>
      <c r="CJ101" s="89"/>
      <c r="CK101" s="89"/>
      <c r="CL101" s="89"/>
      <c r="CM101" s="89"/>
      <c r="CN101" s="89"/>
      <c r="CO101" s="88"/>
      <c r="CP101" s="89"/>
      <c r="CQ101" s="89"/>
      <c r="CR101" s="89"/>
      <c r="CS101" s="89"/>
      <c r="CT101" s="89"/>
      <c r="CU101" s="88">
        <f t="shared" si="4"/>
        <v>14317.281320000002</v>
      </c>
      <c r="CV101" s="89">
        <v>5433.2028000000009</v>
      </c>
      <c r="CW101" s="89">
        <v>5593.2743000000009</v>
      </c>
      <c r="CX101" s="89">
        <v>-160.07150000000001</v>
      </c>
      <c r="CY101" s="89">
        <v>8884.0785200000009</v>
      </c>
      <c r="CZ101" s="89"/>
      <c r="DA101" s="88"/>
      <c r="DB101" s="89"/>
      <c r="DC101" s="89"/>
      <c r="DD101" s="89"/>
      <c r="DE101" s="89"/>
      <c r="DF101" s="89"/>
      <c r="DG101" s="88">
        <v>84663.8</v>
      </c>
      <c r="DH101" s="89">
        <v>45589.7</v>
      </c>
      <c r="DI101" s="89"/>
      <c r="DJ101" s="89"/>
      <c r="DK101" s="89">
        <v>42741.7</v>
      </c>
      <c r="DL101" s="89">
        <v>-3667.6</v>
      </c>
      <c r="DM101" s="88"/>
      <c r="DN101" s="89"/>
      <c r="DO101" s="89"/>
      <c r="DP101" s="89"/>
      <c r="DQ101" s="89"/>
      <c r="DR101" s="89"/>
      <c r="DS101" s="88"/>
      <c r="DT101" s="89"/>
      <c r="DU101" s="89"/>
      <c r="DV101" s="89"/>
      <c r="DW101" s="89"/>
      <c r="DX101" s="89"/>
      <c r="DY101" s="88"/>
      <c r="DZ101" s="89"/>
      <c r="EA101" s="89"/>
      <c r="EB101" s="89"/>
      <c r="EC101" s="89"/>
      <c r="ED101" s="89"/>
      <c r="EE101" s="88"/>
      <c r="EF101" s="89"/>
      <c r="EG101" s="89"/>
      <c r="EH101" s="89"/>
      <c r="EI101" s="89"/>
      <c r="EJ101" s="89"/>
      <c r="EK101" s="88">
        <v>5964851.8339999979</v>
      </c>
      <c r="EL101" s="89">
        <f t="shared" si="2"/>
        <v>-246707.67900000018</v>
      </c>
      <c r="EM101" s="89">
        <v>-322605.90400000021</v>
      </c>
      <c r="EN101" s="89">
        <v>75898.22500000002</v>
      </c>
      <c r="EO101" s="89">
        <v>6098065.5569999982</v>
      </c>
      <c r="EP101" s="89">
        <v>113493.95599999999</v>
      </c>
      <c r="EQ101" s="88"/>
      <c r="ER101" s="89"/>
      <c r="ES101" s="89"/>
      <c r="ET101" s="89"/>
      <c r="EU101" s="89"/>
      <c r="EV101" s="89"/>
      <c r="EW101" s="88"/>
      <c r="EX101" s="89"/>
      <c r="EY101" s="89"/>
      <c r="EZ101" s="89"/>
      <c r="FA101" s="89"/>
      <c r="FB101" s="89"/>
      <c r="FC101" s="88"/>
      <c r="FD101" s="89"/>
      <c r="FE101" s="89"/>
      <c r="FF101" s="89"/>
      <c r="FG101" s="89"/>
      <c r="FH101" s="89"/>
      <c r="FI101" s="88"/>
      <c r="FJ101" s="89"/>
      <c r="FK101" s="89"/>
      <c r="FL101" s="89"/>
      <c r="FM101" s="89"/>
      <c r="FN101" s="89"/>
      <c r="FO101" s="88"/>
      <c r="FP101" s="89"/>
      <c r="FQ101" s="89"/>
      <c r="FR101" s="89"/>
      <c r="FS101" s="89"/>
      <c r="FT101" s="89"/>
      <c r="FU101" s="88"/>
      <c r="FV101" s="89"/>
      <c r="FW101" s="89"/>
      <c r="FX101" s="89"/>
      <c r="FY101" s="89"/>
      <c r="FZ101" s="89"/>
      <c r="GA101" s="120"/>
      <c r="GB101" s="121"/>
      <c r="GC101" s="121"/>
      <c r="GD101" s="121"/>
      <c r="GE101" s="121"/>
      <c r="GF101" s="89"/>
      <c r="GG101" s="88"/>
      <c r="GH101" s="89"/>
      <c r="GI101" s="89"/>
      <c r="GJ101" s="89"/>
      <c r="GK101" s="89"/>
      <c r="GL101" s="89"/>
      <c r="GM101" s="88">
        <v>7287.1350000000002</v>
      </c>
      <c r="GN101" s="89">
        <v>738.93899999999996</v>
      </c>
      <c r="GO101" s="89">
        <v>680.99400000000003</v>
      </c>
      <c r="GP101" s="89">
        <v>57.945</v>
      </c>
      <c r="GQ101" s="89">
        <v>5273.8620000000001</v>
      </c>
      <c r="GR101" s="89">
        <v>1277.3340000000001</v>
      </c>
      <c r="GS101" s="88"/>
      <c r="GT101" s="87"/>
      <c r="GU101" s="87"/>
      <c r="GV101" s="87"/>
      <c r="GW101" s="87"/>
      <c r="GX101" s="87"/>
      <c r="GY101" s="87"/>
      <c r="GZ101" s="88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8"/>
      <c r="HM101" s="87"/>
      <c r="HN101" s="87"/>
      <c r="HO101" s="87"/>
      <c r="HP101" s="87"/>
      <c r="HQ101" s="87"/>
      <c r="HR101" s="87"/>
      <c r="HS101" s="87"/>
    </row>
    <row r="102" spans="1:227">
      <c r="A102" s="69"/>
      <c r="B102" s="87" t="s">
        <v>491</v>
      </c>
      <c r="C102" s="88"/>
      <c r="D102" s="87"/>
      <c r="E102" s="87"/>
      <c r="F102" s="87"/>
      <c r="G102" s="87"/>
      <c r="H102" s="87"/>
      <c r="I102" s="88">
        <v>75745.15400000001</v>
      </c>
      <c r="J102" s="89">
        <v>30211.319</v>
      </c>
      <c r="K102" s="89"/>
      <c r="L102" s="89"/>
      <c r="M102" s="89">
        <v>65737.667000000001</v>
      </c>
      <c r="N102" s="89">
        <v>-20203.831999999999</v>
      </c>
      <c r="O102" s="90"/>
      <c r="P102" s="91"/>
      <c r="Q102" s="91"/>
      <c r="R102" s="91"/>
      <c r="S102" s="91"/>
      <c r="T102" s="91"/>
      <c r="U102" s="90"/>
      <c r="V102" s="91"/>
      <c r="W102" s="91"/>
      <c r="X102" s="91"/>
      <c r="Y102" s="91"/>
      <c r="Z102" s="91"/>
      <c r="AA102" s="88">
        <v>663.05600000000004</v>
      </c>
      <c r="AB102" s="89">
        <f t="shared" si="3"/>
        <v>112.101</v>
      </c>
      <c r="AC102" s="89">
        <v>103.018</v>
      </c>
      <c r="AD102" s="89">
        <v>9.0830000000000002</v>
      </c>
      <c r="AE102" s="89">
        <v>550.95500000000004</v>
      </c>
      <c r="AF102" s="89"/>
      <c r="AG102" s="88">
        <v>30397.599553208001</v>
      </c>
      <c r="AH102" s="89">
        <v>5384.6305532079996</v>
      </c>
      <c r="AI102" s="89">
        <v>5384.6305532079996</v>
      </c>
      <c r="AJ102" s="89"/>
      <c r="AK102" s="89">
        <v>25012.969000000001</v>
      </c>
      <c r="AL102" s="89"/>
      <c r="AM102" s="88"/>
      <c r="AN102" s="89"/>
      <c r="AO102" s="89"/>
      <c r="AP102" s="89"/>
      <c r="AQ102" s="89"/>
      <c r="AR102" s="89"/>
      <c r="AS102" s="88">
        <v>20608000</v>
      </c>
      <c r="AT102" s="89">
        <f t="shared" si="5"/>
        <v>838000</v>
      </c>
      <c r="AU102" s="89">
        <v>838000</v>
      </c>
      <c r="AV102" s="89"/>
      <c r="AW102" s="89">
        <v>21717000</v>
      </c>
      <c r="AX102" s="89">
        <v>-1947000</v>
      </c>
      <c r="AY102" s="88"/>
      <c r="AZ102" s="89"/>
      <c r="BA102" s="89"/>
      <c r="BB102" s="89"/>
      <c r="BC102" s="89"/>
      <c r="BD102" s="89"/>
      <c r="BE102" s="88"/>
      <c r="BF102" s="89"/>
      <c r="BG102" s="89"/>
      <c r="BH102" s="89"/>
      <c r="BI102" s="89"/>
      <c r="BJ102" s="89"/>
      <c r="BK102" s="88"/>
      <c r="BL102" s="89"/>
      <c r="BM102" s="89"/>
      <c r="BN102" s="89"/>
      <c r="BO102" s="89"/>
      <c r="BP102" s="89"/>
      <c r="BQ102" s="88"/>
      <c r="BR102" s="89"/>
      <c r="BS102" s="89"/>
      <c r="BT102" s="89"/>
      <c r="BU102" s="89"/>
      <c r="BV102" s="89"/>
      <c r="BW102" s="88"/>
      <c r="BX102" s="89"/>
      <c r="BY102" s="89"/>
      <c r="BZ102" s="89"/>
      <c r="CA102" s="89"/>
      <c r="CB102" s="89"/>
      <c r="CC102" s="88"/>
      <c r="CD102" s="89"/>
      <c r="CE102" s="89"/>
      <c r="CF102" s="89"/>
      <c r="CG102" s="89"/>
      <c r="CH102" s="89"/>
      <c r="CI102" s="88"/>
      <c r="CJ102" s="89"/>
      <c r="CK102" s="89"/>
      <c r="CL102" s="89"/>
      <c r="CM102" s="89"/>
      <c r="CN102" s="89"/>
      <c r="CO102" s="88"/>
      <c r="CP102" s="89"/>
      <c r="CQ102" s="89"/>
      <c r="CR102" s="89"/>
      <c r="CS102" s="89"/>
      <c r="CT102" s="89"/>
      <c r="CU102" s="88">
        <f t="shared" si="4"/>
        <v>14546.205670000001</v>
      </c>
      <c r="CV102" s="89">
        <v>5523.8348999999998</v>
      </c>
      <c r="CW102" s="89">
        <v>5684.1945999999998</v>
      </c>
      <c r="CX102" s="89">
        <v>-160.3597</v>
      </c>
      <c r="CY102" s="89">
        <v>9022.3707700000014</v>
      </c>
      <c r="CZ102" s="89"/>
      <c r="DA102" s="88"/>
      <c r="DB102" s="89"/>
      <c r="DC102" s="89"/>
      <c r="DD102" s="89"/>
      <c r="DE102" s="89"/>
      <c r="DF102" s="89"/>
      <c r="DG102" s="88">
        <v>86646.7</v>
      </c>
      <c r="DH102" s="89">
        <v>53342.3</v>
      </c>
      <c r="DI102" s="89"/>
      <c r="DJ102" s="89"/>
      <c r="DK102" s="89">
        <v>39922.800000000003</v>
      </c>
      <c r="DL102" s="89">
        <v>-6618.4</v>
      </c>
      <c r="DM102" s="88"/>
      <c r="DN102" s="89"/>
      <c r="DO102" s="89"/>
      <c r="DP102" s="89"/>
      <c r="DQ102" s="89"/>
      <c r="DR102" s="89"/>
      <c r="DS102" s="88"/>
      <c r="DT102" s="89"/>
      <c r="DU102" s="89"/>
      <c r="DV102" s="89"/>
      <c r="DW102" s="89"/>
      <c r="DX102" s="89"/>
      <c r="DY102" s="88"/>
      <c r="DZ102" s="89"/>
      <c r="EA102" s="89"/>
      <c r="EB102" s="89"/>
      <c r="EC102" s="89"/>
      <c r="ED102" s="89"/>
      <c r="EE102" s="88"/>
      <c r="EF102" s="89"/>
      <c r="EG102" s="89"/>
      <c r="EH102" s="89"/>
      <c r="EI102" s="89"/>
      <c r="EJ102" s="89"/>
      <c r="EK102" s="88">
        <v>6090731.6539999992</v>
      </c>
      <c r="EL102" s="89">
        <f t="shared" si="2"/>
        <v>-303403.11600000015</v>
      </c>
      <c r="EM102" s="89">
        <v>-389242.79200000013</v>
      </c>
      <c r="EN102" s="89">
        <v>85839.676000000007</v>
      </c>
      <c r="EO102" s="89">
        <v>6290356.3079999993</v>
      </c>
      <c r="EP102" s="89">
        <v>103778.462</v>
      </c>
      <c r="EQ102" s="88"/>
      <c r="ER102" s="89"/>
      <c r="ES102" s="89"/>
      <c r="ET102" s="89"/>
      <c r="EU102" s="89"/>
      <c r="EV102" s="89"/>
      <c r="EW102" s="88"/>
      <c r="EX102" s="89"/>
      <c r="EY102" s="89"/>
      <c r="EZ102" s="89"/>
      <c r="FA102" s="89"/>
      <c r="FB102" s="89"/>
      <c r="FC102" s="88"/>
      <c r="FD102" s="89"/>
      <c r="FE102" s="89"/>
      <c r="FF102" s="89"/>
      <c r="FG102" s="89"/>
      <c r="FH102" s="89"/>
      <c r="FI102" s="88"/>
      <c r="FJ102" s="89"/>
      <c r="FK102" s="89"/>
      <c r="FL102" s="89"/>
      <c r="FM102" s="89"/>
      <c r="FN102" s="89"/>
      <c r="FO102" s="88"/>
      <c r="FP102" s="89"/>
      <c r="FQ102" s="89"/>
      <c r="FR102" s="89"/>
      <c r="FS102" s="89"/>
      <c r="FT102" s="89"/>
      <c r="FU102" s="88"/>
      <c r="FV102" s="89"/>
      <c r="FW102" s="89"/>
      <c r="FX102" s="89"/>
      <c r="FY102" s="89"/>
      <c r="FZ102" s="89"/>
      <c r="GA102" s="120">
        <v>15387</v>
      </c>
      <c r="GB102" s="121">
        <v>4009.6</v>
      </c>
      <c r="GC102" s="121">
        <v>1954.9</v>
      </c>
      <c r="GD102" s="121">
        <v>2054.6999999999998</v>
      </c>
      <c r="GE102" s="121">
        <v>11377.3</v>
      </c>
      <c r="GF102" s="89"/>
      <c r="GG102" s="88"/>
      <c r="GH102" s="89"/>
      <c r="GI102" s="89"/>
      <c r="GJ102" s="89"/>
      <c r="GK102" s="89"/>
      <c r="GL102" s="89"/>
      <c r="GM102" s="88">
        <v>7316.8109999999997</v>
      </c>
      <c r="GN102" s="89">
        <v>761.66899999999998</v>
      </c>
      <c r="GO102" s="89">
        <v>704.67600000000004</v>
      </c>
      <c r="GP102" s="89">
        <v>56.993000000000002</v>
      </c>
      <c r="GQ102" s="89">
        <v>5371.4660000000003</v>
      </c>
      <c r="GR102" s="89">
        <v>1183.6759999999999</v>
      </c>
      <c r="GS102" s="88"/>
      <c r="GT102" s="87"/>
      <c r="GU102" s="87"/>
      <c r="GV102" s="87"/>
      <c r="GW102" s="87"/>
      <c r="GX102" s="87"/>
      <c r="GY102" s="87"/>
      <c r="GZ102" s="125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8"/>
      <c r="HM102" s="87"/>
      <c r="HN102" s="87"/>
      <c r="HO102" s="87"/>
      <c r="HP102" s="87"/>
      <c r="HQ102" s="87"/>
      <c r="HR102" s="87"/>
      <c r="HS102" s="87"/>
    </row>
    <row r="103" spans="1:227">
      <c r="A103" s="69"/>
      <c r="B103" s="87" t="s">
        <v>492</v>
      </c>
      <c r="C103" s="88"/>
      <c r="D103" s="87"/>
      <c r="E103" s="87"/>
      <c r="F103" s="87"/>
      <c r="G103" s="87"/>
      <c r="H103" s="87"/>
      <c r="I103" s="88">
        <v>76404.89499999999</v>
      </c>
      <c r="J103" s="89">
        <v>30408.785</v>
      </c>
      <c r="K103" s="89"/>
      <c r="L103" s="89"/>
      <c r="M103" s="89">
        <v>66283.190999999992</v>
      </c>
      <c r="N103" s="89">
        <v>-20287.080999999998</v>
      </c>
      <c r="O103" s="90"/>
      <c r="P103" s="91"/>
      <c r="Q103" s="91"/>
      <c r="R103" s="91"/>
      <c r="S103" s="91"/>
      <c r="T103" s="91"/>
      <c r="U103" s="90"/>
      <c r="V103" s="91"/>
      <c r="W103" s="91"/>
      <c r="X103" s="91"/>
      <c r="Y103" s="91"/>
      <c r="Z103" s="91"/>
      <c r="AA103" s="88">
        <v>674.41099999999994</v>
      </c>
      <c r="AB103" s="89">
        <f t="shared" si="3"/>
        <v>113.80799999999999</v>
      </c>
      <c r="AC103" s="89">
        <v>104.952</v>
      </c>
      <c r="AD103" s="89">
        <v>8.8559999999999999</v>
      </c>
      <c r="AE103" s="89">
        <v>560.60299999999995</v>
      </c>
      <c r="AF103" s="89"/>
      <c r="AG103" s="88">
        <v>30966.393158054001</v>
      </c>
      <c r="AH103" s="89">
        <v>5224.5371580539995</v>
      </c>
      <c r="AI103" s="89">
        <v>5224.5371580539995</v>
      </c>
      <c r="AJ103" s="89"/>
      <c r="AK103" s="89">
        <v>25741.856</v>
      </c>
      <c r="AL103" s="89"/>
      <c r="AM103" s="88"/>
      <c r="AN103" s="89"/>
      <c r="AO103" s="89"/>
      <c r="AP103" s="89"/>
      <c r="AQ103" s="89"/>
      <c r="AR103" s="89"/>
      <c r="AS103" s="88">
        <v>20677000</v>
      </c>
      <c r="AT103" s="89">
        <f t="shared" si="5"/>
        <v>626000</v>
      </c>
      <c r="AU103" s="89">
        <v>626000</v>
      </c>
      <c r="AV103" s="89"/>
      <c r="AW103" s="89">
        <v>21821000</v>
      </c>
      <c r="AX103" s="89">
        <v>-1770000</v>
      </c>
      <c r="AY103" s="88"/>
      <c r="AZ103" s="89"/>
      <c r="BA103" s="89"/>
      <c r="BB103" s="89"/>
      <c r="BC103" s="89"/>
      <c r="BD103" s="89"/>
      <c r="BE103" s="88"/>
      <c r="BF103" s="89"/>
      <c r="BG103" s="89"/>
      <c r="BH103" s="89"/>
      <c r="BI103" s="89"/>
      <c r="BJ103" s="89"/>
      <c r="BK103" s="88"/>
      <c r="BL103" s="89"/>
      <c r="BM103" s="89"/>
      <c r="BN103" s="89"/>
      <c r="BO103" s="89"/>
      <c r="BP103" s="89"/>
      <c r="BQ103" s="88"/>
      <c r="BR103" s="89"/>
      <c r="BS103" s="89"/>
      <c r="BT103" s="89"/>
      <c r="BU103" s="89"/>
      <c r="BV103" s="89"/>
      <c r="BW103" s="88"/>
      <c r="BX103" s="89"/>
      <c r="BY103" s="89"/>
      <c r="BZ103" s="89"/>
      <c r="CA103" s="89"/>
      <c r="CB103" s="89"/>
      <c r="CC103" s="88"/>
      <c r="CD103" s="89"/>
      <c r="CE103" s="89"/>
      <c r="CF103" s="89"/>
      <c r="CG103" s="89"/>
      <c r="CH103" s="89"/>
      <c r="CI103" s="88"/>
      <c r="CJ103" s="89"/>
      <c r="CK103" s="89"/>
      <c r="CL103" s="89"/>
      <c r="CM103" s="89"/>
      <c r="CN103" s="89"/>
      <c r="CO103" s="88"/>
      <c r="CP103" s="89"/>
      <c r="CQ103" s="89"/>
      <c r="CR103" s="89"/>
      <c r="CS103" s="89"/>
      <c r="CT103" s="89"/>
      <c r="CU103" s="88">
        <f t="shared" si="4"/>
        <v>14523.827700000002</v>
      </c>
      <c r="CV103" s="89">
        <v>5416.3699000000006</v>
      </c>
      <c r="CW103" s="89">
        <v>5480.7075000000004</v>
      </c>
      <c r="CX103" s="89">
        <v>-64.337600000000009</v>
      </c>
      <c r="CY103" s="89">
        <v>9107.4578000000001</v>
      </c>
      <c r="CZ103" s="89"/>
      <c r="DA103" s="88"/>
      <c r="DB103" s="89"/>
      <c r="DC103" s="89"/>
      <c r="DD103" s="89"/>
      <c r="DE103" s="89"/>
      <c r="DF103" s="89"/>
      <c r="DG103" s="88">
        <v>93553</v>
      </c>
      <c r="DH103" s="89">
        <v>68694.3</v>
      </c>
      <c r="DI103" s="89"/>
      <c r="DJ103" s="89"/>
      <c r="DK103" s="89">
        <v>36418.1</v>
      </c>
      <c r="DL103" s="89">
        <v>-11559.4</v>
      </c>
      <c r="DM103" s="88"/>
      <c r="DN103" s="89"/>
      <c r="DO103" s="89"/>
      <c r="DP103" s="89"/>
      <c r="DQ103" s="89"/>
      <c r="DR103" s="89"/>
      <c r="DS103" s="88"/>
      <c r="DT103" s="89"/>
      <c r="DU103" s="89"/>
      <c r="DV103" s="89"/>
      <c r="DW103" s="89"/>
      <c r="DX103" s="89"/>
      <c r="DY103" s="88"/>
      <c r="DZ103" s="89"/>
      <c r="EA103" s="89"/>
      <c r="EB103" s="89"/>
      <c r="EC103" s="89"/>
      <c r="ED103" s="89"/>
      <c r="EE103" s="88"/>
      <c r="EF103" s="89"/>
      <c r="EG103" s="89"/>
      <c r="EH103" s="89"/>
      <c r="EI103" s="89"/>
      <c r="EJ103" s="89"/>
      <c r="EK103" s="88">
        <v>6391359.2690000013</v>
      </c>
      <c r="EL103" s="89">
        <f t="shared" si="2"/>
        <v>-286800.72499999992</v>
      </c>
      <c r="EM103" s="89">
        <v>-379203.6719999999</v>
      </c>
      <c r="EN103" s="89">
        <v>92402.946999999971</v>
      </c>
      <c r="EO103" s="89">
        <v>6586030.5160000008</v>
      </c>
      <c r="EP103" s="89">
        <v>92129.478000000003</v>
      </c>
      <c r="EQ103" s="88"/>
      <c r="ER103" s="89"/>
      <c r="ES103" s="89"/>
      <c r="ET103" s="89"/>
      <c r="EU103" s="89"/>
      <c r="EV103" s="89"/>
      <c r="EW103" s="88"/>
      <c r="EX103" s="89"/>
      <c r="EY103" s="89"/>
      <c r="EZ103" s="89"/>
      <c r="FA103" s="89"/>
      <c r="FB103" s="89"/>
      <c r="FC103" s="88"/>
      <c r="FD103" s="89"/>
      <c r="FE103" s="89"/>
      <c r="FF103" s="89"/>
      <c r="FG103" s="89"/>
      <c r="FH103" s="89"/>
      <c r="FI103" s="88"/>
      <c r="FJ103" s="89"/>
      <c r="FK103" s="89"/>
      <c r="FL103" s="89"/>
      <c r="FM103" s="89"/>
      <c r="FN103" s="89"/>
      <c r="FO103" s="88"/>
      <c r="FP103" s="89"/>
      <c r="FQ103" s="89"/>
      <c r="FR103" s="89"/>
      <c r="FS103" s="89"/>
      <c r="FT103" s="89"/>
      <c r="FU103" s="88"/>
      <c r="FV103" s="89"/>
      <c r="FW103" s="89"/>
      <c r="FX103" s="89"/>
      <c r="FY103" s="89"/>
      <c r="FZ103" s="89"/>
      <c r="GA103" s="120"/>
      <c r="GB103" s="121"/>
      <c r="GC103" s="121"/>
      <c r="GD103" s="121"/>
      <c r="GE103" s="121"/>
      <c r="GF103" s="89"/>
      <c r="GG103" s="88"/>
      <c r="GH103" s="89"/>
      <c r="GI103" s="89"/>
      <c r="GJ103" s="89"/>
      <c r="GK103" s="89"/>
      <c r="GL103" s="89"/>
      <c r="GM103" s="88">
        <v>7511.6</v>
      </c>
      <c r="GN103" s="89">
        <v>728.72799999999995</v>
      </c>
      <c r="GO103" s="89">
        <v>676.85299999999995</v>
      </c>
      <c r="GP103" s="89">
        <v>51.875</v>
      </c>
      <c r="GQ103" s="89">
        <v>5627.732</v>
      </c>
      <c r="GR103" s="89">
        <v>1155.1400000000001</v>
      </c>
      <c r="GS103" s="88"/>
      <c r="GT103" s="87"/>
      <c r="GU103" s="87"/>
      <c r="GV103" s="87"/>
      <c r="GW103" s="87"/>
      <c r="GX103" s="87"/>
      <c r="GY103" s="87"/>
      <c r="GZ103" s="125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8"/>
      <c r="HM103" s="87"/>
      <c r="HN103" s="87"/>
      <c r="HO103" s="87"/>
      <c r="HP103" s="87"/>
      <c r="HQ103" s="87"/>
      <c r="HR103" s="87"/>
      <c r="HS103" s="87"/>
    </row>
    <row r="104" spans="1:227">
      <c r="A104" s="69"/>
      <c r="B104" s="87" t="s">
        <v>493</v>
      </c>
      <c r="C104" s="88"/>
      <c r="D104" s="87"/>
      <c r="E104" s="87"/>
      <c r="F104" s="87"/>
      <c r="G104" s="87"/>
      <c r="H104" s="87"/>
      <c r="I104" s="88">
        <v>77600.608000000007</v>
      </c>
      <c r="J104" s="89">
        <v>30662.488000000001</v>
      </c>
      <c r="K104" s="89"/>
      <c r="L104" s="89"/>
      <c r="M104" s="89">
        <v>67445.773000000001</v>
      </c>
      <c r="N104" s="89">
        <v>-20507.652999999998</v>
      </c>
      <c r="O104" s="90"/>
      <c r="P104" s="91"/>
      <c r="Q104" s="91"/>
      <c r="R104" s="91"/>
      <c r="S104" s="91"/>
      <c r="T104" s="91"/>
      <c r="U104" s="90"/>
      <c r="V104" s="91"/>
      <c r="W104" s="91"/>
      <c r="X104" s="91"/>
      <c r="Y104" s="91"/>
      <c r="Z104" s="91"/>
      <c r="AA104" s="88">
        <v>655.63400000000001</v>
      </c>
      <c r="AB104" s="89">
        <f t="shared" si="3"/>
        <v>90.923000000000002</v>
      </c>
      <c r="AC104" s="89">
        <v>83.266999999999996</v>
      </c>
      <c r="AD104" s="89">
        <v>7.6559999999999997</v>
      </c>
      <c r="AE104" s="89">
        <v>564.71100000000001</v>
      </c>
      <c r="AF104" s="89"/>
      <c r="AG104" s="88">
        <v>31465.486650138002</v>
      </c>
      <c r="AH104" s="89">
        <v>5218.4686501380002</v>
      </c>
      <c r="AI104" s="89">
        <v>5218.4686501380002</v>
      </c>
      <c r="AJ104" s="89"/>
      <c r="AK104" s="89">
        <v>26247.018</v>
      </c>
      <c r="AL104" s="89"/>
      <c r="AM104" s="88"/>
      <c r="AN104" s="89"/>
      <c r="AO104" s="89"/>
      <c r="AP104" s="89"/>
      <c r="AQ104" s="89"/>
      <c r="AR104" s="89"/>
      <c r="AS104" s="88">
        <v>20877000</v>
      </c>
      <c r="AT104" s="89">
        <f t="shared" si="5"/>
        <v>419000</v>
      </c>
      <c r="AU104" s="89">
        <v>419000</v>
      </c>
      <c r="AV104" s="89"/>
      <c r="AW104" s="89">
        <v>22177000</v>
      </c>
      <c r="AX104" s="89">
        <v>-1719000</v>
      </c>
      <c r="AY104" s="88"/>
      <c r="AZ104" s="89"/>
      <c r="BA104" s="89"/>
      <c r="BB104" s="89"/>
      <c r="BC104" s="89"/>
      <c r="BD104" s="89"/>
      <c r="BE104" s="88"/>
      <c r="BF104" s="89"/>
      <c r="BG104" s="89"/>
      <c r="BH104" s="89"/>
      <c r="BI104" s="89"/>
      <c r="BJ104" s="89"/>
      <c r="BK104" s="88"/>
      <c r="BL104" s="89"/>
      <c r="BM104" s="89"/>
      <c r="BN104" s="89"/>
      <c r="BO104" s="89"/>
      <c r="BP104" s="89"/>
      <c r="BQ104" s="88"/>
      <c r="BR104" s="89"/>
      <c r="BS104" s="89"/>
      <c r="BT104" s="89"/>
      <c r="BU104" s="89"/>
      <c r="BV104" s="89"/>
      <c r="BW104" s="88"/>
      <c r="BX104" s="89"/>
      <c r="BY104" s="89"/>
      <c r="BZ104" s="89"/>
      <c r="CA104" s="89"/>
      <c r="CB104" s="89"/>
      <c r="CC104" s="88"/>
      <c r="CD104" s="89"/>
      <c r="CE104" s="89"/>
      <c r="CF104" s="89"/>
      <c r="CG104" s="89"/>
      <c r="CH104" s="89"/>
      <c r="CI104" s="88"/>
      <c r="CJ104" s="89"/>
      <c r="CK104" s="89"/>
      <c r="CL104" s="89"/>
      <c r="CM104" s="89"/>
      <c r="CN104" s="89"/>
      <c r="CO104" s="88"/>
      <c r="CP104" s="89"/>
      <c r="CQ104" s="89"/>
      <c r="CR104" s="89"/>
      <c r="CS104" s="89"/>
      <c r="CT104" s="89"/>
      <c r="CU104" s="88">
        <f t="shared" si="4"/>
        <v>14829.174009999999</v>
      </c>
      <c r="CV104" s="89">
        <v>5697.3936999999996</v>
      </c>
      <c r="CW104" s="89">
        <v>5823.6819999999998</v>
      </c>
      <c r="CX104" s="89">
        <v>-126.28829999999999</v>
      </c>
      <c r="CY104" s="89">
        <v>9131.7803100000001</v>
      </c>
      <c r="CZ104" s="89"/>
      <c r="DA104" s="88"/>
      <c r="DB104" s="89"/>
      <c r="DC104" s="89"/>
      <c r="DD104" s="89"/>
      <c r="DE104" s="89"/>
      <c r="DF104" s="89"/>
      <c r="DG104" s="88">
        <v>90969.5</v>
      </c>
      <c r="DH104" s="89">
        <v>67209.7</v>
      </c>
      <c r="DI104" s="89"/>
      <c r="DJ104" s="89"/>
      <c r="DK104" s="89">
        <v>35954.6</v>
      </c>
      <c r="DL104" s="89">
        <v>-12194.8</v>
      </c>
      <c r="DM104" s="88"/>
      <c r="DN104" s="89"/>
      <c r="DO104" s="89"/>
      <c r="DP104" s="89"/>
      <c r="DQ104" s="89"/>
      <c r="DR104" s="89"/>
      <c r="DS104" s="88"/>
      <c r="DT104" s="89"/>
      <c r="DU104" s="89"/>
      <c r="DV104" s="89"/>
      <c r="DW104" s="89"/>
      <c r="DX104" s="89"/>
      <c r="DY104" s="88"/>
      <c r="DZ104" s="89"/>
      <c r="EA104" s="89"/>
      <c r="EB104" s="89"/>
      <c r="EC104" s="89"/>
      <c r="ED104" s="89"/>
      <c r="EE104" s="88"/>
      <c r="EF104" s="89"/>
      <c r="EG104" s="89"/>
      <c r="EH104" s="89"/>
      <c r="EI104" s="89"/>
      <c r="EJ104" s="89"/>
      <c r="EK104" s="88">
        <v>6156554.6415040009</v>
      </c>
      <c r="EL104" s="89">
        <f t="shared" si="2"/>
        <v>-369634.04749600025</v>
      </c>
      <c r="EM104" s="89">
        <v>-475851.83300000022</v>
      </c>
      <c r="EN104" s="89">
        <v>106217.78550399996</v>
      </c>
      <c r="EO104" s="89">
        <v>6440086.3030000012</v>
      </c>
      <c r="EP104" s="89">
        <v>86102.385999999999</v>
      </c>
      <c r="EQ104" s="88"/>
      <c r="ER104" s="89"/>
      <c r="ES104" s="89"/>
      <c r="ET104" s="89"/>
      <c r="EU104" s="89"/>
      <c r="EV104" s="89"/>
      <c r="EW104" s="88"/>
      <c r="EX104" s="89"/>
      <c r="EY104" s="89"/>
      <c r="EZ104" s="89"/>
      <c r="FA104" s="89"/>
      <c r="FB104" s="89"/>
      <c r="FC104" s="88"/>
      <c r="FD104" s="89"/>
      <c r="FE104" s="89"/>
      <c r="FF104" s="89"/>
      <c r="FG104" s="89"/>
      <c r="FH104" s="89"/>
      <c r="FI104" s="88"/>
      <c r="FJ104" s="89"/>
      <c r="FK104" s="89"/>
      <c r="FL104" s="89"/>
      <c r="FM104" s="89"/>
      <c r="FN104" s="89"/>
      <c r="FO104" s="88"/>
      <c r="FP104" s="89"/>
      <c r="FQ104" s="89"/>
      <c r="FR104" s="89"/>
      <c r="FS104" s="89"/>
      <c r="FT104" s="89"/>
      <c r="FU104" s="88"/>
      <c r="FV104" s="89"/>
      <c r="FW104" s="89"/>
      <c r="FX104" s="89"/>
      <c r="FY104" s="89"/>
      <c r="FZ104" s="89"/>
      <c r="GA104" s="120"/>
      <c r="GB104" s="121"/>
      <c r="GC104" s="121"/>
      <c r="GD104" s="121"/>
      <c r="GE104" s="121"/>
      <c r="GF104" s="89"/>
      <c r="GG104" s="88"/>
      <c r="GH104" s="89"/>
      <c r="GI104" s="89"/>
      <c r="GJ104" s="89"/>
      <c r="GK104" s="89"/>
      <c r="GL104" s="89"/>
      <c r="GM104" s="88">
        <v>7692.4579999999996</v>
      </c>
      <c r="GN104" s="89">
        <v>742.05700000000002</v>
      </c>
      <c r="GO104" s="89">
        <v>687.90200000000004</v>
      </c>
      <c r="GP104" s="89">
        <v>54.155000000000001</v>
      </c>
      <c r="GQ104" s="89">
        <v>5712.7759999999998</v>
      </c>
      <c r="GR104" s="89">
        <v>1237.625</v>
      </c>
      <c r="GS104" s="88"/>
      <c r="GT104" s="87"/>
      <c r="GU104" s="87"/>
      <c r="GV104" s="87"/>
      <c r="GW104" s="87"/>
      <c r="GX104" s="87"/>
      <c r="GY104" s="87"/>
      <c r="GZ104" s="125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8"/>
      <c r="HM104" s="87"/>
      <c r="HN104" s="87"/>
      <c r="HO104" s="87"/>
      <c r="HP104" s="87"/>
      <c r="HQ104" s="87"/>
      <c r="HR104" s="87"/>
      <c r="HS104" s="87"/>
    </row>
    <row r="105" spans="1:227">
      <c r="A105" s="69"/>
      <c r="B105" s="87" t="s">
        <v>494</v>
      </c>
      <c r="C105" s="88"/>
      <c r="D105" s="87"/>
      <c r="E105" s="87"/>
      <c r="F105" s="87"/>
      <c r="G105" s="87"/>
      <c r="H105" s="87"/>
      <c r="I105" s="88">
        <v>78773.556999999986</v>
      </c>
      <c r="J105" s="89">
        <v>31369.835999999999</v>
      </c>
      <c r="K105" s="89"/>
      <c r="L105" s="89"/>
      <c r="M105" s="89">
        <v>67874.212999999989</v>
      </c>
      <c r="N105" s="89">
        <v>-20470.491999999998</v>
      </c>
      <c r="O105" s="90"/>
      <c r="P105" s="91"/>
      <c r="Q105" s="91"/>
      <c r="R105" s="91"/>
      <c r="S105" s="91"/>
      <c r="T105" s="91"/>
      <c r="U105" s="90"/>
      <c r="V105" s="91"/>
      <c r="W105" s="91"/>
      <c r="X105" s="91"/>
      <c r="Y105" s="91"/>
      <c r="Z105" s="91"/>
      <c r="AA105" s="88">
        <v>663.25400000000002</v>
      </c>
      <c r="AB105" s="89">
        <f t="shared" si="3"/>
        <v>92.628</v>
      </c>
      <c r="AC105" s="89">
        <v>84.677999999999997</v>
      </c>
      <c r="AD105" s="89">
        <v>7.95</v>
      </c>
      <c r="AE105" s="89">
        <v>570.62599999999998</v>
      </c>
      <c r="AF105" s="89"/>
      <c r="AG105" s="88">
        <v>31830.618016812001</v>
      </c>
      <c r="AH105" s="89">
        <v>5089.6450168119991</v>
      </c>
      <c r="AI105" s="89">
        <v>5089.6450168119991</v>
      </c>
      <c r="AJ105" s="89"/>
      <c r="AK105" s="89">
        <v>26740.973000000002</v>
      </c>
      <c r="AL105" s="89"/>
      <c r="AM105" s="88"/>
      <c r="AN105" s="89"/>
      <c r="AO105" s="89"/>
      <c r="AP105" s="89"/>
      <c r="AQ105" s="89"/>
      <c r="AR105" s="89"/>
      <c r="AS105" s="88">
        <v>21193000</v>
      </c>
      <c r="AT105" s="89">
        <f t="shared" si="5"/>
        <v>570000</v>
      </c>
      <c r="AU105" s="89">
        <v>570000</v>
      </c>
      <c r="AV105" s="89"/>
      <c r="AW105" s="89">
        <v>22628000</v>
      </c>
      <c r="AX105" s="89">
        <v>-2005000</v>
      </c>
      <c r="AY105" s="88"/>
      <c r="AZ105" s="89"/>
      <c r="BA105" s="89"/>
      <c r="BB105" s="89"/>
      <c r="BC105" s="89"/>
      <c r="BD105" s="89"/>
      <c r="BE105" s="88"/>
      <c r="BF105" s="89"/>
      <c r="BG105" s="89"/>
      <c r="BH105" s="89"/>
      <c r="BI105" s="89"/>
      <c r="BJ105" s="89"/>
      <c r="BK105" s="88"/>
      <c r="BL105" s="89"/>
      <c r="BM105" s="89"/>
      <c r="BN105" s="89"/>
      <c r="BO105" s="89"/>
      <c r="BP105" s="89"/>
      <c r="BQ105" s="88"/>
      <c r="BR105" s="89"/>
      <c r="BS105" s="89"/>
      <c r="BT105" s="89"/>
      <c r="BU105" s="89"/>
      <c r="BV105" s="89"/>
      <c r="BW105" s="88"/>
      <c r="BX105" s="89"/>
      <c r="BY105" s="89"/>
      <c r="BZ105" s="89"/>
      <c r="CA105" s="89"/>
      <c r="CB105" s="89"/>
      <c r="CC105" s="88"/>
      <c r="CD105" s="89"/>
      <c r="CE105" s="89"/>
      <c r="CF105" s="89"/>
      <c r="CG105" s="89"/>
      <c r="CH105" s="89"/>
      <c r="CI105" s="88"/>
      <c r="CJ105" s="89"/>
      <c r="CK105" s="89"/>
      <c r="CL105" s="89"/>
      <c r="CM105" s="89"/>
      <c r="CN105" s="89"/>
      <c r="CO105" s="88"/>
      <c r="CP105" s="89"/>
      <c r="CQ105" s="89"/>
      <c r="CR105" s="89"/>
      <c r="CS105" s="89"/>
      <c r="CT105" s="89"/>
      <c r="CU105" s="88">
        <f t="shared" si="4"/>
        <v>14792.852589999999</v>
      </c>
      <c r="CV105" s="89">
        <v>5657.8280600000007</v>
      </c>
      <c r="CW105" s="89">
        <v>5750.4394600000005</v>
      </c>
      <c r="CX105" s="89">
        <v>-92.611400000000003</v>
      </c>
      <c r="CY105" s="89">
        <v>9135.0245299999988</v>
      </c>
      <c r="CZ105" s="89"/>
      <c r="DA105" s="88"/>
      <c r="DB105" s="89"/>
      <c r="DC105" s="89"/>
      <c r="DD105" s="89"/>
      <c r="DE105" s="89"/>
      <c r="DF105" s="89"/>
      <c r="DG105" s="88">
        <v>89041.7</v>
      </c>
      <c r="DH105" s="89">
        <v>67165.7</v>
      </c>
      <c r="DI105" s="89"/>
      <c r="DJ105" s="89"/>
      <c r="DK105" s="89">
        <v>34956.9</v>
      </c>
      <c r="DL105" s="89">
        <v>-13080.9</v>
      </c>
      <c r="DM105" s="88"/>
      <c r="DN105" s="89"/>
      <c r="DO105" s="89"/>
      <c r="DP105" s="89"/>
      <c r="DQ105" s="89"/>
      <c r="DR105" s="89"/>
      <c r="DS105" s="88"/>
      <c r="DT105" s="89"/>
      <c r="DU105" s="89"/>
      <c r="DV105" s="89"/>
      <c r="DW105" s="89"/>
      <c r="DX105" s="89"/>
      <c r="DY105" s="88"/>
      <c r="DZ105" s="89"/>
      <c r="EA105" s="89"/>
      <c r="EB105" s="89"/>
      <c r="EC105" s="89"/>
      <c r="ED105" s="89"/>
      <c r="EE105" s="88"/>
      <c r="EF105" s="89"/>
      <c r="EG105" s="89"/>
      <c r="EH105" s="89"/>
      <c r="EI105" s="89"/>
      <c r="EJ105" s="89"/>
      <c r="EK105" s="88">
        <v>6262734.1440860005</v>
      </c>
      <c r="EL105" s="89">
        <f t="shared" si="2"/>
        <v>-285233.24743100017</v>
      </c>
      <c r="EM105" s="89">
        <v>-431385.45700000017</v>
      </c>
      <c r="EN105" s="89">
        <v>146152.209569</v>
      </c>
      <c r="EO105" s="89">
        <v>6458850.026517</v>
      </c>
      <c r="EP105" s="89">
        <v>89117.365000000005</v>
      </c>
      <c r="EQ105" s="88"/>
      <c r="ER105" s="89"/>
      <c r="ES105" s="89"/>
      <c r="ET105" s="89"/>
      <c r="EU105" s="89"/>
      <c r="EV105" s="89"/>
      <c r="EW105" s="88"/>
      <c r="EX105" s="89"/>
      <c r="EY105" s="89"/>
      <c r="EZ105" s="89"/>
      <c r="FA105" s="89"/>
      <c r="FB105" s="89"/>
      <c r="FC105" s="88"/>
      <c r="FD105" s="89"/>
      <c r="FE105" s="89"/>
      <c r="FF105" s="89"/>
      <c r="FG105" s="89"/>
      <c r="FH105" s="89"/>
      <c r="FI105" s="88"/>
      <c r="FJ105" s="89"/>
      <c r="FK105" s="89"/>
      <c r="FL105" s="89"/>
      <c r="FM105" s="89"/>
      <c r="FN105" s="89"/>
      <c r="FO105" s="88"/>
      <c r="FP105" s="89"/>
      <c r="FQ105" s="89"/>
      <c r="FR105" s="89"/>
      <c r="FS105" s="89"/>
      <c r="FT105" s="89"/>
      <c r="FU105" s="88"/>
      <c r="FV105" s="89"/>
      <c r="FW105" s="89"/>
      <c r="FX105" s="89"/>
      <c r="FY105" s="89"/>
      <c r="FZ105" s="89"/>
      <c r="GA105" s="120">
        <v>13146.3</v>
      </c>
      <c r="GB105" s="121">
        <v>2327.6</v>
      </c>
      <c r="GC105" s="121">
        <v>544.79999999999995</v>
      </c>
      <c r="GD105" s="121">
        <v>1782.8</v>
      </c>
      <c r="GE105" s="121">
        <v>10818.7</v>
      </c>
      <c r="GF105" s="89"/>
      <c r="GG105" s="88"/>
      <c r="GH105" s="89"/>
      <c r="GI105" s="89"/>
      <c r="GJ105" s="89"/>
      <c r="GK105" s="89"/>
      <c r="GL105" s="89"/>
      <c r="GM105" s="88">
        <v>7859.9120000000003</v>
      </c>
      <c r="GN105" s="89">
        <v>727.54399999999998</v>
      </c>
      <c r="GO105" s="89">
        <v>668.49300000000005</v>
      </c>
      <c r="GP105" s="89">
        <v>59.051000000000002</v>
      </c>
      <c r="GQ105" s="89">
        <v>5821.63</v>
      </c>
      <c r="GR105" s="89">
        <v>1310.7380000000001</v>
      </c>
      <c r="GS105" s="88"/>
      <c r="GT105" s="87"/>
      <c r="GU105" s="87"/>
      <c r="GV105" s="87"/>
      <c r="GW105" s="87"/>
      <c r="GX105" s="87"/>
      <c r="GY105" s="87"/>
      <c r="GZ105" s="88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8"/>
      <c r="HM105" s="87"/>
      <c r="HN105" s="87"/>
      <c r="HO105" s="87"/>
      <c r="HP105" s="87"/>
      <c r="HQ105" s="87"/>
      <c r="HR105" s="87"/>
      <c r="HS105" s="87"/>
    </row>
    <row r="106" spans="1:227">
      <c r="A106" s="69"/>
      <c r="B106" s="87" t="s">
        <v>495</v>
      </c>
      <c r="C106" s="88"/>
      <c r="D106" s="87"/>
      <c r="E106" s="87"/>
      <c r="F106" s="87"/>
      <c r="G106" s="87"/>
      <c r="H106" s="87"/>
      <c r="I106" s="88">
        <v>79380.21100000001</v>
      </c>
      <c r="J106" s="89">
        <v>30887.014999999999</v>
      </c>
      <c r="K106" s="89"/>
      <c r="L106" s="89"/>
      <c r="M106" s="89">
        <v>68731.887000000002</v>
      </c>
      <c r="N106" s="89">
        <v>-20238.690999999999</v>
      </c>
      <c r="O106" s="90"/>
      <c r="P106" s="91"/>
      <c r="Q106" s="91"/>
      <c r="R106" s="91"/>
      <c r="S106" s="91"/>
      <c r="T106" s="91"/>
      <c r="U106" s="90"/>
      <c r="V106" s="91"/>
      <c r="W106" s="91"/>
      <c r="X106" s="91"/>
      <c r="Y106" s="91"/>
      <c r="Z106" s="91"/>
      <c r="AA106" s="88">
        <v>681.86199999999997</v>
      </c>
      <c r="AB106" s="89">
        <f t="shared" si="3"/>
        <v>104.17100000000001</v>
      </c>
      <c r="AC106" s="89">
        <v>96.084000000000003</v>
      </c>
      <c r="AD106" s="89">
        <v>8.0869999999999997</v>
      </c>
      <c r="AE106" s="89">
        <v>577.69100000000003</v>
      </c>
      <c r="AF106" s="89"/>
      <c r="AG106" s="88">
        <v>32509.153868445999</v>
      </c>
      <c r="AH106" s="89">
        <v>5187.2338684460001</v>
      </c>
      <c r="AI106" s="89">
        <v>5187.2338684460001</v>
      </c>
      <c r="AJ106" s="89"/>
      <c r="AK106" s="89">
        <v>27321.919999999998</v>
      </c>
      <c r="AL106" s="89"/>
      <c r="AM106" s="88"/>
      <c r="AN106" s="89"/>
      <c r="AO106" s="89"/>
      <c r="AP106" s="89"/>
      <c r="AQ106" s="89"/>
      <c r="AR106" s="89"/>
      <c r="AS106" s="88">
        <v>21383000</v>
      </c>
      <c r="AT106" s="89">
        <f t="shared" si="5"/>
        <v>725000</v>
      </c>
      <c r="AU106" s="89">
        <v>725000</v>
      </c>
      <c r="AV106" s="89"/>
      <c r="AW106" s="89">
        <v>22556000</v>
      </c>
      <c r="AX106" s="89">
        <v>-1898000</v>
      </c>
      <c r="AY106" s="88"/>
      <c r="AZ106" s="89"/>
      <c r="BA106" s="89"/>
      <c r="BB106" s="89"/>
      <c r="BC106" s="89"/>
      <c r="BD106" s="89"/>
      <c r="BE106" s="88"/>
      <c r="BF106" s="89"/>
      <c r="BG106" s="89"/>
      <c r="BH106" s="89"/>
      <c r="BI106" s="89"/>
      <c r="BJ106" s="89"/>
      <c r="BK106" s="88"/>
      <c r="BL106" s="89"/>
      <c r="BM106" s="89"/>
      <c r="BN106" s="89"/>
      <c r="BO106" s="89"/>
      <c r="BP106" s="89"/>
      <c r="BQ106" s="88"/>
      <c r="BR106" s="89"/>
      <c r="BS106" s="89"/>
      <c r="BT106" s="89"/>
      <c r="BU106" s="89"/>
      <c r="BV106" s="89"/>
      <c r="BW106" s="88"/>
      <c r="BX106" s="89"/>
      <c r="BY106" s="89"/>
      <c r="BZ106" s="89"/>
      <c r="CA106" s="89"/>
      <c r="CB106" s="89"/>
      <c r="CC106" s="88"/>
      <c r="CD106" s="89"/>
      <c r="CE106" s="89"/>
      <c r="CF106" s="89"/>
      <c r="CG106" s="89"/>
      <c r="CH106" s="89"/>
      <c r="CI106" s="88"/>
      <c r="CJ106" s="89"/>
      <c r="CK106" s="89"/>
      <c r="CL106" s="89"/>
      <c r="CM106" s="89"/>
      <c r="CN106" s="89"/>
      <c r="CO106" s="88"/>
      <c r="CP106" s="89"/>
      <c r="CQ106" s="89"/>
      <c r="CR106" s="89"/>
      <c r="CS106" s="89"/>
      <c r="CT106" s="89"/>
      <c r="CU106" s="88">
        <f t="shared" si="4"/>
        <v>14667.66849</v>
      </c>
      <c r="CV106" s="89">
        <v>5491.7890999999991</v>
      </c>
      <c r="CW106" s="89">
        <v>5687.0731999999989</v>
      </c>
      <c r="CX106" s="89">
        <v>-195.2841</v>
      </c>
      <c r="CY106" s="89">
        <v>9175.8793900000001</v>
      </c>
      <c r="CZ106" s="89"/>
      <c r="DA106" s="88"/>
      <c r="DB106" s="89"/>
      <c r="DC106" s="89"/>
      <c r="DD106" s="89"/>
      <c r="DE106" s="89"/>
      <c r="DF106" s="89"/>
      <c r="DG106" s="88">
        <v>87588</v>
      </c>
      <c r="DH106" s="89">
        <v>64758.6</v>
      </c>
      <c r="DI106" s="89"/>
      <c r="DJ106" s="89"/>
      <c r="DK106" s="89">
        <v>35276.400000000001</v>
      </c>
      <c r="DL106" s="89">
        <v>-12447</v>
      </c>
      <c r="DM106" s="88"/>
      <c r="DN106" s="89"/>
      <c r="DO106" s="89"/>
      <c r="DP106" s="89"/>
      <c r="DQ106" s="89"/>
      <c r="DR106" s="89"/>
      <c r="DS106" s="88"/>
      <c r="DT106" s="89"/>
      <c r="DU106" s="89"/>
      <c r="DV106" s="89"/>
      <c r="DW106" s="89"/>
      <c r="DX106" s="89"/>
      <c r="DY106" s="88"/>
      <c r="DZ106" s="89"/>
      <c r="EA106" s="89"/>
      <c r="EB106" s="89"/>
      <c r="EC106" s="89"/>
      <c r="ED106" s="89"/>
      <c r="EE106" s="88"/>
      <c r="EF106" s="89"/>
      <c r="EG106" s="89"/>
      <c r="EH106" s="89"/>
      <c r="EI106" s="89"/>
      <c r="EJ106" s="89"/>
      <c r="EK106" s="88">
        <v>6204709.5745039992</v>
      </c>
      <c r="EL106" s="89">
        <f t="shared" si="2"/>
        <v>-133875.48449600008</v>
      </c>
      <c r="EM106" s="89">
        <v>-314254.91100000008</v>
      </c>
      <c r="EN106" s="89">
        <v>180379.426504</v>
      </c>
      <c r="EO106" s="89">
        <v>6251061.2379999999</v>
      </c>
      <c r="EP106" s="89">
        <v>87523.820999999996</v>
      </c>
      <c r="EQ106" s="88"/>
      <c r="ER106" s="89"/>
      <c r="ES106" s="89"/>
      <c r="ET106" s="89"/>
      <c r="EU106" s="89"/>
      <c r="EV106" s="89"/>
      <c r="EW106" s="88"/>
      <c r="EX106" s="89"/>
      <c r="EY106" s="89"/>
      <c r="EZ106" s="89"/>
      <c r="FA106" s="89"/>
      <c r="FB106" s="89"/>
      <c r="FC106" s="88"/>
      <c r="FD106" s="89"/>
      <c r="FE106" s="89"/>
      <c r="FF106" s="89"/>
      <c r="FG106" s="89"/>
      <c r="FH106" s="89"/>
      <c r="FI106" s="88"/>
      <c r="FJ106" s="89"/>
      <c r="FK106" s="89"/>
      <c r="FL106" s="89"/>
      <c r="FM106" s="89"/>
      <c r="FN106" s="89"/>
      <c r="FO106" s="88"/>
      <c r="FP106" s="89"/>
      <c r="FQ106" s="89"/>
      <c r="FR106" s="89"/>
      <c r="FS106" s="89"/>
      <c r="FT106" s="89"/>
      <c r="FU106" s="88"/>
      <c r="FV106" s="89"/>
      <c r="FW106" s="89"/>
      <c r="FX106" s="89"/>
      <c r="FY106" s="89"/>
      <c r="FZ106" s="89"/>
      <c r="GA106" s="120"/>
      <c r="GB106" s="121"/>
      <c r="GC106" s="121"/>
      <c r="GD106" s="121"/>
      <c r="GE106" s="121"/>
      <c r="GF106" s="89"/>
      <c r="GG106" s="88"/>
      <c r="GH106" s="89"/>
      <c r="GI106" s="89"/>
      <c r="GJ106" s="89"/>
      <c r="GK106" s="89"/>
      <c r="GL106" s="89"/>
      <c r="GM106" s="88">
        <v>7751.3050000000003</v>
      </c>
      <c r="GN106" s="89">
        <v>669.81399999999996</v>
      </c>
      <c r="GO106" s="89">
        <v>626.67700000000002</v>
      </c>
      <c r="GP106" s="89">
        <v>43.137</v>
      </c>
      <c r="GQ106" s="89">
        <v>5707.3450000000003</v>
      </c>
      <c r="GR106" s="89">
        <v>1374.146</v>
      </c>
      <c r="GS106" s="88"/>
      <c r="GT106" s="87"/>
      <c r="GU106" s="87"/>
      <c r="GV106" s="87"/>
      <c r="GW106" s="87"/>
      <c r="GX106" s="87"/>
      <c r="GY106" s="87"/>
      <c r="GZ106" s="88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8"/>
      <c r="HM106" s="87"/>
      <c r="HN106" s="87"/>
      <c r="HO106" s="87"/>
      <c r="HP106" s="87"/>
      <c r="HQ106" s="87"/>
      <c r="HR106" s="87"/>
      <c r="HS106" s="87"/>
    </row>
    <row r="107" spans="1:227">
      <c r="A107" s="69"/>
      <c r="B107" s="87" t="s">
        <v>496</v>
      </c>
      <c r="C107" s="88"/>
      <c r="D107" s="87"/>
      <c r="E107" s="87"/>
      <c r="F107" s="87"/>
      <c r="G107" s="87"/>
      <c r="H107" s="87"/>
      <c r="I107" s="88">
        <v>81381.858000000007</v>
      </c>
      <c r="J107" s="89">
        <v>29259.555</v>
      </c>
      <c r="K107" s="89"/>
      <c r="L107" s="89"/>
      <c r="M107" s="89">
        <v>69928.327000000005</v>
      </c>
      <c r="N107" s="89">
        <v>-17806.024000000001</v>
      </c>
      <c r="O107" s="90"/>
      <c r="P107" s="91"/>
      <c r="Q107" s="91"/>
      <c r="R107" s="91"/>
      <c r="S107" s="91"/>
      <c r="T107" s="91"/>
      <c r="U107" s="90"/>
      <c r="V107" s="91"/>
      <c r="W107" s="91"/>
      <c r="X107" s="91"/>
      <c r="Y107" s="91"/>
      <c r="Z107" s="91"/>
      <c r="AA107" s="88">
        <v>673.84699999999998</v>
      </c>
      <c r="AB107" s="89">
        <f t="shared" si="3"/>
        <v>106.32599999999999</v>
      </c>
      <c r="AC107" s="89">
        <v>98.373999999999995</v>
      </c>
      <c r="AD107" s="89">
        <v>7.952</v>
      </c>
      <c r="AE107" s="89">
        <v>567.52099999999996</v>
      </c>
      <c r="AF107" s="89"/>
      <c r="AG107" s="88">
        <v>33160.0949674</v>
      </c>
      <c r="AH107" s="89">
        <v>5328.8719674000004</v>
      </c>
      <c r="AI107" s="89">
        <v>5328.8719674000004</v>
      </c>
      <c r="AJ107" s="89"/>
      <c r="AK107" s="89">
        <v>27831.223000000002</v>
      </c>
      <c r="AL107" s="89"/>
      <c r="AM107" s="88"/>
      <c r="AN107" s="89"/>
      <c r="AO107" s="89"/>
      <c r="AP107" s="89"/>
      <c r="AQ107" s="89"/>
      <c r="AR107" s="89"/>
      <c r="AS107" s="88">
        <v>21531000</v>
      </c>
      <c r="AT107" s="89">
        <f t="shared" si="5"/>
        <v>826000</v>
      </c>
      <c r="AU107" s="89">
        <v>826000</v>
      </c>
      <c r="AV107" s="89"/>
      <c r="AW107" s="89">
        <v>22703000</v>
      </c>
      <c r="AX107" s="89">
        <v>-1998000</v>
      </c>
      <c r="AY107" s="88"/>
      <c r="AZ107" s="89"/>
      <c r="BA107" s="89"/>
      <c r="BB107" s="89"/>
      <c r="BC107" s="89"/>
      <c r="BD107" s="89"/>
      <c r="BE107" s="88"/>
      <c r="BF107" s="89"/>
      <c r="BG107" s="89"/>
      <c r="BH107" s="89"/>
      <c r="BI107" s="89"/>
      <c r="BJ107" s="89"/>
      <c r="BK107" s="88"/>
      <c r="BL107" s="89"/>
      <c r="BM107" s="89"/>
      <c r="BN107" s="89"/>
      <c r="BO107" s="89"/>
      <c r="BP107" s="89"/>
      <c r="BQ107" s="88"/>
      <c r="BR107" s="89"/>
      <c r="BS107" s="89"/>
      <c r="BT107" s="89"/>
      <c r="BU107" s="89"/>
      <c r="BV107" s="89"/>
      <c r="BW107" s="88"/>
      <c r="BX107" s="89"/>
      <c r="BY107" s="89"/>
      <c r="BZ107" s="89"/>
      <c r="CA107" s="89"/>
      <c r="CB107" s="89"/>
      <c r="CC107" s="88"/>
      <c r="CD107" s="89"/>
      <c r="CE107" s="89"/>
      <c r="CF107" s="89"/>
      <c r="CG107" s="89"/>
      <c r="CH107" s="89"/>
      <c r="CI107" s="88"/>
      <c r="CJ107" s="89"/>
      <c r="CK107" s="89"/>
      <c r="CL107" s="89"/>
      <c r="CM107" s="89"/>
      <c r="CN107" s="89"/>
      <c r="CO107" s="88"/>
      <c r="CP107" s="89"/>
      <c r="CQ107" s="89"/>
      <c r="CR107" s="89"/>
      <c r="CS107" s="89"/>
      <c r="CT107" s="89"/>
      <c r="CU107" s="88">
        <f t="shared" si="4"/>
        <v>14856.112790000001</v>
      </c>
      <c r="CV107" s="89">
        <v>5769.7553000000007</v>
      </c>
      <c r="CW107" s="89">
        <v>5869.4567000000006</v>
      </c>
      <c r="CX107" s="89">
        <v>-99.701400000000007</v>
      </c>
      <c r="CY107" s="89">
        <v>9086.3574900000003</v>
      </c>
      <c r="CZ107" s="89"/>
      <c r="DA107" s="88"/>
      <c r="DB107" s="89"/>
      <c r="DC107" s="89"/>
      <c r="DD107" s="89"/>
      <c r="DE107" s="89"/>
      <c r="DF107" s="89"/>
      <c r="DG107" s="88">
        <v>92989.6</v>
      </c>
      <c r="DH107" s="89">
        <v>70928.600000000006</v>
      </c>
      <c r="DI107" s="89"/>
      <c r="DJ107" s="89"/>
      <c r="DK107" s="89">
        <v>34977.300000000003</v>
      </c>
      <c r="DL107" s="89">
        <v>-12916.3</v>
      </c>
      <c r="DM107" s="88"/>
      <c r="DN107" s="89"/>
      <c r="DO107" s="89"/>
      <c r="DP107" s="89"/>
      <c r="DQ107" s="89"/>
      <c r="DR107" s="89"/>
      <c r="DS107" s="88"/>
      <c r="DT107" s="89"/>
      <c r="DU107" s="89"/>
      <c r="DV107" s="89"/>
      <c r="DW107" s="89"/>
      <c r="DX107" s="89"/>
      <c r="DY107" s="88"/>
      <c r="DZ107" s="89"/>
      <c r="EA107" s="89"/>
      <c r="EB107" s="89"/>
      <c r="EC107" s="89"/>
      <c r="ED107" s="89"/>
      <c r="EE107" s="88"/>
      <c r="EF107" s="89"/>
      <c r="EG107" s="89"/>
      <c r="EH107" s="89"/>
      <c r="EI107" s="89"/>
      <c r="EJ107" s="89"/>
      <c r="EK107" s="88">
        <v>6234678.0015040003</v>
      </c>
      <c r="EL107" s="89">
        <f t="shared" si="2"/>
        <v>-3883.2724960000778</v>
      </c>
      <c r="EM107" s="89">
        <v>-141618.12400000007</v>
      </c>
      <c r="EN107" s="89">
        <v>137734.85150399999</v>
      </c>
      <c r="EO107" s="89">
        <v>6146800.5410000002</v>
      </c>
      <c r="EP107" s="89">
        <v>91760.733000000007</v>
      </c>
      <c r="EQ107" s="88"/>
      <c r="ER107" s="89"/>
      <c r="ES107" s="89"/>
      <c r="ET107" s="89"/>
      <c r="EU107" s="89"/>
      <c r="EV107" s="89"/>
      <c r="EW107" s="88"/>
      <c r="EX107" s="89"/>
      <c r="EY107" s="89"/>
      <c r="EZ107" s="89"/>
      <c r="FA107" s="89"/>
      <c r="FB107" s="89"/>
      <c r="FC107" s="88"/>
      <c r="FD107" s="89"/>
      <c r="FE107" s="89"/>
      <c r="FF107" s="89"/>
      <c r="FG107" s="89"/>
      <c r="FH107" s="89"/>
      <c r="FI107" s="88"/>
      <c r="FJ107" s="89"/>
      <c r="FK107" s="89"/>
      <c r="FL107" s="89"/>
      <c r="FM107" s="89"/>
      <c r="FN107" s="89"/>
      <c r="FO107" s="88"/>
      <c r="FP107" s="89"/>
      <c r="FQ107" s="89"/>
      <c r="FR107" s="89"/>
      <c r="FS107" s="89"/>
      <c r="FT107" s="89"/>
      <c r="FU107" s="88"/>
      <c r="FV107" s="89"/>
      <c r="FW107" s="89"/>
      <c r="FX107" s="89"/>
      <c r="FY107" s="89"/>
      <c r="FZ107" s="89"/>
      <c r="GA107" s="120"/>
      <c r="GB107" s="121"/>
      <c r="GC107" s="121"/>
      <c r="GD107" s="121"/>
      <c r="GE107" s="121"/>
      <c r="GF107" s="89"/>
      <c r="GG107" s="88"/>
      <c r="GH107" s="89"/>
      <c r="GI107" s="89"/>
      <c r="GJ107" s="89"/>
      <c r="GK107" s="89"/>
      <c r="GL107" s="89"/>
      <c r="GM107" s="88">
        <v>7508.2250000000004</v>
      </c>
      <c r="GN107" s="89">
        <v>679.84100000000001</v>
      </c>
      <c r="GO107" s="89">
        <v>641.37800000000004</v>
      </c>
      <c r="GP107" s="89">
        <v>38.463000000000001</v>
      </c>
      <c r="GQ107" s="89">
        <v>5685.0360000000001</v>
      </c>
      <c r="GR107" s="89">
        <v>1143.348</v>
      </c>
      <c r="GS107" s="88"/>
      <c r="GT107" s="87"/>
      <c r="GU107" s="87"/>
      <c r="GV107" s="87"/>
      <c r="GW107" s="87"/>
      <c r="GX107" s="87"/>
      <c r="GY107" s="87"/>
      <c r="GZ107" s="88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8"/>
      <c r="HM107" s="87"/>
      <c r="HN107" s="87"/>
      <c r="HO107" s="87"/>
      <c r="HP107" s="87"/>
      <c r="HQ107" s="87"/>
      <c r="HR107" s="87"/>
      <c r="HS107" s="87"/>
    </row>
    <row r="108" spans="1:227">
      <c r="A108" s="69"/>
      <c r="B108" s="87" t="s">
        <v>497</v>
      </c>
      <c r="C108" s="88"/>
      <c r="D108" s="87"/>
      <c r="E108" s="87"/>
      <c r="F108" s="87"/>
      <c r="G108" s="87"/>
      <c r="H108" s="87"/>
      <c r="I108" s="88">
        <v>82140.682000000001</v>
      </c>
      <c r="J108" s="89">
        <v>30455.927</v>
      </c>
      <c r="K108" s="89"/>
      <c r="L108" s="89"/>
      <c r="M108" s="89">
        <v>69844.623999999996</v>
      </c>
      <c r="N108" s="89">
        <v>-18159.868999999999</v>
      </c>
      <c r="O108" s="90"/>
      <c r="P108" s="91"/>
      <c r="Q108" s="91"/>
      <c r="R108" s="91"/>
      <c r="S108" s="91"/>
      <c r="T108" s="91"/>
      <c r="U108" s="90"/>
      <c r="V108" s="91"/>
      <c r="W108" s="91"/>
      <c r="X108" s="91"/>
      <c r="Y108" s="91"/>
      <c r="Z108" s="91"/>
      <c r="AA108" s="88">
        <v>689.99099999999999</v>
      </c>
      <c r="AB108" s="89">
        <f t="shared" si="3"/>
        <v>110.89099999999999</v>
      </c>
      <c r="AC108" s="89">
        <v>102.746</v>
      </c>
      <c r="AD108" s="89">
        <v>8.1449999999999996</v>
      </c>
      <c r="AE108" s="89">
        <v>579.1</v>
      </c>
      <c r="AF108" s="89"/>
      <c r="AG108" s="88">
        <v>33497.413479463998</v>
      </c>
      <c r="AH108" s="89">
        <v>5057.7964794640002</v>
      </c>
      <c r="AI108" s="89">
        <v>5057.7964794640002</v>
      </c>
      <c r="AJ108" s="89"/>
      <c r="AK108" s="89">
        <v>28439.616999999998</v>
      </c>
      <c r="AL108" s="89"/>
      <c r="AM108" s="88"/>
      <c r="AN108" s="89"/>
      <c r="AO108" s="89"/>
      <c r="AP108" s="89"/>
      <c r="AQ108" s="89"/>
      <c r="AR108" s="89"/>
      <c r="AS108" s="88">
        <v>21757000</v>
      </c>
      <c r="AT108" s="89">
        <f t="shared" si="5"/>
        <v>834000</v>
      </c>
      <c r="AU108" s="89">
        <v>834000</v>
      </c>
      <c r="AV108" s="89"/>
      <c r="AW108" s="89">
        <v>22873000</v>
      </c>
      <c r="AX108" s="89">
        <v>-1950000</v>
      </c>
      <c r="AY108" s="88"/>
      <c r="AZ108" s="89"/>
      <c r="BA108" s="89"/>
      <c r="BB108" s="89"/>
      <c r="BC108" s="89"/>
      <c r="BD108" s="89"/>
      <c r="BE108" s="88"/>
      <c r="BF108" s="89"/>
      <c r="BG108" s="89"/>
      <c r="BH108" s="89"/>
      <c r="BI108" s="89"/>
      <c r="BJ108" s="89"/>
      <c r="BK108" s="88"/>
      <c r="BL108" s="89"/>
      <c r="BM108" s="89"/>
      <c r="BN108" s="89"/>
      <c r="BO108" s="89"/>
      <c r="BP108" s="89"/>
      <c r="BQ108" s="88"/>
      <c r="BR108" s="89"/>
      <c r="BS108" s="89"/>
      <c r="BT108" s="89"/>
      <c r="BU108" s="89"/>
      <c r="BV108" s="89"/>
      <c r="BW108" s="88"/>
      <c r="BX108" s="89"/>
      <c r="BY108" s="89"/>
      <c r="BZ108" s="89"/>
      <c r="CA108" s="89"/>
      <c r="CB108" s="89"/>
      <c r="CC108" s="88"/>
      <c r="CD108" s="89"/>
      <c r="CE108" s="89"/>
      <c r="CF108" s="89"/>
      <c r="CG108" s="89"/>
      <c r="CH108" s="89"/>
      <c r="CI108" s="88"/>
      <c r="CJ108" s="89"/>
      <c r="CK108" s="89"/>
      <c r="CL108" s="89"/>
      <c r="CM108" s="89"/>
      <c r="CN108" s="89"/>
      <c r="CO108" s="88"/>
      <c r="CP108" s="89"/>
      <c r="CQ108" s="89"/>
      <c r="CR108" s="89"/>
      <c r="CS108" s="89"/>
      <c r="CT108" s="89"/>
      <c r="CU108" s="88">
        <f t="shared" si="4"/>
        <v>14856.540660000002</v>
      </c>
      <c r="CV108" s="89">
        <v>5752.8199900000009</v>
      </c>
      <c r="CW108" s="89">
        <v>5901.1796900000008</v>
      </c>
      <c r="CX108" s="89">
        <v>-148.35969999999998</v>
      </c>
      <c r="CY108" s="89">
        <v>9103.7206700000006</v>
      </c>
      <c r="CZ108" s="89"/>
      <c r="DA108" s="88"/>
      <c r="DB108" s="89"/>
      <c r="DC108" s="89"/>
      <c r="DD108" s="89"/>
      <c r="DE108" s="89"/>
      <c r="DF108" s="89"/>
      <c r="DG108" s="88">
        <v>95458.7</v>
      </c>
      <c r="DH108" s="89">
        <v>72410.600000000006</v>
      </c>
      <c r="DI108" s="89"/>
      <c r="DJ108" s="89"/>
      <c r="DK108" s="89">
        <v>35668.300000000003</v>
      </c>
      <c r="DL108" s="89">
        <v>-12620.2</v>
      </c>
      <c r="DM108" s="88"/>
      <c r="DN108" s="89"/>
      <c r="DO108" s="89"/>
      <c r="DP108" s="89"/>
      <c r="DQ108" s="89"/>
      <c r="DR108" s="89"/>
      <c r="DS108" s="88"/>
      <c r="DT108" s="89"/>
      <c r="DU108" s="89"/>
      <c r="DV108" s="89"/>
      <c r="DW108" s="89"/>
      <c r="DX108" s="89"/>
      <c r="DY108" s="88"/>
      <c r="DZ108" s="89"/>
      <c r="EA108" s="89"/>
      <c r="EB108" s="89"/>
      <c r="EC108" s="89"/>
      <c r="ED108" s="89"/>
      <c r="EE108" s="88"/>
      <c r="EF108" s="89"/>
      <c r="EG108" s="89"/>
      <c r="EH108" s="89"/>
      <c r="EI108" s="89"/>
      <c r="EJ108" s="89"/>
      <c r="EK108" s="88">
        <v>6171321.148000001</v>
      </c>
      <c r="EL108" s="89">
        <f t="shared" si="2"/>
        <v>-164382.93500000017</v>
      </c>
      <c r="EM108" s="89">
        <v>-293256.72400000016</v>
      </c>
      <c r="EN108" s="89">
        <v>128873.78899999999</v>
      </c>
      <c r="EO108" s="89">
        <v>6248322.3590000011</v>
      </c>
      <c r="EP108" s="89">
        <v>87381.724000000002</v>
      </c>
      <c r="EQ108" s="88"/>
      <c r="ER108" s="89"/>
      <c r="ES108" s="89"/>
      <c r="ET108" s="89"/>
      <c r="EU108" s="89"/>
      <c r="EV108" s="89"/>
      <c r="EW108" s="88"/>
      <c r="EX108" s="89"/>
      <c r="EY108" s="89"/>
      <c r="EZ108" s="89"/>
      <c r="FA108" s="89"/>
      <c r="FB108" s="89"/>
      <c r="FC108" s="88"/>
      <c r="FD108" s="89"/>
      <c r="FE108" s="89"/>
      <c r="FF108" s="89"/>
      <c r="FG108" s="89"/>
      <c r="FH108" s="89"/>
      <c r="FI108" s="88"/>
      <c r="FJ108" s="89"/>
      <c r="FK108" s="89"/>
      <c r="FL108" s="89"/>
      <c r="FM108" s="89"/>
      <c r="FN108" s="89"/>
      <c r="FO108" s="88"/>
      <c r="FP108" s="89"/>
      <c r="FQ108" s="89"/>
      <c r="FR108" s="89"/>
      <c r="FS108" s="89"/>
      <c r="FT108" s="89"/>
      <c r="FU108" s="88"/>
      <c r="FV108" s="89"/>
      <c r="FW108" s="89"/>
      <c r="FX108" s="89"/>
      <c r="FY108" s="89"/>
      <c r="FZ108" s="89"/>
      <c r="GA108" s="120">
        <v>13850.8</v>
      </c>
      <c r="GB108" s="121">
        <v>2628.1</v>
      </c>
      <c r="GC108" s="121">
        <v>718.5</v>
      </c>
      <c r="GD108" s="121">
        <v>1909.6</v>
      </c>
      <c r="GE108" s="121">
        <v>11222.7</v>
      </c>
      <c r="GF108" s="89"/>
      <c r="GG108" s="88"/>
      <c r="GH108" s="89"/>
      <c r="GI108" s="89"/>
      <c r="GJ108" s="89"/>
      <c r="GK108" s="89"/>
      <c r="GL108" s="89"/>
      <c r="GM108" s="88">
        <v>7323.4960000000001</v>
      </c>
      <c r="GN108" s="89">
        <v>710.76199999999994</v>
      </c>
      <c r="GO108" s="89">
        <v>638.39200000000005</v>
      </c>
      <c r="GP108" s="89">
        <v>72.37</v>
      </c>
      <c r="GQ108" s="89">
        <v>5609.2849999999999</v>
      </c>
      <c r="GR108" s="89">
        <v>1003.449</v>
      </c>
      <c r="GS108" s="88"/>
      <c r="GT108" s="87"/>
      <c r="GU108" s="87"/>
      <c r="GV108" s="87"/>
      <c r="GW108" s="87"/>
      <c r="GX108" s="87"/>
      <c r="GY108" s="87"/>
      <c r="GZ108" s="88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8"/>
      <c r="HM108" s="87"/>
      <c r="HN108" s="87"/>
      <c r="HO108" s="87"/>
      <c r="HP108" s="87"/>
      <c r="HQ108" s="87"/>
      <c r="HR108" s="87"/>
      <c r="HS108" s="87"/>
    </row>
    <row r="109" spans="1:227">
      <c r="A109" s="69"/>
      <c r="B109" s="87" t="s">
        <v>498</v>
      </c>
      <c r="C109" s="88"/>
      <c r="D109" s="87"/>
      <c r="E109" s="87"/>
      <c r="F109" s="87"/>
      <c r="G109" s="87"/>
      <c r="H109" s="87"/>
      <c r="I109" s="88">
        <v>82379.798999999999</v>
      </c>
      <c r="J109" s="89">
        <v>30885.717000000001</v>
      </c>
      <c r="K109" s="89"/>
      <c r="L109" s="89"/>
      <c r="M109" s="89">
        <v>69933.133000000002</v>
      </c>
      <c r="N109" s="89">
        <v>-18439.050999999999</v>
      </c>
      <c r="O109" s="90"/>
      <c r="P109" s="91"/>
      <c r="Q109" s="91"/>
      <c r="R109" s="91"/>
      <c r="S109" s="91"/>
      <c r="T109" s="91"/>
      <c r="U109" s="90"/>
      <c r="V109" s="91"/>
      <c r="W109" s="91"/>
      <c r="X109" s="91"/>
      <c r="Y109" s="91"/>
      <c r="Z109" s="91"/>
      <c r="AA109" s="88">
        <v>705.19799999999998</v>
      </c>
      <c r="AB109" s="89">
        <f t="shared" si="3"/>
        <v>110.45699999999999</v>
      </c>
      <c r="AC109" s="89">
        <v>102.06699999999999</v>
      </c>
      <c r="AD109" s="89">
        <v>8.39</v>
      </c>
      <c r="AE109" s="89">
        <v>594.74099999999999</v>
      </c>
      <c r="AF109" s="89"/>
      <c r="AG109" s="88">
        <v>33982.819147768001</v>
      </c>
      <c r="AH109" s="89">
        <v>5057.5051477679999</v>
      </c>
      <c r="AI109" s="89">
        <v>5057.5051477679999</v>
      </c>
      <c r="AJ109" s="89"/>
      <c r="AK109" s="89">
        <v>28925.313999999998</v>
      </c>
      <c r="AL109" s="89"/>
      <c r="AM109" s="88"/>
      <c r="AN109" s="89"/>
      <c r="AO109" s="89"/>
      <c r="AP109" s="89"/>
      <c r="AQ109" s="89"/>
      <c r="AR109" s="89"/>
      <c r="AS109" s="88">
        <v>22306000</v>
      </c>
      <c r="AT109" s="89">
        <f t="shared" si="5"/>
        <v>1029000</v>
      </c>
      <c r="AU109" s="89">
        <v>1029000</v>
      </c>
      <c r="AV109" s="89"/>
      <c r="AW109" s="89">
        <v>23019000</v>
      </c>
      <c r="AX109" s="89">
        <v>-1742000</v>
      </c>
      <c r="AY109" s="88"/>
      <c r="AZ109" s="89"/>
      <c r="BA109" s="89"/>
      <c r="BB109" s="89"/>
      <c r="BC109" s="89"/>
      <c r="BD109" s="89"/>
      <c r="BE109" s="88"/>
      <c r="BF109" s="89"/>
      <c r="BG109" s="89"/>
      <c r="BH109" s="89"/>
      <c r="BI109" s="89"/>
      <c r="BJ109" s="89"/>
      <c r="BK109" s="88"/>
      <c r="BL109" s="89"/>
      <c r="BM109" s="89"/>
      <c r="BN109" s="89"/>
      <c r="BO109" s="89"/>
      <c r="BP109" s="89"/>
      <c r="BQ109" s="88"/>
      <c r="BR109" s="89"/>
      <c r="BS109" s="89"/>
      <c r="BT109" s="89"/>
      <c r="BU109" s="89"/>
      <c r="BV109" s="89"/>
      <c r="BW109" s="88"/>
      <c r="BX109" s="89"/>
      <c r="BY109" s="89"/>
      <c r="BZ109" s="89"/>
      <c r="CA109" s="89"/>
      <c r="CB109" s="89"/>
      <c r="CC109" s="88"/>
      <c r="CD109" s="89"/>
      <c r="CE109" s="89"/>
      <c r="CF109" s="89"/>
      <c r="CG109" s="89"/>
      <c r="CH109" s="89"/>
      <c r="CI109" s="88"/>
      <c r="CJ109" s="89"/>
      <c r="CK109" s="89"/>
      <c r="CL109" s="89"/>
      <c r="CM109" s="89"/>
      <c r="CN109" s="89"/>
      <c r="CO109" s="88"/>
      <c r="CP109" s="89"/>
      <c r="CQ109" s="89"/>
      <c r="CR109" s="89"/>
      <c r="CS109" s="89"/>
      <c r="CT109" s="89"/>
      <c r="CU109" s="88">
        <f t="shared" si="4"/>
        <v>15030.444739999999</v>
      </c>
      <c r="CV109" s="89">
        <v>5916.9153399999996</v>
      </c>
      <c r="CW109" s="89">
        <v>6001.4058399999994</v>
      </c>
      <c r="CX109" s="89">
        <v>-84.490499999999997</v>
      </c>
      <c r="CY109" s="89">
        <v>9113.5293999999994</v>
      </c>
      <c r="CZ109" s="89"/>
      <c r="DA109" s="88"/>
      <c r="DB109" s="89"/>
      <c r="DC109" s="89"/>
      <c r="DD109" s="89"/>
      <c r="DE109" s="89"/>
      <c r="DF109" s="89"/>
      <c r="DG109" s="88">
        <v>104972.5</v>
      </c>
      <c r="DH109" s="89">
        <v>83167.199999999997</v>
      </c>
      <c r="DI109" s="89"/>
      <c r="DJ109" s="89"/>
      <c r="DK109" s="89">
        <v>34554.199999999997</v>
      </c>
      <c r="DL109" s="89">
        <v>-12748.9</v>
      </c>
      <c r="DM109" s="88"/>
      <c r="DN109" s="89"/>
      <c r="DO109" s="89"/>
      <c r="DP109" s="89"/>
      <c r="DQ109" s="89"/>
      <c r="DR109" s="89"/>
      <c r="DS109" s="88"/>
      <c r="DT109" s="89"/>
      <c r="DU109" s="89"/>
      <c r="DV109" s="89"/>
      <c r="DW109" s="89"/>
      <c r="DX109" s="89"/>
      <c r="DY109" s="88"/>
      <c r="DZ109" s="89"/>
      <c r="EA109" s="89"/>
      <c r="EB109" s="89"/>
      <c r="EC109" s="89"/>
      <c r="ED109" s="89"/>
      <c r="EE109" s="88"/>
      <c r="EF109" s="89"/>
      <c r="EG109" s="89"/>
      <c r="EH109" s="89"/>
      <c r="EI109" s="89"/>
      <c r="EJ109" s="89"/>
      <c r="EK109" s="88">
        <v>5728403.7630000003</v>
      </c>
      <c r="EL109" s="89">
        <f t="shared" si="2"/>
        <v>106427.85700000031</v>
      </c>
      <c r="EM109" s="89">
        <v>-33060.193999999668</v>
      </c>
      <c r="EN109" s="89">
        <v>139488.05099999998</v>
      </c>
      <c r="EO109" s="89">
        <v>5538719.335</v>
      </c>
      <c r="EP109" s="89">
        <v>83256.570999999996</v>
      </c>
      <c r="EQ109" s="88"/>
      <c r="ER109" s="89"/>
      <c r="ES109" s="89"/>
      <c r="ET109" s="89"/>
      <c r="EU109" s="89"/>
      <c r="EV109" s="89"/>
      <c r="EW109" s="88"/>
      <c r="EX109" s="89"/>
      <c r="EY109" s="89"/>
      <c r="EZ109" s="89"/>
      <c r="FA109" s="89"/>
      <c r="FB109" s="89"/>
      <c r="FC109" s="88"/>
      <c r="FD109" s="89"/>
      <c r="FE109" s="89"/>
      <c r="FF109" s="89"/>
      <c r="FG109" s="89"/>
      <c r="FH109" s="89"/>
      <c r="FI109" s="88"/>
      <c r="FJ109" s="89"/>
      <c r="FK109" s="89"/>
      <c r="FL109" s="89"/>
      <c r="FM109" s="89"/>
      <c r="FN109" s="89"/>
      <c r="FO109" s="88"/>
      <c r="FP109" s="89"/>
      <c r="FQ109" s="89"/>
      <c r="FR109" s="89"/>
      <c r="FS109" s="89"/>
      <c r="FT109" s="89"/>
      <c r="FU109" s="88"/>
      <c r="FV109" s="89"/>
      <c r="FW109" s="89"/>
      <c r="FX109" s="89"/>
      <c r="FY109" s="89"/>
      <c r="FZ109" s="89"/>
      <c r="GA109" s="120"/>
      <c r="GB109" s="121"/>
      <c r="GC109" s="121"/>
      <c r="GD109" s="121"/>
      <c r="GE109" s="121"/>
      <c r="GF109" s="89"/>
      <c r="GG109" s="88"/>
      <c r="GH109" s="89"/>
      <c r="GI109" s="89"/>
      <c r="GJ109" s="89"/>
      <c r="GK109" s="89"/>
      <c r="GL109" s="89"/>
      <c r="GM109" s="88">
        <v>7760.8119999999999</v>
      </c>
      <c r="GN109" s="89">
        <v>816.45899999999995</v>
      </c>
      <c r="GO109" s="89">
        <v>758.85400000000004</v>
      </c>
      <c r="GP109" s="89">
        <v>57.604999999999997</v>
      </c>
      <c r="GQ109" s="89">
        <v>5658.9610000000002</v>
      </c>
      <c r="GR109" s="89">
        <v>1285.3920000000001</v>
      </c>
      <c r="GS109" s="88"/>
      <c r="GT109" s="87"/>
      <c r="GU109" s="87"/>
      <c r="GV109" s="87"/>
      <c r="GW109" s="87"/>
      <c r="GX109" s="87"/>
      <c r="GY109" s="87"/>
      <c r="GZ109" s="88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8"/>
      <c r="HM109" s="87"/>
      <c r="HN109" s="87"/>
      <c r="HO109" s="87"/>
      <c r="HP109" s="87"/>
      <c r="HQ109" s="87"/>
      <c r="HR109" s="87"/>
      <c r="HS109" s="87"/>
    </row>
    <row r="110" spans="1:227">
      <c r="A110" s="69"/>
      <c r="B110" s="87" t="s">
        <v>499</v>
      </c>
      <c r="C110" s="88"/>
      <c r="D110" s="87"/>
      <c r="E110" s="87"/>
      <c r="F110" s="87"/>
      <c r="G110" s="87"/>
      <c r="H110" s="87"/>
      <c r="I110" s="88">
        <v>82370.726999999999</v>
      </c>
      <c r="J110" s="89">
        <v>30689.489000000001</v>
      </c>
      <c r="K110" s="89"/>
      <c r="L110" s="89"/>
      <c r="M110" s="89">
        <v>70794.646999999997</v>
      </c>
      <c r="N110" s="89">
        <v>-19113.409</v>
      </c>
      <c r="O110" s="90"/>
      <c r="P110" s="91"/>
      <c r="Q110" s="91"/>
      <c r="R110" s="91"/>
      <c r="S110" s="91"/>
      <c r="T110" s="91"/>
      <c r="U110" s="90"/>
      <c r="V110" s="91"/>
      <c r="W110" s="91"/>
      <c r="X110" s="91"/>
      <c r="Y110" s="91"/>
      <c r="Z110" s="91"/>
      <c r="AA110" s="88">
        <v>730.39499999999998</v>
      </c>
      <c r="AB110" s="89">
        <f t="shared" si="3"/>
        <v>120.84099999999999</v>
      </c>
      <c r="AC110" s="89">
        <v>112.083</v>
      </c>
      <c r="AD110" s="89">
        <v>8.7579999999999991</v>
      </c>
      <c r="AE110" s="89">
        <v>609.55399999999997</v>
      </c>
      <c r="AF110" s="89"/>
      <c r="AG110" s="88">
        <v>34431.314804522</v>
      </c>
      <c r="AH110" s="89">
        <v>5013.8578045220002</v>
      </c>
      <c r="AI110" s="89">
        <v>5013.8578045220002</v>
      </c>
      <c r="AJ110" s="89"/>
      <c r="AK110" s="89">
        <v>29417.456999999999</v>
      </c>
      <c r="AL110" s="89"/>
      <c r="AM110" s="88"/>
      <c r="AN110" s="89"/>
      <c r="AO110" s="89"/>
      <c r="AP110" s="89"/>
      <c r="AQ110" s="89"/>
      <c r="AR110" s="89"/>
      <c r="AS110" s="88">
        <v>22308000</v>
      </c>
      <c r="AT110" s="89">
        <f t="shared" si="5"/>
        <v>1010000</v>
      </c>
      <c r="AU110" s="89">
        <v>1010000</v>
      </c>
      <c r="AV110" s="89"/>
      <c r="AW110" s="89">
        <v>23051000</v>
      </c>
      <c r="AX110" s="89">
        <v>-1753000</v>
      </c>
      <c r="AY110" s="88"/>
      <c r="AZ110" s="89"/>
      <c r="BA110" s="89"/>
      <c r="BB110" s="89"/>
      <c r="BC110" s="89"/>
      <c r="BD110" s="89"/>
      <c r="BE110" s="88"/>
      <c r="BF110" s="89"/>
      <c r="BG110" s="89"/>
      <c r="BH110" s="89"/>
      <c r="BI110" s="89"/>
      <c r="BJ110" s="89"/>
      <c r="BK110" s="88"/>
      <c r="BL110" s="89"/>
      <c r="BM110" s="89"/>
      <c r="BN110" s="89"/>
      <c r="BO110" s="89"/>
      <c r="BP110" s="89"/>
      <c r="BQ110" s="88"/>
      <c r="BR110" s="89"/>
      <c r="BS110" s="89"/>
      <c r="BT110" s="89"/>
      <c r="BU110" s="89"/>
      <c r="BV110" s="89"/>
      <c r="BW110" s="88"/>
      <c r="BX110" s="89"/>
      <c r="BY110" s="89"/>
      <c r="BZ110" s="89"/>
      <c r="CA110" s="89"/>
      <c r="CB110" s="89"/>
      <c r="CC110" s="88"/>
      <c r="CD110" s="89"/>
      <c r="CE110" s="89"/>
      <c r="CF110" s="89"/>
      <c r="CG110" s="89"/>
      <c r="CH110" s="89"/>
      <c r="CI110" s="88"/>
      <c r="CJ110" s="89"/>
      <c r="CK110" s="89"/>
      <c r="CL110" s="89"/>
      <c r="CM110" s="89"/>
      <c r="CN110" s="89"/>
      <c r="CO110" s="88"/>
      <c r="CP110" s="89"/>
      <c r="CQ110" s="89"/>
      <c r="CR110" s="89"/>
      <c r="CS110" s="89"/>
      <c r="CT110" s="89"/>
      <c r="CU110" s="88">
        <f t="shared" si="4"/>
        <v>15239.134119999999</v>
      </c>
      <c r="CV110" s="89">
        <v>6012.2280900000005</v>
      </c>
      <c r="CW110" s="89">
        <v>6109.6997900000006</v>
      </c>
      <c r="CX110" s="89">
        <v>-97.471699999999998</v>
      </c>
      <c r="CY110" s="89">
        <v>9226.9060299999983</v>
      </c>
      <c r="CZ110" s="89"/>
      <c r="DA110" s="88"/>
      <c r="DB110" s="89"/>
      <c r="DC110" s="89"/>
      <c r="DD110" s="89"/>
      <c r="DE110" s="89"/>
      <c r="DF110" s="89"/>
      <c r="DG110" s="88">
        <v>101210.6</v>
      </c>
      <c r="DH110" s="89">
        <v>79834.2</v>
      </c>
      <c r="DI110" s="89"/>
      <c r="DJ110" s="89"/>
      <c r="DK110" s="89">
        <v>35162.800000000003</v>
      </c>
      <c r="DL110" s="89">
        <v>-13786.4</v>
      </c>
      <c r="DM110" s="88"/>
      <c r="DN110" s="89"/>
      <c r="DO110" s="89"/>
      <c r="DP110" s="89"/>
      <c r="DQ110" s="89"/>
      <c r="DR110" s="89"/>
      <c r="DS110" s="88"/>
      <c r="DT110" s="89"/>
      <c r="DU110" s="89"/>
      <c r="DV110" s="89"/>
      <c r="DW110" s="89"/>
      <c r="DX110" s="89"/>
      <c r="DY110" s="88"/>
      <c r="DZ110" s="89"/>
      <c r="EA110" s="89"/>
      <c r="EB110" s="89"/>
      <c r="EC110" s="89"/>
      <c r="ED110" s="89"/>
      <c r="EE110" s="88"/>
      <c r="EF110" s="89"/>
      <c r="EG110" s="89"/>
      <c r="EH110" s="89"/>
      <c r="EI110" s="89"/>
      <c r="EJ110" s="89"/>
      <c r="EK110" s="88">
        <v>5674010.8969999999</v>
      </c>
      <c r="EL110" s="89">
        <f t="shared" si="2"/>
        <v>10148.931999999797</v>
      </c>
      <c r="EM110" s="89">
        <v>-156947.78400000022</v>
      </c>
      <c r="EN110" s="89">
        <v>167096.71600000001</v>
      </c>
      <c r="EO110" s="89">
        <v>5579737.6409999998</v>
      </c>
      <c r="EP110" s="89">
        <v>84124.323999999993</v>
      </c>
      <c r="EQ110" s="88"/>
      <c r="ER110" s="89"/>
      <c r="ES110" s="89"/>
      <c r="ET110" s="89"/>
      <c r="EU110" s="89"/>
      <c r="EV110" s="89"/>
      <c r="EW110" s="88"/>
      <c r="EX110" s="89"/>
      <c r="EY110" s="89"/>
      <c r="EZ110" s="89"/>
      <c r="FA110" s="89"/>
      <c r="FB110" s="89"/>
      <c r="FC110" s="88"/>
      <c r="FD110" s="89"/>
      <c r="FE110" s="89"/>
      <c r="FF110" s="89"/>
      <c r="FG110" s="89"/>
      <c r="FH110" s="89"/>
      <c r="FI110" s="88"/>
      <c r="FJ110" s="89"/>
      <c r="FK110" s="89"/>
      <c r="FL110" s="89"/>
      <c r="FM110" s="89"/>
      <c r="FN110" s="89"/>
      <c r="FO110" s="88"/>
      <c r="FP110" s="89"/>
      <c r="FQ110" s="89"/>
      <c r="FR110" s="89"/>
      <c r="FS110" s="89"/>
      <c r="FT110" s="89"/>
      <c r="FU110" s="88"/>
      <c r="FV110" s="89"/>
      <c r="FW110" s="89"/>
      <c r="FX110" s="89"/>
      <c r="FY110" s="89"/>
      <c r="FZ110" s="89"/>
      <c r="GA110" s="120"/>
      <c r="GB110" s="121"/>
      <c r="GC110" s="121"/>
      <c r="GD110" s="121"/>
      <c r="GE110" s="121"/>
      <c r="GF110" s="89"/>
      <c r="GG110" s="88"/>
      <c r="GH110" s="89"/>
      <c r="GI110" s="89"/>
      <c r="GJ110" s="89"/>
      <c r="GK110" s="89"/>
      <c r="GL110" s="89"/>
      <c r="GM110" s="88">
        <v>8062.2667000000001</v>
      </c>
      <c r="GN110" s="89">
        <v>848.3537</v>
      </c>
      <c r="GO110" s="89">
        <v>780.35169999999994</v>
      </c>
      <c r="GP110" s="89">
        <v>68.001999999999995</v>
      </c>
      <c r="GQ110" s="89">
        <v>5804.598</v>
      </c>
      <c r="GR110" s="89">
        <v>1409.3150000000001</v>
      </c>
      <c r="GS110" s="88"/>
      <c r="GT110" s="87"/>
      <c r="GU110" s="87"/>
      <c r="GV110" s="87"/>
      <c r="GW110" s="87"/>
      <c r="GX110" s="87"/>
      <c r="GY110" s="87"/>
      <c r="GZ110" s="88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8"/>
      <c r="HM110" s="87"/>
      <c r="HN110" s="87"/>
      <c r="HO110" s="87"/>
      <c r="HP110" s="87"/>
      <c r="HQ110" s="87"/>
      <c r="HR110" s="87"/>
      <c r="HS110" s="87"/>
    </row>
    <row r="111" spans="1:227" ht="12" thickBot="1">
      <c r="A111" s="102"/>
      <c r="B111" s="103" t="s">
        <v>500</v>
      </c>
      <c r="C111" s="104"/>
      <c r="D111" s="105"/>
      <c r="E111" s="105"/>
      <c r="F111" s="105"/>
      <c r="G111" s="105"/>
      <c r="H111" s="105"/>
      <c r="I111" s="104">
        <v>82565.273000000001</v>
      </c>
      <c r="J111" s="105">
        <v>30828.684000000001</v>
      </c>
      <c r="K111" s="105"/>
      <c r="L111" s="105"/>
      <c r="M111" s="105">
        <v>72205.864000000001</v>
      </c>
      <c r="N111" s="105">
        <v>-20469.276999999998</v>
      </c>
      <c r="O111" s="106">
        <v>3425</v>
      </c>
      <c r="P111" s="107">
        <f>Q111+R111</f>
        <v>589</v>
      </c>
      <c r="Q111" s="107">
        <v>452.6</v>
      </c>
      <c r="R111" s="107">
        <v>136.4</v>
      </c>
      <c r="S111" s="107">
        <v>2836.7</v>
      </c>
      <c r="T111" s="107"/>
      <c r="U111" s="106"/>
      <c r="V111" s="107"/>
      <c r="W111" s="107"/>
      <c r="X111" s="107"/>
      <c r="Y111" s="107"/>
      <c r="Z111" s="107"/>
      <c r="AA111" s="104">
        <v>750.76099999999997</v>
      </c>
      <c r="AB111" s="105">
        <f t="shared" si="3"/>
        <v>141.07</v>
      </c>
      <c r="AC111" s="105">
        <v>123.114</v>
      </c>
      <c r="AD111" s="105">
        <v>17.956</v>
      </c>
      <c r="AE111" s="105">
        <v>609.69100000000003</v>
      </c>
      <c r="AF111" s="105"/>
      <c r="AG111" s="104">
        <v>35060.459400008003</v>
      </c>
      <c r="AH111" s="108">
        <v>5147.166400008</v>
      </c>
      <c r="AI111" s="108">
        <v>5147.166400008</v>
      </c>
      <c r="AJ111" s="108"/>
      <c r="AK111" s="108">
        <v>29913.293000000001</v>
      </c>
      <c r="AL111" s="108"/>
      <c r="AM111" s="109"/>
      <c r="AN111" s="108"/>
      <c r="AO111" s="108"/>
      <c r="AP111" s="108"/>
      <c r="AQ111" s="108"/>
      <c r="AR111" s="108"/>
      <c r="AS111" s="104">
        <v>22417000</v>
      </c>
      <c r="AT111" s="105">
        <f t="shared" si="5"/>
        <v>1169000</v>
      </c>
      <c r="AU111" s="105">
        <v>1169000</v>
      </c>
      <c r="AV111" s="105"/>
      <c r="AW111" s="105">
        <v>22840000</v>
      </c>
      <c r="AX111" s="105">
        <v>-1592000</v>
      </c>
      <c r="AY111" s="104"/>
      <c r="AZ111" s="105"/>
      <c r="BA111" s="105"/>
      <c r="BB111" s="105"/>
      <c r="BC111" s="105"/>
      <c r="BD111" s="105"/>
      <c r="BE111" s="104"/>
      <c r="BF111" s="105"/>
      <c r="BG111" s="105"/>
      <c r="BH111" s="105"/>
      <c r="BI111" s="105"/>
      <c r="BJ111" s="105"/>
      <c r="BK111" s="104"/>
      <c r="BL111" s="105"/>
      <c r="BM111" s="105"/>
      <c r="BN111" s="105"/>
      <c r="BO111" s="105"/>
      <c r="BP111" s="105"/>
      <c r="BQ111" s="104"/>
      <c r="BR111" s="105"/>
      <c r="BS111" s="105"/>
      <c r="BT111" s="105"/>
      <c r="BU111" s="105"/>
      <c r="BV111" s="105"/>
      <c r="BW111" s="104"/>
      <c r="BX111" s="105"/>
      <c r="BY111" s="105"/>
      <c r="BZ111" s="105"/>
      <c r="CA111" s="105"/>
      <c r="CB111" s="105"/>
      <c r="CC111" s="104"/>
      <c r="CD111" s="105"/>
      <c r="CE111" s="105"/>
      <c r="CF111" s="105"/>
      <c r="CG111" s="105"/>
      <c r="CH111" s="105"/>
      <c r="CI111" s="104"/>
      <c r="CJ111" s="105"/>
      <c r="CK111" s="105"/>
      <c r="CL111" s="105"/>
      <c r="CM111" s="105"/>
      <c r="CN111" s="105"/>
      <c r="CO111" s="104">
        <v>31947</v>
      </c>
      <c r="CP111" s="105">
        <v>-14187.9</v>
      </c>
      <c r="CQ111" s="105">
        <v>-6340.9</v>
      </c>
      <c r="CR111" s="105">
        <v>-7847</v>
      </c>
      <c r="CS111" s="105">
        <v>51838.3</v>
      </c>
      <c r="CT111" s="105">
        <v>-5703.4</v>
      </c>
      <c r="CU111" s="104">
        <f t="shared" si="4"/>
        <v>15447.00302</v>
      </c>
      <c r="CV111" s="105">
        <v>6066.42857</v>
      </c>
      <c r="CW111" s="105">
        <v>6157.3672699999997</v>
      </c>
      <c r="CX111" s="105">
        <v>-90.938700000000011</v>
      </c>
      <c r="CY111" s="105">
        <v>9380.5744500000001</v>
      </c>
      <c r="CZ111" s="105"/>
      <c r="DA111" s="104"/>
      <c r="DB111" s="105"/>
      <c r="DC111" s="105"/>
      <c r="DD111" s="105"/>
      <c r="DE111" s="105"/>
      <c r="DF111" s="105"/>
      <c r="DG111" s="104">
        <v>109373.8</v>
      </c>
      <c r="DH111" s="105">
        <v>88930.3</v>
      </c>
      <c r="DI111" s="105"/>
      <c r="DJ111" s="105"/>
      <c r="DK111" s="105">
        <v>34126.6</v>
      </c>
      <c r="DL111" s="105">
        <v>-13683.1</v>
      </c>
      <c r="DM111" s="104"/>
      <c r="DN111" s="105"/>
      <c r="DO111" s="105"/>
      <c r="DP111" s="105"/>
      <c r="DQ111" s="105"/>
      <c r="DR111" s="105"/>
      <c r="DS111" s="104"/>
      <c r="DT111" s="105"/>
      <c r="DU111" s="105"/>
      <c r="DV111" s="105"/>
      <c r="DW111" s="105"/>
      <c r="DX111" s="105"/>
      <c r="DY111" s="104"/>
      <c r="DZ111" s="105"/>
      <c r="EA111" s="105"/>
      <c r="EB111" s="105"/>
      <c r="EC111" s="105"/>
      <c r="ED111" s="105"/>
      <c r="EE111" s="104"/>
      <c r="EF111" s="105"/>
      <c r="EG111" s="105"/>
      <c r="EH111" s="105"/>
      <c r="EI111" s="105"/>
      <c r="EJ111" s="105"/>
      <c r="EK111" s="104">
        <v>5786698.2410972016</v>
      </c>
      <c r="EL111" s="105">
        <f t="shared" si="2"/>
        <v>85447.978999999992</v>
      </c>
      <c r="EM111" s="105">
        <v>-97257.777000000002</v>
      </c>
      <c r="EN111" s="105">
        <v>182705.75599999999</v>
      </c>
      <c r="EO111" s="105">
        <v>5612113.4265500009</v>
      </c>
      <c r="EP111" s="105">
        <v>89136.835547199997</v>
      </c>
      <c r="EQ111" s="104"/>
      <c r="ER111" s="105"/>
      <c r="ES111" s="105"/>
      <c r="ET111" s="105"/>
      <c r="EU111" s="105"/>
      <c r="EV111" s="105"/>
      <c r="EW111" s="104"/>
      <c r="EX111" s="105"/>
      <c r="EY111" s="105"/>
      <c r="EZ111" s="105"/>
      <c r="FA111" s="105"/>
      <c r="FB111" s="105"/>
      <c r="FC111" s="104"/>
      <c r="FD111" s="105"/>
      <c r="FE111" s="105"/>
      <c r="FF111" s="105"/>
      <c r="FG111" s="105"/>
      <c r="FH111" s="105"/>
      <c r="FI111" s="104"/>
      <c r="FJ111" s="105"/>
      <c r="FK111" s="105"/>
      <c r="FL111" s="105"/>
      <c r="FM111" s="105"/>
      <c r="FN111" s="103"/>
      <c r="FO111" s="104"/>
      <c r="FP111" s="105"/>
      <c r="FQ111" s="105"/>
      <c r="FR111" s="105"/>
      <c r="FS111" s="105"/>
      <c r="FT111" s="103"/>
      <c r="FU111" s="104"/>
      <c r="FV111" s="105"/>
      <c r="FW111" s="105"/>
      <c r="FX111" s="105"/>
      <c r="FY111" s="105"/>
      <c r="FZ111" s="105"/>
      <c r="GA111" s="104">
        <v>14506.8</v>
      </c>
      <c r="GB111" s="105">
        <v>3182.2</v>
      </c>
      <c r="GC111" s="105">
        <v>1304.3</v>
      </c>
      <c r="GD111" s="105">
        <v>1877.9</v>
      </c>
      <c r="GE111" s="105">
        <v>11324.6</v>
      </c>
      <c r="GF111" s="105"/>
      <c r="GG111" s="104"/>
      <c r="GH111" s="105"/>
      <c r="GI111" s="105"/>
      <c r="GJ111" s="105"/>
      <c r="GK111" s="105"/>
      <c r="GL111" s="105"/>
      <c r="GM111" s="104">
        <v>8373.741</v>
      </c>
      <c r="GN111" s="105">
        <v>854.48299999999995</v>
      </c>
      <c r="GO111" s="105">
        <v>808.66600000000005</v>
      </c>
      <c r="GP111" s="105">
        <v>45.817</v>
      </c>
      <c r="GQ111" s="105">
        <v>6044.6779999999999</v>
      </c>
      <c r="GR111" s="103">
        <v>1474.58</v>
      </c>
      <c r="GS111" s="88"/>
      <c r="GT111" s="87"/>
      <c r="GU111" s="87"/>
      <c r="GV111" s="87"/>
      <c r="GW111" s="87"/>
      <c r="GX111" s="87"/>
      <c r="GY111" s="87"/>
      <c r="GZ111" s="88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8"/>
      <c r="HM111" s="87"/>
      <c r="HN111" s="87"/>
      <c r="HO111" s="87"/>
      <c r="HP111" s="87"/>
      <c r="HQ111" s="87"/>
      <c r="HR111" s="87"/>
      <c r="HS111" s="87"/>
    </row>
    <row r="112" spans="1:227">
      <c r="A112" s="86">
        <v>1999</v>
      </c>
      <c r="B112" s="87" t="s">
        <v>489</v>
      </c>
      <c r="C112" s="88"/>
      <c r="D112" s="87"/>
      <c r="E112" s="87"/>
      <c r="F112" s="87"/>
      <c r="G112" s="87"/>
      <c r="H112" s="87"/>
      <c r="I112" s="88">
        <v>82100.947</v>
      </c>
      <c r="J112" s="89">
        <v>29942.798999999999</v>
      </c>
      <c r="K112" s="89"/>
      <c r="L112" s="89"/>
      <c r="M112" s="89">
        <v>71501.788</v>
      </c>
      <c r="N112" s="89">
        <v>-19343.64</v>
      </c>
      <c r="O112" s="90"/>
      <c r="P112" s="91"/>
      <c r="Q112" s="91"/>
      <c r="R112" s="91"/>
      <c r="S112" s="91"/>
      <c r="T112" s="91"/>
      <c r="U112" s="90"/>
      <c r="V112" s="91"/>
      <c r="W112" s="91"/>
      <c r="X112" s="91"/>
      <c r="Y112" s="91"/>
      <c r="Z112" s="91"/>
      <c r="AA112" s="88">
        <v>745.43</v>
      </c>
      <c r="AB112" s="89">
        <f t="shared" si="3"/>
        <v>130.749</v>
      </c>
      <c r="AC112" s="89">
        <v>112.95</v>
      </c>
      <c r="AD112" s="89">
        <v>17.798999999999999</v>
      </c>
      <c r="AE112" s="89">
        <v>614.68100000000004</v>
      </c>
      <c r="AF112" s="89"/>
      <c r="AG112" s="88">
        <v>34849.342662672003</v>
      </c>
      <c r="AH112" s="89">
        <v>5116.3186626719998</v>
      </c>
      <c r="AI112" s="89">
        <v>5116.3186626719998</v>
      </c>
      <c r="AJ112" s="89"/>
      <c r="AK112" s="89">
        <v>29733.024000000001</v>
      </c>
      <c r="AL112" s="89"/>
      <c r="AM112" s="88"/>
      <c r="AN112" s="89"/>
      <c r="AO112" s="89"/>
      <c r="AP112" s="89"/>
      <c r="AQ112" s="89"/>
      <c r="AR112" s="89"/>
      <c r="AS112" s="88">
        <v>22196000</v>
      </c>
      <c r="AT112" s="89">
        <f t="shared" si="5"/>
        <v>1132000</v>
      </c>
      <c r="AU112" s="89">
        <v>1132000</v>
      </c>
      <c r="AV112" s="89"/>
      <c r="AW112" s="89">
        <v>23250000</v>
      </c>
      <c r="AX112" s="89">
        <v>-2186000</v>
      </c>
      <c r="AY112" s="88"/>
      <c r="AZ112" s="89"/>
      <c r="BA112" s="89"/>
      <c r="BB112" s="89"/>
      <c r="BC112" s="89"/>
      <c r="BD112" s="89"/>
      <c r="BE112" s="88"/>
      <c r="BF112" s="89"/>
      <c r="BG112" s="89"/>
      <c r="BH112" s="89"/>
      <c r="BI112" s="89"/>
      <c r="BJ112" s="89"/>
      <c r="BK112" s="88"/>
      <c r="BL112" s="89"/>
      <c r="BM112" s="89"/>
      <c r="BN112" s="89"/>
      <c r="BO112" s="89"/>
      <c r="BP112" s="89"/>
      <c r="BQ112" s="88"/>
      <c r="BR112" s="89"/>
      <c r="BS112" s="89"/>
      <c r="BT112" s="89"/>
      <c r="BU112" s="89"/>
      <c r="BV112" s="89"/>
      <c r="BW112" s="88"/>
      <c r="BX112" s="89"/>
      <c r="BY112" s="89"/>
      <c r="BZ112" s="89"/>
      <c r="CA112" s="89"/>
      <c r="CB112" s="89"/>
      <c r="CC112" s="88"/>
      <c r="CD112" s="89"/>
      <c r="CE112" s="89"/>
      <c r="CF112" s="89"/>
      <c r="CG112" s="89"/>
      <c r="CH112" s="89"/>
      <c r="CI112" s="88"/>
      <c r="CJ112" s="89"/>
      <c r="CK112" s="89"/>
      <c r="CL112" s="89"/>
      <c r="CM112" s="89"/>
      <c r="CN112" s="89"/>
      <c r="CO112" s="88"/>
      <c r="CP112" s="89"/>
      <c r="CQ112" s="89"/>
      <c r="CR112" s="89"/>
      <c r="CS112" s="89"/>
      <c r="CT112" s="89"/>
      <c r="CU112" s="88">
        <f t="shared" si="4"/>
        <v>15565.48604</v>
      </c>
      <c r="CV112" s="89">
        <v>6074.6555399999997</v>
      </c>
      <c r="CW112" s="89">
        <v>6136.1113399999995</v>
      </c>
      <c r="CX112" s="89">
        <v>-61.455799999999996</v>
      </c>
      <c r="CY112" s="89">
        <v>9490.8305</v>
      </c>
      <c r="CZ112" s="89"/>
      <c r="DA112" s="88"/>
      <c r="DB112" s="89"/>
      <c r="DC112" s="89"/>
      <c r="DD112" s="89"/>
      <c r="DE112" s="89"/>
      <c r="DF112" s="89"/>
      <c r="DG112" s="88">
        <v>110360.2</v>
      </c>
      <c r="DH112" s="89">
        <v>87027.3</v>
      </c>
      <c r="DI112" s="89"/>
      <c r="DJ112" s="89"/>
      <c r="DK112" s="89">
        <v>34561.1</v>
      </c>
      <c r="DL112" s="89">
        <v>-11228.2</v>
      </c>
      <c r="DM112" s="88"/>
      <c r="DN112" s="89"/>
      <c r="DO112" s="89"/>
      <c r="DP112" s="89"/>
      <c r="DQ112" s="89"/>
      <c r="DR112" s="89"/>
      <c r="DS112" s="88"/>
      <c r="DT112" s="89"/>
      <c r="DU112" s="89"/>
      <c r="DV112" s="89"/>
      <c r="DW112" s="89"/>
      <c r="DX112" s="89"/>
      <c r="DY112" s="88"/>
      <c r="DZ112" s="89"/>
      <c r="EA112" s="89"/>
      <c r="EB112" s="89"/>
      <c r="EC112" s="89"/>
      <c r="ED112" s="89"/>
      <c r="EE112" s="88"/>
      <c r="EF112" s="89"/>
      <c r="EG112" s="89"/>
      <c r="EH112" s="89"/>
      <c r="EI112" s="89"/>
      <c r="EJ112" s="89"/>
      <c r="EK112" s="88">
        <v>5783651.3450440411</v>
      </c>
      <c r="EL112" s="89">
        <f t="shared" si="2"/>
        <v>39091.515999999887</v>
      </c>
      <c r="EM112" s="89">
        <v>-137090.85700000008</v>
      </c>
      <c r="EN112" s="89">
        <v>176182.37299999996</v>
      </c>
      <c r="EO112" s="89">
        <v>5652372.9845500011</v>
      </c>
      <c r="EP112" s="89">
        <v>92186.844494039993</v>
      </c>
      <c r="EQ112" s="88"/>
      <c r="ER112" s="89"/>
      <c r="ES112" s="89"/>
      <c r="ET112" s="89"/>
      <c r="EU112" s="89"/>
      <c r="EV112" s="89"/>
      <c r="EW112" s="88"/>
      <c r="EX112" s="89"/>
      <c r="EY112" s="89"/>
      <c r="EZ112" s="89"/>
      <c r="FA112" s="89"/>
      <c r="FB112" s="89"/>
      <c r="FC112" s="88"/>
      <c r="FD112" s="89"/>
      <c r="FE112" s="89"/>
      <c r="FF112" s="89"/>
      <c r="FG112" s="89"/>
      <c r="FH112" s="89"/>
      <c r="FI112" s="88"/>
      <c r="FJ112" s="89"/>
      <c r="FK112" s="89"/>
      <c r="FL112" s="89"/>
      <c r="FM112" s="89"/>
      <c r="FN112" s="89"/>
      <c r="FO112" s="88"/>
      <c r="FP112" s="89"/>
      <c r="FQ112" s="89"/>
      <c r="FR112" s="89"/>
      <c r="FS112" s="89"/>
      <c r="FT112" s="89"/>
      <c r="FU112" s="88"/>
      <c r="FV112" s="89"/>
      <c r="FW112" s="89"/>
      <c r="FX112" s="89"/>
      <c r="FY112" s="89"/>
      <c r="FZ112" s="89"/>
      <c r="GA112" s="120"/>
      <c r="GB112" s="121"/>
      <c r="GC112" s="121"/>
      <c r="GD112" s="121"/>
      <c r="GE112" s="121"/>
      <c r="GF112" s="89"/>
      <c r="GG112" s="88"/>
      <c r="GH112" s="89"/>
      <c r="GI112" s="89"/>
      <c r="GJ112" s="89"/>
      <c r="GK112" s="89"/>
      <c r="GL112" s="89"/>
      <c r="GM112" s="88">
        <v>8609.5049999999992</v>
      </c>
      <c r="GN112" s="89">
        <v>868.08299999999997</v>
      </c>
      <c r="GO112" s="89">
        <v>824.39400000000001</v>
      </c>
      <c r="GP112" s="89">
        <v>43.689</v>
      </c>
      <c r="GQ112" s="89">
        <v>6001.7380000000003</v>
      </c>
      <c r="GR112" s="89">
        <v>1739.684</v>
      </c>
      <c r="GS112" s="88"/>
      <c r="GT112" s="87"/>
      <c r="GU112" s="87"/>
      <c r="GV112" s="87"/>
      <c r="GW112" s="87"/>
      <c r="GX112" s="87"/>
      <c r="GY112" s="87"/>
      <c r="GZ112" s="88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8"/>
      <c r="HM112" s="87"/>
      <c r="HN112" s="87"/>
      <c r="HO112" s="87"/>
      <c r="HP112" s="87"/>
      <c r="HQ112" s="87"/>
      <c r="HR112" s="87"/>
      <c r="HS112" s="87"/>
    </row>
    <row r="113" spans="1:231" ht="13.5" customHeight="1">
      <c r="A113" s="69"/>
      <c r="B113" s="87" t="s">
        <v>490</v>
      </c>
      <c r="C113" s="88"/>
      <c r="D113" s="87"/>
      <c r="E113" s="87"/>
      <c r="F113" s="87"/>
      <c r="G113" s="87"/>
      <c r="H113" s="87"/>
      <c r="I113" s="88">
        <v>83609.328000000009</v>
      </c>
      <c r="J113" s="89">
        <v>30593.062000000002</v>
      </c>
      <c r="K113" s="89"/>
      <c r="L113" s="89"/>
      <c r="M113" s="89">
        <v>71234.138000000006</v>
      </c>
      <c r="N113" s="89">
        <v>-18217.871999999999</v>
      </c>
      <c r="O113" s="90"/>
      <c r="P113" s="91"/>
      <c r="Q113" s="91"/>
      <c r="R113" s="91"/>
      <c r="S113" s="91"/>
      <c r="T113" s="91"/>
      <c r="U113" s="90"/>
      <c r="V113" s="91"/>
      <c r="W113" s="91"/>
      <c r="X113" s="91"/>
      <c r="Y113" s="91"/>
      <c r="Z113" s="91"/>
      <c r="AA113" s="88">
        <v>741.42499999999995</v>
      </c>
      <c r="AB113" s="89">
        <f t="shared" si="3"/>
        <v>122.973</v>
      </c>
      <c r="AC113" s="89">
        <v>105.252</v>
      </c>
      <c r="AD113" s="89">
        <v>17.721</v>
      </c>
      <c r="AE113" s="89">
        <v>618.452</v>
      </c>
      <c r="AF113" s="89"/>
      <c r="AG113" s="88">
        <v>35027.167900296001</v>
      </c>
      <c r="AH113" s="89">
        <v>5148.7959002959997</v>
      </c>
      <c r="AI113" s="89">
        <v>5148.7959002959997</v>
      </c>
      <c r="AJ113" s="89"/>
      <c r="AK113" s="89">
        <v>29878.371999999999</v>
      </c>
      <c r="AL113" s="89"/>
      <c r="AM113" s="88"/>
      <c r="AN113" s="89"/>
      <c r="AO113" s="89"/>
      <c r="AP113" s="89"/>
      <c r="AQ113" s="89"/>
      <c r="AR113" s="89"/>
      <c r="AS113" s="88">
        <v>22105000</v>
      </c>
      <c r="AT113" s="89">
        <f t="shared" si="5"/>
        <v>1227000</v>
      </c>
      <c r="AU113" s="89">
        <v>1227000</v>
      </c>
      <c r="AV113" s="89"/>
      <c r="AW113" s="89">
        <v>23248000</v>
      </c>
      <c r="AX113" s="89">
        <v>-2370000</v>
      </c>
      <c r="AY113" s="88"/>
      <c r="AZ113" s="89"/>
      <c r="BA113" s="89"/>
      <c r="BB113" s="89"/>
      <c r="BC113" s="89"/>
      <c r="BD113" s="89"/>
      <c r="BE113" s="88"/>
      <c r="BF113" s="89"/>
      <c r="BG113" s="89"/>
      <c r="BH113" s="89"/>
      <c r="BI113" s="89"/>
      <c r="BJ113" s="89"/>
      <c r="BK113" s="88"/>
      <c r="BL113" s="89"/>
      <c r="BM113" s="89"/>
      <c r="BN113" s="89"/>
      <c r="BO113" s="89"/>
      <c r="BP113" s="89"/>
      <c r="BQ113" s="88"/>
      <c r="BR113" s="89"/>
      <c r="BS113" s="89"/>
      <c r="BT113" s="89"/>
      <c r="BU113" s="89"/>
      <c r="BV113" s="89"/>
      <c r="BW113" s="88"/>
      <c r="BX113" s="89"/>
      <c r="BY113" s="89"/>
      <c r="BZ113" s="89"/>
      <c r="CA113" s="89"/>
      <c r="CB113" s="89"/>
      <c r="CC113" s="88"/>
      <c r="CD113" s="89"/>
      <c r="CE113" s="89"/>
      <c r="CF113" s="89"/>
      <c r="CG113" s="89"/>
      <c r="CH113" s="89"/>
      <c r="CI113" s="88"/>
      <c r="CJ113" s="89"/>
      <c r="CK113" s="89"/>
      <c r="CL113" s="89"/>
      <c r="CM113" s="89"/>
      <c r="CN113" s="89"/>
      <c r="CO113" s="88"/>
      <c r="CP113" s="89"/>
      <c r="CQ113" s="89"/>
      <c r="CR113" s="89"/>
      <c r="CS113" s="89"/>
      <c r="CT113" s="89"/>
      <c r="CU113" s="88">
        <f t="shared" si="4"/>
        <v>15586.686880000001</v>
      </c>
      <c r="CV113" s="89">
        <v>5962.0761300000004</v>
      </c>
      <c r="CW113" s="89">
        <v>6028.1403300000002</v>
      </c>
      <c r="CX113" s="89">
        <v>-66.0642</v>
      </c>
      <c r="CY113" s="89">
        <v>9624.6107499999998</v>
      </c>
      <c r="CZ113" s="89"/>
      <c r="DA113" s="88"/>
      <c r="DB113" s="89"/>
      <c r="DC113" s="89"/>
      <c r="DD113" s="89"/>
      <c r="DE113" s="89"/>
      <c r="DF113" s="89"/>
      <c r="DG113" s="88">
        <v>112962.3</v>
      </c>
      <c r="DH113" s="89">
        <v>90136.6</v>
      </c>
      <c r="DI113" s="89"/>
      <c r="DJ113" s="89"/>
      <c r="DK113" s="89">
        <v>34108.300000000003</v>
      </c>
      <c r="DL113" s="89">
        <v>-11282.6</v>
      </c>
      <c r="DM113" s="88"/>
      <c r="DN113" s="89"/>
      <c r="DO113" s="89"/>
      <c r="DP113" s="89"/>
      <c r="DQ113" s="89"/>
      <c r="DR113" s="89"/>
      <c r="DS113" s="88"/>
      <c r="DT113" s="89"/>
      <c r="DU113" s="89"/>
      <c r="DV113" s="89"/>
      <c r="DW113" s="89"/>
      <c r="DX113" s="89"/>
      <c r="DY113" s="88"/>
      <c r="DZ113" s="89"/>
      <c r="EA113" s="89"/>
      <c r="EB113" s="89"/>
      <c r="EC113" s="89"/>
      <c r="ED113" s="89"/>
      <c r="EE113" s="88"/>
      <c r="EF113" s="89"/>
      <c r="EG113" s="89"/>
      <c r="EH113" s="89"/>
      <c r="EI113" s="89"/>
      <c r="EJ113" s="89"/>
      <c r="EK113" s="88">
        <v>5962378.3731595995</v>
      </c>
      <c r="EL113" s="89">
        <f t="shared" si="2"/>
        <v>128633.64099999983</v>
      </c>
      <c r="EM113" s="89">
        <v>-27828.883000000147</v>
      </c>
      <c r="EN113" s="89">
        <v>156462.52399999998</v>
      </c>
      <c r="EO113" s="89">
        <v>5732769.9199999999</v>
      </c>
      <c r="EP113" s="89">
        <v>100974.8121596</v>
      </c>
      <c r="EQ113" s="88"/>
      <c r="ER113" s="89"/>
      <c r="ES113" s="89"/>
      <c r="ET113" s="89"/>
      <c r="EU113" s="89"/>
      <c r="EV113" s="89"/>
      <c r="EW113" s="88"/>
      <c r="EX113" s="89"/>
      <c r="EY113" s="89"/>
      <c r="EZ113" s="89"/>
      <c r="FA113" s="89"/>
      <c r="FB113" s="89"/>
      <c r="FC113" s="88"/>
      <c r="FD113" s="89"/>
      <c r="FE113" s="89"/>
      <c r="FF113" s="89"/>
      <c r="FG113" s="89"/>
      <c r="FH113" s="89"/>
      <c r="FI113" s="88"/>
      <c r="FJ113" s="89"/>
      <c r="FK113" s="89"/>
      <c r="FL113" s="89"/>
      <c r="FM113" s="89"/>
      <c r="FN113" s="89"/>
      <c r="FO113" s="88"/>
      <c r="FP113" s="89"/>
      <c r="FQ113" s="89"/>
      <c r="FR113" s="89"/>
      <c r="FS113" s="89"/>
      <c r="FT113" s="89"/>
      <c r="FU113" s="88"/>
      <c r="FV113" s="89"/>
      <c r="FW113" s="89"/>
      <c r="FX113" s="89"/>
      <c r="FY113" s="89"/>
      <c r="FZ113" s="89"/>
      <c r="GA113" s="120"/>
      <c r="GB113" s="121"/>
      <c r="GC113" s="121"/>
      <c r="GD113" s="121"/>
      <c r="GE113" s="121"/>
      <c r="GF113" s="89"/>
      <c r="GG113" s="88"/>
      <c r="GH113" s="89"/>
      <c r="GI113" s="89"/>
      <c r="GJ113" s="89"/>
      <c r="GK113" s="89"/>
      <c r="GL113" s="89"/>
      <c r="GM113" s="88">
        <v>8422.027</v>
      </c>
      <c r="GN113" s="89">
        <v>1005.8819999999999</v>
      </c>
      <c r="GO113" s="89">
        <v>955.23599999999999</v>
      </c>
      <c r="GP113" s="89">
        <v>50.646000000000001</v>
      </c>
      <c r="GQ113" s="89">
        <v>5927.4340000000002</v>
      </c>
      <c r="GR113" s="89">
        <v>1488.711</v>
      </c>
      <c r="GS113" s="88"/>
      <c r="GT113" s="87"/>
      <c r="GU113" s="87"/>
      <c r="GV113" s="87"/>
      <c r="GW113" s="87"/>
      <c r="GX113" s="87"/>
      <c r="GY113" s="87"/>
      <c r="GZ113" s="88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8"/>
      <c r="HM113" s="87"/>
      <c r="HN113" s="87"/>
      <c r="HO113" s="87"/>
      <c r="HP113" s="87"/>
      <c r="HQ113" s="87"/>
      <c r="HR113" s="87"/>
      <c r="HS113" s="87"/>
    </row>
    <row r="114" spans="1:231" ht="13.5" customHeight="1">
      <c r="A114" s="69"/>
      <c r="B114" s="87" t="s">
        <v>491</v>
      </c>
      <c r="C114" s="88"/>
      <c r="D114" s="87"/>
      <c r="E114" s="87"/>
      <c r="F114" s="87"/>
      <c r="G114" s="87"/>
      <c r="H114" s="87"/>
      <c r="I114" s="88">
        <v>83175.37999999999</v>
      </c>
      <c r="J114" s="89">
        <v>30937.782999999999</v>
      </c>
      <c r="K114" s="89"/>
      <c r="L114" s="89"/>
      <c r="M114" s="89">
        <v>71310.426999999996</v>
      </c>
      <c r="N114" s="89">
        <v>-19072.830000000002</v>
      </c>
      <c r="O114" s="90"/>
      <c r="P114" s="91"/>
      <c r="Q114" s="91"/>
      <c r="R114" s="91"/>
      <c r="S114" s="91"/>
      <c r="T114" s="91"/>
      <c r="U114" s="90"/>
      <c r="V114" s="91"/>
      <c r="W114" s="91"/>
      <c r="X114" s="91"/>
      <c r="Y114" s="91"/>
      <c r="Z114" s="91"/>
      <c r="AA114" s="88">
        <v>758.48299999999995</v>
      </c>
      <c r="AB114" s="89">
        <f t="shared" si="3"/>
        <v>137.50400000000002</v>
      </c>
      <c r="AC114" s="89">
        <v>118.80500000000001</v>
      </c>
      <c r="AD114" s="89">
        <v>18.699000000000002</v>
      </c>
      <c r="AE114" s="89">
        <v>620.97900000000004</v>
      </c>
      <c r="AF114" s="89"/>
      <c r="AG114" s="88">
        <v>35087.975760116002</v>
      </c>
      <c r="AH114" s="89">
        <v>5100.4507601159994</v>
      </c>
      <c r="AI114" s="89">
        <v>5100.4507601159994</v>
      </c>
      <c r="AJ114" s="89"/>
      <c r="AK114" s="89">
        <v>29987.525000000001</v>
      </c>
      <c r="AL114" s="89"/>
      <c r="AM114" s="88"/>
      <c r="AN114" s="89"/>
      <c r="AO114" s="89"/>
      <c r="AP114" s="89"/>
      <c r="AQ114" s="89"/>
      <c r="AR114" s="89"/>
      <c r="AS114" s="88">
        <v>22218000</v>
      </c>
      <c r="AT114" s="89">
        <f t="shared" si="5"/>
        <v>1300000</v>
      </c>
      <c r="AU114" s="89">
        <v>1300000</v>
      </c>
      <c r="AV114" s="89"/>
      <c r="AW114" s="89">
        <v>23059000</v>
      </c>
      <c r="AX114" s="89">
        <v>-2141000</v>
      </c>
      <c r="AY114" s="88"/>
      <c r="AZ114" s="89"/>
      <c r="BA114" s="89"/>
      <c r="BB114" s="89"/>
      <c r="BC114" s="89"/>
      <c r="BD114" s="89"/>
      <c r="BE114" s="88"/>
      <c r="BF114" s="89"/>
      <c r="BG114" s="89"/>
      <c r="BH114" s="89"/>
      <c r="BI114" s="89"/>
      <c r="BJ114" s="89"/>
      <c r="BK114" s="88"/>
      <c r="BL114" s="89"/>
      <c r="BM114" s="89"/>
      <c r="BN114" s="89"/>
      <c r="BO114" s="89"/>
      <c r="BP114" s="89"/>
      <c r="BQ114" s="88"/>
      <c r="BR114" s="89"/>
      <c r="BS114" s="89"/>
      <c r="BT114" s="89"/>
      <c r="BU114" s="89"/>
      <c r="BV114" s="89"/>
      <c r="BW114" s="88"/>
      <c r="BX114" s="89"/>
      <c r="BY114" s="89"/>
      <c r="BZ114" s="89"/>
      <c r="CA114" s="89"/>
      <c r="CB114" s="89"/>
      <c r="CC114" s="88"/>
      <c r="CD114" s="89"/>
      <c r="CE114" s="89"/>
      <c r="CF114" s="89"/>
      <c r="CG114" s="89"/>
      <c r="CH114" s="89"/>
      <c r="CI114" s="88"/>
      <c r="CJ114" s="89"/>
      <c r="CK114" s="89"/>
      <c r="CL114" s="89"/>
      <c r="CM114" s="89"/>
      <c r="CN114" s="89"/>
      <c r="CO114" s="88"/>
      <c r="CP114" s="89"/>
      <c r="CQ114" s="89"/>
      <c r="CR114" s="89"/>
      <c r="CS114" s="89"/>
      <c r="CT114" s="89"/>
      <c r="CU114" s="88">
        <f t="shared" si="4"/>
        <v>15728.892919999998</v>
      </c>
      <c r="CV114" s="89">
        <v>6118.2420999999986</v>
      </c>
      <c r="CW114" s="89">
        <v>6196.7071999999989</v>
      </c>
      <c r="CX114" s="89">
        <v>-78.465100000000007</v>
      </c>
      <c r="CY114" s="89">
        <v>9610.6508199999989</v>
      </c>
      <c r="CZ114" s="89"/>
      <c r="DA114" s="88"/>
      <c r="DB114" s="89"/>
      <c r="DC114" s="89"/>
      <c r="DD114" s="89"/>
      <c r="DE114" s="89"/>
      <c r="DF114" s="89"/>
      <c r="DG114" s="88">
        <v>106952.1</v>
      </c>
      <c r="DH114" s="89">
        <v>83216.5</v>
      </c>
      <c r="DI114" s="89"/>
      <c r="DJ114" s="89"/>
      <c r="DK114" s="89">
        <v>33268.800000000003</v>
      </c>
      <c r="DL114" s="89">
        <v>-9533.2000000000007</v>
      </c>
      <c r="DM114" s="88"/>
      <c r="DN114" s="89"/>
      <c r="DO114" s="89"/>
      <c r="DP114" s="89"/>
      <c r="DQ114" s="89"/>
      <c r="DR114" s="89"/>
      <c r="DS114" s="88"/>
      <c r="DT114" s="89"/>
      <c r="DU114" s="89"/>
      <c r="DV114" s="89"/>
      <c r="DW114" s="89"/>
      <c r="DX114" s="89"/>
      <c r="DY114" s="88"/>
      <c r="DZ114" s="89"/>
      <c r="EA114" s="89"/>
      <c r="EB114" s="89"/>
      <c r="EC114" s="89"/>
      <c r="ED114" s="89"/>
      <c r="EE114" s="88"/>
      <c r="EF114" s="89"/>
      <c r="EG114" s="89"/>
      <c r="EH114" s="89"/>
      <c r="EI114" s="89"/>
      <c r="EJ114" s="89"/>
      <c r="EK114" s="88">
        <v>6001129.2398364386</v>
      </c>
      <c r="EL114" s="89">
        <f t="shared" si="2"/>
        <v>153736.66200000004</v>
      </c>
      <c r="EM114" s="89">
        <v>-11682.033999999985</v>
      </c>
      <c r="EN114" s="89">
        <v>165418.69600000003</v>
      </c>
      <c r="EO114" s="89">
        <v>5744153.3989999983</v>
      </c>
      <c r="EP114" s="89">
        <v>103239.17883644001</v>
      </c>
      <c r="EQ114" s="88"/>
      <c r="ER114" s="89"/>
      <c r="ES114" s="89"/>
      <c r="ET114" s="89"/>
      <c r="EU114" s="89"/>
      <c r="EV114" s="89"/>
      <c r="EW114" s="88"/>
      <c r="EX114" s="89"/>
      <c r="EY114" s="89"/>
      <c r="EZ114" s="89"/>
      <c r="FA114" s="89"/>
      <c r="FB114" s="89"/>
      <c r="FC114" s="88"/>
      <c r="FD114" s="89"/>
      <c r="FE114" s="89"/>
      <c r="FF114" s="89"/>
      <c r="FG114" s="89"/>
      <c r="FH114" s="89"/>
      <c r="FI114" s="88"/>
      <c r="FJ114" s="89"/>
      <c r="FK114" s="89"/>
      <c r="FL114" s="89"/>
      <c r="FM114" s="89"/>
      <c r="FN114" s="89"/>
      <c r="FO114" s="88"/>
      <c r="FP114" s="89"/>
      <c r="FQ114" s="89"/>
      <c r="FR114" s="89"/>
      <c r="FS114" s="89"/>
      <c r="FT114" s="89"/>
      <c r="FU114" s="88"/>
      <c r="FV114" s="89"/>
      <c r="FW114" s="89"/>
      <c r="FX114" s="89"/>
      <c r="FY114" s="89"/>
      <c r="FZ114" s="89"/>
      <c r="GA114" s="120">
        <v>15996.6</v>
      </c>
      <c r="GB114" s="121">
        <v>4464.2000000000007</v>
      </c>
      <c r="GC114" s="121">
        <v>1799.4</v>
      </c>
      <c r="GD114" s="121">
        <v>2664.8</v>
      </c>
      <c r="GE114" s="121">
        <v>11532.5</v>
      </c>
      <c r="GF114" s="89"/>
      <c r="GG114" s="88"/>
      <c r="GH114" s="89"/>
      <c r="GI114" s="89"/>
      <c r="GJ114" s="89"/>
      <c r="GK114" s="89"/>
      <c r="GL114" s="89"/>
      <c r="GM114" s="88">
        <v>8262.1810000000005</v>
      </c>
      <c r="GN114" s="89">
        <v>1005.822</v>
      </c>
      <c r="GO114" s="89">
        <v>943.98199999999997</v>
      </c>
      <c r="GP114" s="89">
        <v>61.84</v>
      </c>
      <c r="GQ114" s="89">
        <v>5889.0290000000005</v>
      </c>
      <c r="GR114" s="89">
        <v>1367.33</v>
      </c>
      <c r="GS114" s="88"/>
      <c r="GT114" s="87"/>
      <c r="GU114" s="87"/>
      <c r="GV114" s="87"/>
      <c r="GW114" s="87"/>
      <c r="GX114" s="87"/>
      <c r="GY114" s="87"/>
      <c r="GZ114" s="88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8"/>
      <c r="HM114" s="87"/>
      <c r="HN114" s="87"/>
      <c r="HO114" s="87"/>
      <c r="HP114" s="87"/>
      <c r="HQ114" s="87"/>
      <c r="HR114" s="87"/>
      <c r="HS114" s="87"/>
    </row>
    <row r="115" spans="1:231" ht="13.5" customHeight="1">
      <c r="A115" s="69"/>
      <c r="B115" s="87" t="s">
        <v>492</v>
      </c>
      <c r="C115" s="88"/>
      <c r="D115" s="87"/>
      <c r="E115" s="87"/>
      <c r="F115" s="87"/>
      <c r="G115" s="87"/>
      <c r="H115" s="87"/>
      <c r="I115" s="88">
        <v>82789.670000000013</v>
      </c>
      <c r="J115" s="89">
        <v>31221.991000000002</v>
      </c>
      <c r="K115" s="89"/>
      <c r="L115" s="89"/>
      <c r="M115" s="89">
        <v>70671.736000000004</v>
      </c>
      <c r="N115" s="89">
        <v>-19104.057000000001</v>
      </c>
      <c r="O115" s="90"/>
      <c r="P115" s="91"/>
      <c r="Q115" s="91"/>
      <c r="R115" s="91"/>
      <c r="S115" s="91"/>
      <c r="T115" s="91"/>
      <c r="U115" s="90"/>
      <c r="V115" s="91"/>
      <c r="W115" s="91"/>
      <c r="X115" s="91"/>
      <c r="Y115" s="91"/>
      <c r="Z115" s="91"/>
      <c r="AA115" s="88">
        <v>774.57100000000003</v>
      </c>
      <c r="AB115" s="89">
        <f t="shared" si="3"/>
        <v>144.48599999999999</v>
      </c>
      <c r="AC115" s="89">
        <v>126.02200000000001</v>
      </c>
      <c r="AD115" s="89">
        <v>18.463999999999999</v>
      </c>
      <c r="AE115" s="89">
        <v>630.08500000000004</v>
      </c>
      <c r="AF115" s="89"/>
      <c r="AG115" s="88">
        <v>35089.842902728</v>
      </c>
      <c r="AH115" s="89">
        <v>5025.8719027279994</v>
      </c>
      <c r="AI115" s="89">
        <v>5025.8719027279994</v>
      </c>
      <c r="AJ115" s="89"/>
      <c r="AK115" s="89">
        <v>30063.971000000001</v>
      </c>
      <c r="AL115" s="89"/>
      <c r="AM115" s="88"/>
      <c r="AN115" s="89"/>
      <c r="AO115" s="89"/>
      <c r="AP115" s="89"/>
      <c r="AQ115" s="89"/>
      <c r="AR115" s="89"/>
      <c r="AS115" s="88">
        <v>21990000</v>
      </c>
      <c r="AT115" s="89">
        <f t="shared" si="5"/>
        <v>944000</v>
      </c>
      <c r="AU115" s="89">
        <v>944000</v>
      </c>
      <c r="AV115" s="89"/>
      <c r="AW115" s="89">
        <v>23082000</v>
      </c>
      <c r="AX115" s="89">
        <v>-2036000</v>
      </c>
      <c r="AY115" s="88"/>
      <c r="AZ115" s="89"/>
      <c r="BA115" s="89"/>
      <c r="BB115" s="89"/>
      <c r="BC115" s="89"/>
      <c r="BD115" s="89"/>
      <c r="BE115" s="88"/>
      <c r="BF115" s="89"/>
      <c r="BG115" s="89"/>
      <c r="BH115" s="89"/>
      <c r="BI115" s="89"/>
      <c r="BJ115" s="89"/>
      <c r="BK115" s="88"/>
      <c r="BL115" s="89"/>
      <c r="BM115" s="89"/>
      <c r="BN115" s="89"/>
      <c r="BO115" s="89"/>
      <c r="BP115" s="89"/>
      <c r="BQ115" s="88"/>
      <c r="BR115" s="89"/>
      <c r="BS115" s="89"/>
      <c r="BT115" s="89"/>
      <c r="BU115" s="89"/>
      <c r="BV115" s="89"/>
      <c r="BW115" s="88"/>
      <c r="BX115" s="89"/>
      <c r="BY115" s="89"/>
      <c r="BZ115" s="89"/>
      <c r="CA115" s="89"/>
      <c r="CB115" s="89"/>
      <c r="CC115" s="88"/>
      <c r="CD115" s="89"/>
      <c r="CE115" s="89"/>
      <c r="CF115" s="89"/>
      <c r="CG115" s="89"/>
      <c r="CH115" s="89"/>
      <c r="CI115" s="88"/>
      <c r="CJ115" s="89"/>
      <c r="CK115" s="89"/>
      <c r="CL115" s="89"/>
      <c r="CM115" s="89"/>
      <c r="CN115" s="89"/>
      <c r="CO115" s="88"/>
      <c r="CP115" s="89"/>
      <c r="CQ115" s="89"/>
      <c r="CR115" s="89"/>
      <c r="CS115" s="89"/>
      <c r="CT115" s="89"/>
      <c r="CU115" s="88">
        <f t="shared" si="4"/>
        <v>16019.268100000001</v>
      </c>
      <c r="CV115" s="89">
        <v>6277.4409000000005</v>
      </c>
      <c r="CW115" s="89">
        <v>6346.3715000000002</v>
      </c>
      <c r="CX115" s="89">
        <v>-68.930599999999998</v>
      </c>
      <c r="CY115" s="89">
        <v>9741.8271999999997</v>
      </c>
      <c r="CZ115" s="89"/>
      <c r="DA115" s="88"/>
      <c r="DB115" s="89"/>
      <c r="DC115" s="89"/>
      <c r="DD115" s="89"/>
      <c r="DE115" s="89"/>
      <c r="DF115" s="89"/>
      <c r="DG115" s="88">
        <v>113556.8</v>
      </c>
      <c r="DH115" s="89">
        <v>90331.4</v>
      </c>
      <c r="DI115" s="89"/>
      <c r="DJ115" s="89"/>
      <c r="DK115" s="89">
        <v>27459.8</v>
      </c>
      <c r="DL115" s="89">
        <v>-4234.3999999999996</v>
      </c>
      <c r="DM115" s="88"/>
      <c r="DN115" s="89"/>
      <c r="DO115" s="89"/>
      <c r="DP115" s="89"/>
      <c r="DQ115" s="89"/>
      <c r="DR115" s="89"/>
      <c r="DS115" s="88"/>
      <c r="DT115" s="89"/>
      <c r="DU115" s="89"/>
      <c r="DV115" s="89"/>
      <c r="DW115" s="89"/>
      <c r="DX115" s="89"/>
      <c r="DY115" s="88"/>
      <c r="DZ115" s="89"/>
      <c r="EA115" s="89"/>
      <c r="EB115" s="89"/>
      <c r="EC115" s="89"/>
      <c r="ED115" s="89"/>
      <c r="EE115" s="88"/>
      <c r="EF115" s="89"/>
      <c r="EG115" s="89"/>
      <c r="EH115" s="89"/>
      <c r="EI115" s="89"/>
      <c r="EJ115" s="89"/>
      <c r="EK115" s="88">
        <v>6317941.2391012385</v>
      </c>
      <c r="EL115" s="89">
        <f t="shared" si="2"/>
        <v>88300.078000000009</v>
      </c>
      <c r="EM115" s="89">
        <v>-2710.7530000000261</v>
      </c>
      <c r="EN115" s="89">
        <v>91010.831000000035</v>
      </c>
      <c r="EO115" s="89">
        <v>6130150.3619999988</v>
      </c>
      <c r="EP115" s="89">
        <v>99490.799101240002</v>
      </c>
      <c r="EQ115" s="88"/>
      <c r="ER115" s="89"/>
      <c r="ES115" s="89"/>
      <c r="ET115" s="89"/>
      <c r="EU115" s="89"/>
      <c r="EV115" s="89"/>
      <c r="EW115" s="88"/>
      <c r="EX115" s="89"/>
      <c r="EY115" s="89"/>
      <c r="EZ115" s="89"/>
      <c r="FA115" s="89"/>
      <c r="FB115" s="89"/>
      <c r="FC115" s="88"/>
      <c r="FD115" s="89"/>
      <c r="FE115" s="89"/>
      <c r="FF115" s="89"/>
      <c r="FG115" s="89"/>
      <c r="FH115" s="89"/>
      <c r="FI115" s="88"/>
      <c r="FJ115" s="89"/>
      <c r="FK115" s="89"/>
      <c r="FL115" s="89"/>
      <c r="FM115" s="89"/>
      <c r="FN115" s="89"/>
      <c r="FO115" s="88"/>
      <c r="FP115" s="89"/>
      <c r="FQ115" s="89"/>
      <c r="FR115" s="89"/>
      <c r="FS115" s="89"/>
      <c r="FT115" s="89"/>
      <c r="FU115" s="88"/>
      <c r="FV115" s="89"/>
      <c r="FW115" s="89"/>
      <c r="FX115" s="89"/>
      <c r="FY115" s="89"/>
      <c r="FZ115" s="89"/>
      <c r="GA115" s="120"/>
      <c r="GB115" s="121"/>
      <c r="GC115" s="121"/>
      <c r="GD115" s="121"/>
      <c r="GE115" s="121"/>
      <c r="GF115" s="89"/>
      <c r="GG115" s="88"/>
      <c r="GH115" s="89"/>
      <c r="GI115" s="89"/>
      <c r="GJ115" s="89"/>
      <c r="GK115" s="89"/>
      <c r="GL115" s="89"/>
      <c r="GM115" s="88">
        <v>8297.2279999999992</v>
      </c>
      <c r="GN115" s="89">
        <v>998.67399999999998</v>
      </c>
      <c r="GO115" s="89">
        <v>959.18100000000004</v>
      </c>
      <c r="GP115" s="89">
        <v>39.493000000000002</v>
      </c>
      <c r="GQ115" s="89">
        <v>5870.9139999999998</v>
      </c>
      <c r="GR115" s="89">
        <v>1427.64</v>
      </c>
      <c r="GS115" s="88"/>
      <c r="GT115" s="87"/>
      <c r="GU115" s="87"/>
      <c r="GV115" s="87"/>
      <c r="GW115" s="87"/>
      <c r="GX115" s="87"/>
      <c r="GY115" s="87"/>
      <c r="GZ115" s="88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8"/>
      <c r="HM115" s="87"/>
      <c r="HN115" s="87"/>
      <c r="HO115" s="87"/>
      <c r="HP115" s="87"/>
      <c r="HQ115" s="87"/>
      <c r="HR115" s="87"/>
      <c r="HS115" s="87"/>
    </row>
    <row r="116" spans="1:231" ht="13.5" customHeight="1">
      <c r="A116" s="69"/>
      <c r="B116" s="87" t="s">
        <v>493</v>
      </c>
      <c r="C116" s="95"/>
      <c r="D116" s="92"/>
      <c r="E116" s="92"/>
      <c r="F116" s="92"/>
      <c r="G116" s="92"/>
      <c r="H116" s="92"/>
      <c r="I116" s="88">
        <v>85054.928999999989</v>
      </c>
      <c r="J116" s="89">
        <v>32150.335999999999</v>
      </c>
      <c r="K116" s="89"/>
      <c r="L116" s="89"/>
      <c r="M116" s="89">
        <v>71112.856999999989</v>
      </c>
      <c r="N116" s="89">
        <v>-18208.263999999999</v>
      </c>
      <c r="O116" s="90"/>
      <c r="P116" s="91"/>
      <c r="Q116" s="91"/>
      <c r="R116" s="91"/>
      <c r="S116" s="91"/>
      <c r="T116" s="91"/>
      <c r="U116" s="90"/>
      <c r="V116" s="91"/>
      <c r="W116" s="91"/>
      <c r="X116" s="91"/>
      <c r="Y116" s="91"/>
      <c r="Z116" s="91"/>
      <c r="AA116" s="88">
        <v>750.49199999999996</v>
      </c>
      <c r="AB116" s="89">
        <f t="shared" si="3"/>
        <v>118.88300000000001</v>
      </c>
      <c r="AC116" s="89">
        <v>106.30800000000001</v>
      </c>
      <c r="AD116" s="89">
        <v>12.574999999999999</v>
      </c>
      <c r="AE116" s="89">
        <v>631.60900000000004</v>
      </c>
      <c r="AF116" s="89"/>
      <c r="AG116" s="88">
        <v>35140.746288893999</v>
      </c>
      <c r="AH116" s="89">
        <v>5103.5422888940002</v>
      </c>
      <c r="AI116" s="89">
        <v>5103.5422888940002</v>
      </c>
      <c r="AJ116" s="89"/>
      <c r="AK116" s="89">
        <v>30037.204000000002</v>
      </c>
      <c r="AL116" s="89"/>
      <c r="AM116" s="88"/>
      <c r="AN116" s="89"/>
      <c r="AO116" s="89"/>
      <c r="AP116" s="89"/>
      <c r="AQ116" s="89"/>
      <c r="AR116" s="89"/>
      <c r="AS116" s="88">
        <v>22428000</v>
      </c>
      <c r="AT116" s="89">
        <f t="shared" si="5"/>
        <v>1098000</v>
      </c>
      <c r="AU116" s="89">
        <v>1098000</v>
      </c>
      <c r="AV116" s="89"/>
      <c r="AW116" s="89">
        <v>23287000</v>
      </c>
      <c r="AX116" s="89">
        <v>-1957000</v>
      </c>
      <c r="AY116" s="88"/>
      <c r="AZ116" s="89"/>
      <c r="BA116" s="89"/>
      <c r="BB116" s="89"/>
      <c r="BC116" s="89"/>
      <c r="BD116" s="89"/>
      <c r="BE116" s="88"/>
      <c r="BF116" s="89"/>
      <c r="BG116" s="89"/>
      <c r="BH116" s="89"/>
      <c r="BI116" s="89"/>
      <c r="BJ116" s="89"/>
      <c r="BK116" s="88"/>
      <c r="BL116" s="89"/>
      <c r="BM116" s="89"/>
      <c r="BN116" s="89"/>
      <c r="BO116" s="89"/>
      <c r="BP116" s="89"/>
      <c r="BQ116" s="88"/>
      <c r="BR116" s="89"/>
      <c r="BS116" s="89"/>
      <c r="BT116" s="89"/>
      <c r="BU116" s="89"/>
      <c r="BV116" s="89"/>
      <c r="BW116" s="88"/>
      <c r="BX116" s="89"/>
      <c r="BY116" s="89"/>
      <c r="BZ116" s="89"/>
      <c r="CA116" s="89"/>
      <c r="CB116" s="89"/>
      <c r="CC116" s="88"/>
      <c r="CD116" s="89"/>
      <c r="CE116" s="89"/>
      <c r="CF116" s="89"/>
      <c r="CG116" s="89"/>
      <c r="CH116" s="89"/>
      <c r="CI116" s="88"/>
      <c r="CJ116" s="89"/>
      <c r="CK116" s="89"/>
      <c r="CL116" s="89"/>
      <c r="CM116" s="89"/>
      <c r="CN116" s="89"/>
      <c r="CO116" s="88"/>
      <c r="CP116" s="89"/>
      <c r="CQ116" s="89"/>
      <c r="CR116" s="89"/>
      <c r="CS116" s="89"/>
      <c r="CT116" s="89"/>
      <c r="CU116" s="88">
        <f t="shared" si="4"/>
        <v>16214.183590000001</v>
      </c>
      <c r="CV116" s="89">
        <v>6439.2846299999992</v>
      </c>
      <c r="CW116" s="89">
        <v>6511.8678999999993</v>
      </c>
      <c r="CX116" s="89">
        <v>-72.583269999999999</v>
      </c>
      <c r="CY116" s="89">
        <v>9774.8989600000004</v>
      </c>
      <c r="CZ116" s="89"/>
      <c r="DA116" s="88"/>
      <c r="DB116" s="89"/>
      <c r="DC116" s="89"/>
      <c r="DD116" s="89"/>
      <c r="DE116" s="89"/>
      <c r="DF116" s="89"/>
      <c r="DG116" s="88">
        <v>119874</v>
      </c>
      <c r="DH116" s="89">
        <v>93807.8</v>
      </c>
      <c r="DI116" s="89"/>
      <c r="DJ116" s="89"/>
      <c r="DK116" s="89">
        <v>28210.2</v>
      </c>
      <c r="DL116" s="89">
        <v>-2144</v>
      </c>
      <c r="DM116" s="88"/>
      <c r="DN116" s="89"/>
      <c r="DO116" s="89"/>
      <c r="DP116" s="89"/>
      <c r="DQ116" s="89"/>
      <c r="DR116" s="89"/>
      <c r="DS116" s="88"/>
      <c r="DT116" s="89"/>
      <c r="DU116" s="89"/>
      <c r="DV116" s="89"/>
      <c r="DW116" s="89"/>
      <c r="DX116" s="89"/>
      <c r="DY116" s="88"/>
      <c r="DZ116" s="89"/>
      <c r="EA116" s="89"/>
      <c r="EB116" s="89"/>
      <c r="EC116" s="89"/>
      <c r="ED116" s="89"/>
      <c r="EE116" s="88"/>
      <c r="EF116" s="89"/>
      <c r="EG116" s="89"/>
      <c r="EH116" s="89"/>
      <c r="EI116" s="89"/>
      <c r="EJ116" s="89"/>
      <c r="EK116" s="88">
        <v>5931474.5826630406</v>
      </c>
      <c r="EL116" s="89">
        <f t="shared" si="2"/>
        <v>117386.95099999984</v>
      </c>
      <c r="EM116" s="89">
        <v>56623.258999999845</v>
      </c>
      <c r="EN116" s="89">
        <v>60763.691999999995</v>
      </c>
      <c r="EO116" s="89">
        <v>5720678.745000001</v>
      </c>
      <c r="EP116" s="89">
        <v>93408.886663039986</v>
      </c>
      <c r="EQ116" s="88"/>
      <c r="ER116" s="89"/>
      <c r="ES116" s="89"/>
      <c r="ET116" s="89"/>
      <c r="EU116" s="89"/>
      <c r="EV116" s="89"/>
      <c r="EW116" s="88"/>
      <c r="EX116" s="89"/>
      <c r="EY116" s="89"/>
      <c r="EZ116" s="89"/>
      <c r="FA116" s="89"/>
      <c r="FB116" s="89"/>
      <c r="FC116" s="88"/>
      <c r="FD116" s="89"/>
      <c r="FE116" s="89"/>
      <c r="FF116" s="89"/>
      <c r="FG116" s="89"/>
      <c r="FH116" s="89"/>
      <c r="FI116" s="88"/>
      <c r="FJ116" s="89"/>
      <c r="FK116" s="89"/>
      <c r="FL116" s="89"/>
      <c r="FM116" s="89"/>
      <c r="FN116" s="89"/>
      <c r="FO116" s="88"/>
      <c r="FP116" s="89"/>
      <c r="FQ116" s="89"/>
      <c r="FR116" s="89"/>
      <c r="FS116" s="89"/>
      <c r="FT116" s="89"/>
      <c r="FU116" s="88"/>
      <c r="FV116" s="89"/>
      <c r="FW116" s="89"/>
      <c r="FX116" s="89"/>
      <c r="FY116" s="89"/>
      <c r="FZ116" s="89"/>
      <c r="GA116" s="120"/>
      <c r="GB116" s="121"/>
      <c r="GC116" s="121"/>
      <c r="GD116" s="121"/>
      <c r="GE116" s="121"/>
      <c r="GF116" s="89"/>
      <c r="GG116" s="88"/>
      <c r="GH116" s="89"/>
      <c r="GI116" s="89"/>
      <c r="GJ116" s="89"/>
      <c r="GK116" s="89"/>
      <c r="GL116" s="89"/>
      <c r="GM116" s="88">
        <v>8247.6229999999996</v>
      </c>
      <c r="GN116" s="89">
        <v>1030.0119999999999</v>
      </c>
      <c r="GO116" s="89">
        <v>989.08600000000001</v>
      </c>
      <c r="GP116" s="89">
        <v>40.926000000000002</v>
      </c>
      <c r="GQ116" s="89">
        <v>5876.6009999999997</v>
      </c>
      <c r="GR116" s="89">
        <v>1341.01</v>
      </c>
      <c r="GS116" s="88"/>
      <c r="GT116" s="92"/>
      <c r="GU116" s="92"/>
      <c r="GV116" s="92"/>
      <c r="GW116" s="92"/>
      <c r="GX116" s="92"/>
      <c r="GY116" s="92"/>
      <c r="GZ116" s="95"/>
      <c r="HA116" s="92"/>
      <c r="HB116" s="92"/>
      <c r="HC116" s="92"/>
      <c r="HD116" s="92"/>
      <c r="HE116" s="92"/>
      <c r="HF116" s="92"/>
      <c r="HG116" s="92"/>
      <c r="HH116" s="92"/>
      <c r="HI116" s="92"/>
      <c r="HJ116" s="92"/>
      <c r="HK116" s="92"/>
      <c r="HL116" s="95"/>
      <c r="HM116" s="92"/>
      <c r="HN116" s="92"/>
      <c r="HO116" s="92"/>
      <c r="HP116" s="87"/>
      <c r="HQ116" s="87"/>
      <c r="HR116" s="87"/>
      <c r="HS116" s="87"/>
      <c r="HT116" s="97"/>
      <c r="HU116" s="97"/>
      <c r="HV116" s="97"/>
      <c r="HW116" s="97"/>
    </row>
    <row r="117" spans="1:231" ht="13.5" customHeight="1">
      <c r="A117" s="69"/>
      <c r="B117" s="92" t="s">
        <v>494</v>
      </c>
      <c r="C117" s="88"/>
      <c r="D117" s="87"/>
      <c r="E117" s="87"/>
      <c r="F117" s="87"/>
      <c r="G117" s="87"/>
      <c r="H117" s="87"/>
      <c r="I117" s="95">
        <v>84645.702999999994</v>
      </c>
      <c r="J117" s="98">
        <v>32815.601999999999</v>
      </c>
      <c r="K117" s="98"/>
      <c r="L117" s="98"/>
      <c r="M117" s="98">
        <v>70864.519</v>
      </c>
      <c r="N117" s="98">
        <v>-19034.418000000001</v>
      </c>
      <c r="O117" s="95"/>
      <c r="P117" s="98"/>
      <c r="Q117" s="98"/>
      <c r="R117" s="98"/>
      <c r="S117" s="98"/>
      <c r="T117" s="98"/>
      <c r="U117" s="95"/>
      <c r="V117" s="98"/>
      <c r="W117" s="98"/>
      <c r="X117" s="98"/>
      <c r="Y117" s="98"/>
      <c r="Z117" s="98"/>
      <c r="AA117" s="95">
        <v>759.88199999999995</v>
      </c>
      <c r="AB117" s="98">
        <f t="shared" si="3"/>
        <v>127.30800000000001</v>
      </c>
      <c r="AC117" s="98">
        <v>118.26600000000001</v>
      </c>
      <c r="AD117" s="98">
        <v>9.0419999999999998</v>
      </c>
      <c r="AE117" s="98">
        <v>632.57399999999996</v>
      </c>
      <c r="AF117" s="98"/>
      <c r="AG117" s="95">
        <v>35094.273311338002</v>
      </c>
      <c r="AH117" s="98">
        <v>5023.1683113380004</v>
      </c>
      <c r="AI117" s="98">
        <v>5023.1683113380004</v>
      </c>
      <c r="AJ117" s="98"/>
      <c r="AK117" s="98">
        <v>30071.1</v>
      </c>
      <c r="AL117" s="98"/>
      <c r="AM117" s="95"/>
      <c r="AN117" s="98"/>
      <c r="AO117" s="98"/>
      <c r="AP117" s="98"/>
      <c r="AQ117" s="98"/>
      <c r="AR117" s="98"/>
      <c r="AS117" s="95">
        <v>22391000</v>
      </c>
      <c r="AT117" s="98">
        <f t="shared" si="5"/>
        <v>1474000</v>
      </c>
      <c r="AU117" s="98">
        <v>1474000</v>
      </c>
      <c r="AV117" s="98"/>
      <c r="AW117" s="98">
        <v>23200000</v>
      </c>
      <c r="AX117" s="98">
        <v>-2283000</v>
      </c>
      <c r="AY117" s="95"/>
      <c r="AZ117" s="98"/>
      <c r="BA117" s="98"/>
      <c r="BB117" s="98"/>
      <c r="BC117" s="98"/>
      <c r="BD117" s="98"/>
      <c r="BE117" s="95"/>
      <c r="BF117" s="98"/>
      <c r="BG117" s="98"/>
      <c r="BH117" s="98"/>
      <c r="BI117" s="98"/>
      <c r="BJ117" s="98"/>
      <c r="BK117" s="95"/>
      <c r="BL117" s="98"/>
      <c r="BM117" s="98"/>
      <c r="BN117" s="98"/>
      <c r="BO117" s="98"/>
      <c r="BP117" s="98"/>
      <c r="BQ117" s="95"/>
      <c r="BR117" s="98"/>
      <c r="BS117" s="98"/>
      <c r="BT117" s="98"/>
      <c r="BU117" s="98"/>
      <c r="BV117" s="98"/>
      <c r="BW117" s="95"/>
      <c r="BX117" s="98"/>
      <c r="BY117" s="98"/>
      <c r="BZ117" s="98"/>
      <c r="CA117" s="98"/>
      <c r="CB117" s="98"/>
      <c r="CC117" s="95"/>
      <c r="CD117" s="98"/>
      <c r="CE117" s="98"/>
      <c r="CF117" s="98"/>
      <c r="CG117" s="98"/>
      <c r="CH117" s="98"/>
      <c r="CI117" s="95"/>
      <c r="CJ117" s="98"/>
      <c r="CK117" s="98"/>
      <c r="CL117" s="98"/>
      <c r="CM117" s="98"/>
      <c r="CN117" s="98"/>
      <c r="CO117" s="95"/>
      <c r="CP117" s="98"/>
      <c r="CQ117" s="98"/>
      <c r="CR117" s="98"/>
      <c r="CS117" s="98"/>
      <c r="CT117" s="98"/>
      <c r="CU117" s="95">
        <f t="shared" si="4"/>
        <v>16382.221549999998</v>
      </c>
      <c r="CV117" s="98">
        <v>6562.8640100000002</v>
      </c>
      <c r="CW117" s="98">
        <v>6636.11031</v>
      </c>
      <c r="CX117" s="98">
        <v>-73.246299999999991</v>
      </c>
      <c r="CY117" s="98">
        <v>9819.3575399999991</v>
      </c>
      <c r="CZ117" s="98"/>
      <c r="DA117" s="95"/>
      <c r="DB117" s="98"/>
      <c r="DC117" s="98"/>
      <c r="DD117" s="98"/>
      <c r="DE117" s="98"/>
      <c r="DF117" s="98"/>
      <c r="DG117" s="95">
        <v>116387.4</v>
      </c>
      <c r="DH117" s="98">
        <v>91702.6</v>
      </c>
      <c r="DI117" s="98"/>
      <c r="DJ117" s="98"/>
      <c r="DK117" s="98">
        <v>27156.9</v>
      </c>
      <c r="DL117" s="98">
        <v>-2472.1</v>
      </c>
      <c r="DM117" s="95"/>
      <c r="DN117" s="98"/>
      <c r="DO117" s="98"/>
      <c r="DP117" s="98"/>
      <c r="DQ117" s="98"/>
      <c r="DR117" s="98"/>
      <c r="DS117" s="95"/>
      <c r="DT117" s="98"/>
      <c r="DU117" s="98"/>
      <c r="DV117" s="98"/>
      <c r="DW117" s="98"/>
      <c r="DX117" s="98"/>
      <c r="DY117" s="95"/>
      <c r="DZ117" s="98"/>
      <c r="EA117" s="98"/>
      <c r="EB117" s="98"/>
      <c r="EC117" s="98"/>
      <c r="ED117" s="98"/>
      <c r="EE117" s="95"/>
      <c r="EF117" s="98"/>
      <c r="EG117" s="98"/>
      <c r="EH117" s="98"/>
      <c r="EI117" s="98"/>
      <c r="EJ117" s="98"/>
      <c r="EK117" s="88">
        <v>6215055.4529999997</v>
      </c>
      <c r="EL117" s="89">
        <f t="shared" si="2"/>
        <v>158194.69199999978</v>
      </c>
      <c r="EM117" s="89">
        <v>41155.468999999808</v>
      </c>
      <c r="EN117" s="98">
        <v>117039.22299999997</v>
      </c>
      <c r="EO117" s="98">
        <v>5976731.9699999997</v>
      </c>
      <c r="EP117" s="98">
        <v>80128.790999999983</v>
      </c>
      <c r="EQ117" s="95"/>
      <c r="ER117" s="98"/>
      <c r="ES117" s="98"/>
      <c r="ET117" s="98"/>
      <c r="EU117" s="98"/>
      <c r="EV117" s="98"/>
      <c r="EW117" s="95"/>
      <c r="EX117" s="98"/>
      <c r="EY117" s="98"/>
      <c r="EZ117" s="98"/>
      <c r="FA117" s="98"/>
      <c r="FB117" s="98"/>
      <c r="FC117" s="95"/>
      <c r="FD117" s="98"/>
      <c r="FE117" s="98"/>
      <c r="FF117" s="98"/>
      <c r="FG117" s="98"/>
      <c r="FH117" s="98"/>
      <c r="FI117" s="95"/>
      <c r="FJ117" s="98"/>
      <c r="FK117" s="98"/>
      <c r="FL117" s="98"/>
      <c r="FM117" s="98"/>
      <c r="FN117" s="98"/>
      <c r="FO117" s="95"/>
      <c r="FP117" s="98"/>
      <c r="FQ117" s="98"/>
      <c r="FR117" s="98"/>
      <c r="FS117" s="98"/>
      <c r="FT117" s="98"/>
      <c r="FU117" s="95"/>
      <c r="FV117" s="98"/>
      <c r="FW117" s="98"/>
      <c r="FX117" s="98"/>
      <c r="FY117" s="98"/>
      <c r="FZ117" s="98"/>
      <c r="GA117" s="120">
        <v>16924.5</v>
      </c>
      <c r="GB117" s="121">
        <v>4675.8999999999996</v>
      </c>
      <c r="GC117" s="121">
        <v>1721.9</v>
      </c>
      <c r="GD117" s="121">
        <v>2954</v>
      </c>
      <c r="GE117" s="121">
        <v>12248.7</v>
      </c>
      <c r="GF117" s="98"/>
      <c r="GG117" s="95"/>
      <c r="GH117" s="98"/>
      <c r="GI117" s="98"/>
      <c r="GJ117" s="98"/>
      <c r="GK117" s="98"/>
      <c r="GL117" s="98"/>
      <c r="GM117" s="95">
        <v>8395.5010000000002</v>
      </c>
      <c r="GN117" s="98">
        <v>1176.479</v>
      </c>
      <c r="GO117" s="98">
        <v>1155.942</v>
      </c>
      <c r="GP117" s="98">
        <v>20.536999999999999</v>
      </c>
      <c r="GQ117" s="98">
        <v>5835.5190000000002</v>
      </c>
      <c r="GR117" s="98">
        <v>1383.5029999999999</v>
      </c>
      <c r="GS117" s="95"/>
      <c r="GT117" s="87"/>
      <c r="GU117" s="87"/>
      <c r="GV117" s="87"/>
      <c r="GW117" s="87"/>
      <c r="GX117" s="87"/>
      <c r="GY117" s="87"/>
      <c r="GZ117" s="88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8"/>
      <c r="HM117" s="87"/>
      <c r="HN117" s="87"/>
      <c r="HO117" s="87"/>
      <c r="HP117" s="87"/>
      <c r="HQ117" s="87"/>
      <c r="HR117" s="87"/>
      <c r="HS117" s="87"/>
    </row>
    <row r="118" spans="1:231" ht="13.5" customHeight="1">
      <c r="A118" s="69"/>
      <c r="B118" s="87" t="s">
        <v>495</v>
      </c>
      <c r="C118" s="88"/>
      <c r="D118" s="87"/>
      <c r="E118" s="87"/>
      <c r="F118" s="87"/>
      <c r="G118" s="87"/>
      <c r="H118" s="87"/>
      <c r="I118" s="88">
        <v>85832.719000000012</v>
      </c>
      <c r="J118" s="89">
        <v>33111.114999999998</v>
      </c>
      <c r="K118" s="89"/>
      <c r="L118" s="89"/>
      <c r="M118" s="89">
        <v>70453.914000000004</v>
      </c>
      <c r="N118" s="89">
        <v>-17732.310000000001</v>
      </c>
      <c r="O118" s="90"/>
      <c r="P118" s="91"/>
      <c r="Q118" s="91"/>
      <c r="R118" s="91"/>
      <c r="S118" s="91"/>
      <c r="T118" s="91"/>
      <c r="U118" s="90"/>
      <c r="V118" s="91"/>
      <c r="W118" s="91"/>
      <c r="X118" s="91"/>
      <c r="Y118" s="91"/>
      <c r="Z118" s="91"/>
      <c r="AA118" s="88">
        <v>771.45799999999997</v>
      </c>
      <c r="AB118" s="89">
        <f t="shared" si="3"/>
        <v>139.452</v>
      </c>
      <c r="AC118" s="89">
        <v>129.749</v>
      </c>
      <c r="AD118" s="89">
        <v>9.7029999999999994</v>
      </c>
      <c r="AE118" s="89">
        <v>632.00599999999997</v>
      </c>
      <c r="AF118" s="89"/>
      <c r="AG118" s="88">
        <v>35426.288390025999</v>
      </c>
      <c r="AH118" s="89">
        <v>5124.4573900260002</v>
      </c>
      <c r="AI118" s="89">
        <v>5124.4573900260002</v>
      </c>
      <c r="AJ118" s="89"/>
      <c r="AK118" s="89">
        <v>30301.830999999998</v>
      </c>
      <c r="AL118" s="89"/>
      <c r="AM118" s="88"/>
      <c r="AN118" s="89"/>
      <c r="AO118" s="89"/>
      <c r="AP118" s="89"/>
      <c r="AQ118" s="89"/>
      <c r="AR118" s="89"/>
      <c r="AS118" s="88">
        <v>22429000</v>
      </c>
      <c r="AT118" s="89">
        <f t="shared" si="5"/>
        <v>1526000</v>
      </c>
      <c r="AU118" s="89">
        <v>1526000</v>
      </c>
      <c r="AV118" s="89"/>
      <c r="AW118" s="89">
        <v>23338000</v>
      </c>
      <c r="AX118" s="89">
        <v>-2435000</v>
      </c>
      <c r="AY118" s="88"/>
      <c r="AZ118" s="89"/>
      <c r="BA118" s="89"/>
      <c r="BB118" s="89"/>
      <c r="BC118" s="89"/>
      <c r="BD118" s="89"/>
      <c r="BE118" s="88"/>
      <c r="BF118" s="89"/>
      <c r="BG118" s="89"/>
      <c r="BH118" s="89"/>
      <c r="BI118" s="89"/>
      <c r="BJ118" s="89"/>
      <c r="BK118" s="88"/>
      <c r="BL118" s="89"/>
      <c r="BM118" s="89"/>
      <c r="BN118" s="89"/>
      <c r="BO118" s="89"/>
      <c r="BP118" s="89"/>
      <c r="BQ118" s="88"/>
      <c r="BR118" s="89"/>
      <c r="BS118" s="89"/>
      <c r="BT118" s="89"/>
      <c r="BU118" s="89"/>
      <c r="BV118" s="89"/>
      <c r="BW118" s="88"/>
      <c r="BX118" s="89"/>
      <c r="BY118" s="89"/>
      <c r="BZ118" s="89"/>
      <c r="CA118" s="89"/>
      <c r="CB118" s="89"/>
      <c r="CC118" s="88"/>
      <c r="CD118" s="89"/>
      <c r="CE118" s="89"/>
      <c r="CF118" s="89"/>
      <c r="CG118" s="89"/>
      <c r="CH118" s="89"/>
      <c r="CI118" s="88"/>
      <c r="CJ118" s="89"/>
      <c r="CK118" s="89"/>
      <c r="CL118" s="89"/>
      <c r="CM118" s="89"/>
      <c r="CN118" s="89"/>
      <c r="CO118" s="88"/>
      <c r="CP118" s="89"/>
      <c r="CQ118" s="89"/>
      <c r="CR118" s="89"/>
      <c r="CS118" s="89"/>
      <c r="CT118" s="89"/>
      <c r="CU118" s="88">
        <f t="shared" si="4"/>
        <v>16742.304609999999</v>
      </c>
      <c r="CV118" s="89">
        <v>7016.9608400000016</v>
      </c>
      <c r="CW118" s="89">
        <v>7105.4570400000011</v>
      </c>
      <c r="CX118" s="89">
        <v>-88.496199999999988</v>
      </c>
      <c r="CY118" s="89">
        <v>9725.3437699999995</v>
      </c>
      <c r="CZ118" s="89"/>
      <c r="DA118" s="88"/>
      <c r="DB118" s="89"/>
      <c r="DC118" s="89"/>
      <c r="DD118" s="89"/>
      <c r="DE118" s="89"/>
      <c r="DF118" s="89"/>
      <c r="DG118" s="88">
        <v>121510.7</v>
      </c>
      <c r="DH118" s="89">
        <v>97544.7</v>
      </c>
      <c r="DI118" s="89"/>
      <c r="DJ118" s="89"/>
      <c r="DK118" s="89">
        <v>27707.7</v>
      </c>
      <c r="DL118" s="89">
        <v>-3741.7</v>
      </c>
      <c r="DM118" s="88"/>
      <c r="DN118" s="89"/>
      <c r="DO118" s="89"/>
      <c r="DP118" s="89"/>
      <c r="DQ118" s="89"/>
      <c r="DR118" s="89"/>
      <c r="DS118" s="88"/>
      <c r="DT118" s="89"/>
      <c r="DU118" s="89"/>
      <c r="DV118" s="89"/>
      <c r="DW118" s="89"/>
      <c r="DX118" s="89"/>
      <c r="DY118" s="88"/>
      <c r="DZ118" s="89"/>
      <c r="EA118" s="89"/>
      <c r="EB118" s="89"/>
      <c r="EC118" s="89"/>
      <c r="ED118" s="89"/>
      <c r="EE118" s="88"/>
      <c r="EF118" s="89"/>
      <c r="EG118" s="89"/>
      <c r="EH118" s="89"/>
      <c r="EI118" s="89"/>
      <c r="EJ118" s="89"/>
      <c r="EK118" s="88">
        <v>4994952.2880000016</v>
      </c>
      <c r="EL118" s="89">
        <f t="shared" si="2"/>
        <v>-1015423.7220000003</v>
      </c>
      <c r="EM118" s="89">
        <v>-1126899.6950000003</v>
      </c>
      <c r="EN118" s="89">
        <v>111475.97299999995</v>
      </c>
      <c r="EO118" s="89">
        <v>5928477.9960000012</v>
      </c>
      <c r="EP118" s="89">
        <v>81898.013999999996</v>
      </c>
      <c r="EQ118" s="88"/>
      <c r="ER118" s="89"/>
      <c r="ES118" s="89"/>
      <c r="ET118" s="89"/>
      <c r="EU118" s="89"/>
      <c r="EV118" s="89"/>
      <c r="EW118" s="88"/>
      <c r="EX118" s="89"/>
      <c r="EY118" s="89"/>
      <c r="EZ118" s="89"/>
      <c r="FA118" s="89"/>
      <c r="FB118" s="89"/>
      <c r="FC118" s="88"/>
      <c r="FD118" s="89"/>
      <c r="FE118" s="89"/>
      <c r="FF118" s="89"/>
      <c r="FG118" s="89"/>
      <c r="FH118" s="89"/>
      <c r="FI118" s="88"/>
      <c r="FJ118" s="89"/>
      <c r="FK118" s="89"/>
      <c r="FL118" s="89"/>
      <c r="FM118" s="89"/>
      <c r="FN118" s="89"/>
      <c r="FO118" s="88"/>
      <c r="FP118" s="89"/>
      <c r="FQ118" s="89"/>
      <c r="FR118" s="89"/>
      <c r="FS118" s="89"/>
      <c r="FT118" s="89"/>
      <c r="FU118" s="88"/>
      <c r="FV118" s="89"/>
      <c r="FW118" s="89"/>
      <c r="FX118" s="89"/>
      <c r="FY118" s="89"/>
      <c r="FZ118" s="89"/>
      <c r="GA118" s="120"/>
      <c r="GB118" s="121"/>
      <c r="GC118" s="121"/>
      <c r="GD118" s="121"/>
      <c r="GE118" s="121"/>
      <c r="GF118" s="89"/>
      <c r="GG118" s="88"/>
      <c r="GH118" s="89"/>
      <c r="GI118" s="89"/>
      <c r="GJ118" s="89"/>
      <c r="GK118" s="89"/>
      <c r="GL118" s="89"/>
      <c r="GM118" s="88">
        <v>8736.6779999999999</v>
      </c>
      <c r="GN118" s="89">
        <v>1167.2860000000001</v>
      </c>
      <c r="GO118" s="89">
        <v>1133.6849999999999</v>
      </c>
      <c r="GP118" s="89">
        <v>33.600999999999999</v>
      </c>
      <c r="GQ118" s="89">
        <v>5827.9030000000002</v>
      </c>
      <c r="GR118" s="89">
        <v>1741.489</v>
      </c>
      <c r="GS118" s="88"/>
      <c r="GT118" s="87"/>
      <c r="GU118" s="87"/>
      <c r="GV118" s="87"/>
      <c r="GW118" s="87"/>
      <c r="GX118" s="87"/>
      <c r="GY118" s="87"/>
      <c r="GZ118" s="88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8"/>
      <c r="HM118" s="87"/>
      <c r="HN118" s="87"/>
      <c r="HO118" s="87"/>
      <c r="HP118" s="87"/>
      <c r="HQ118" s="87"/>
      <c r="HR118" s="87"/>
      <c r="HS118" s="87"/>
    </row>
    <row r="119" spans="1:231" ht="13.5" customHeight="1">
      <c r="A119" s="69"/>
      <c r="B119" s="87" t="s">
        <v>496</v>
      </c>
      <c r="C119" s="88"/>
      <c r="D119" s="87"/>
      <c r="E119" s="87"/>
      <c r="F119" s="87"/>
      <c r="G119" s="87"/>
      <c r="H119" s="87"/>
      <c r="I119" s="88">
        <v>85657.394</v>
      </c>
      <c r="J119" s="89">
        <v>33075.112999999998</v>
      </c>
      <c r="K119" s="89"/>
      <c r="L119" s="89"/>
      <c r="M119" s="89">
        <v>70482.334000000003</v>
      </c>
      <c r="N119" s="89">
        <v>-17900.053</v>
      </c>
      <c r="O119" s="90"/>
      <c r="P119" s="91"/>
      <c r="Q119" s="91"/>
      <c r="R119" s="91"/>
      <c r="S119" s="91"/>
      <c r="T119" s="91"/>
      <c r="U119" s="90"/>
      <c r="V119" s="91"/>
      <c r="W119" s="91"/>
      <c r="X119" s="91"/>
      <c r="Y119" s="91"/>
      <c r="Z119" s="91"/>
      <c r="AA119" s="88">
        <v>761.577</v>
      </c>
      <c r="AB119" s="89">
        <f t="shared" si="3"/>
        <v>129.99</v>
      </c>
      <c r="AC119" s="89">
        <v>122.795</v>
      </c>
      <c r="AD119" s="89">
        <v>7.1950000000000003</v>
      </c>
      <c r="AE119" s="89">
        <v>631.58699999999999</v>
      </c>
      <c r="AF119" s="89"/>
      <c r="AG119" s="88">
        <v>35845.775659839004</v>
      </c>
      <c r="AH119" s="89">
        <v>5161.3416598390004</v>
      </c>
      <c r="AI119" s="89">
        <v>5161.3416598390004</v>
      </c>
      <c r="AJ119" s="89"/>
      <c r="AK119" s="89">
        <v>30684.434000000001</v>
      </c>
      <c r="AL119" s="89"/>
      <c r="AM119" s="88"/>
      <c r="AN119" s="89"/>
      <c r="AO119" s="89"/>
      <c r="AP119" s="89"/>
      <c r="AQ119" s="89"/>
      <c r="AR119" s="89"/>
      <c r="AS119" s="88">
        <v>22531000</v>
      </c>
      <c r="AT119" s="89">
        <f t="shared" si="5"/>
        <v>1595000</v>
      </c>
      <c r="AU119" s="89">
        <v>1595000</v>
      </c>
      <c r="AV119" s="89"/>
      <c r="AW119" s="89">
        <v>23512000</v>
      </c>
      <c r="AX119" s="89">
        <v>-2576000</v>
      </c>
      <c r="AY119" s="88"/>
      <c r="AZ119" s="89"/>
      <c r="BA119" s="89"/>
      <c r="BB119" s="89"/>
      <c r="BC119" s="89"/>
      <c r="BD119" s="89"/>
      <c r="BE119" s="88"/>
      <c r="BF119" s="89"/>
      <c r="BG119" s="89"/>
      <c r="BH119" s="89"/>
      <c r="BI119" s="89"/>
      <c r="BJ119" s="89"/>
      <c r="BK119" s="88"/>
      <c r="BL119" s="89"/>
      <c r="BM119" s="89"/>
      <c r="BN119" s="89"/>
      <c r="BO119" s="89"/>
      <c r="BP119" s="89"/>
      <c r="BQ119" s="88"/>
      <c r="BR119" s="89"/>
      <c r="BS119" s="89"/>
      <c r="BT119" s="89"/>
      <c r="BU119" s="89"/>
      <c r="BV119" s="89"/>
      <c r="BW119" s="88"/>
      <c r="BX119" s="89"/>
      <c r="BY119" s="89"/>
      <c r="BZ119" s="89"/>
      <c r="CA119" s="89"/>
      <c r="CB119" s="89"/>
      <c r="CC119" s="88"/>
      <c r="CD119" s="89"/>
      <c r="CE119" s="89"/>
      <c r="CF119" s="89"/>
      <c r="CG119" s="89"/>
      <c r="CH119" s="89"/>
      <c r="CI119" s="88"/>
      <c r="CJ119" s="89"/>
      <c r="CK119" s="89"/>
      <c r="CL119" s="89"/>
      <c r="CM119" s="89"/>
      <c r="CN119" s="89"/>
      <c r="CO119" s="88"/>
      <c r="CP119" s="89"/>
      <c r="CQ119" s="89"/>
      <c r="CR119" s="89"/>
      <c r="CS119" s="89"/>
      <c r="CT119" s="89"/>
      <c r="CU119" s="88">
        <f t="shared" si="4"/>
        <v>17073.534590000003</v>
      </c>
      <c r="CV119" s="89">
        <v>7188.4325200000003</v>
      </c>
      <c r="CW119" s="89">
        <v>7308.5877200000004</v>
      </c>
      <c r="CX119" s="89">
        <v>-120.15519999999999</v>
      </c>
      <c r="CY119" s="89">
        <v>9885.1020700000008</v>
      </c>
      <c r="CZ119" s="89"/>
      <c r="DA119" s="88"/>
      <c r="DB119" s="89"/>
      <c r="DC119" s="89"/>
      <c r="DD119" s="89"/>
      <c r="DE119" s="89"/>
      <c r="DF119" s="89"/>
      <c r="DG119" s="88">
        <v>126062.40000000001</v>
      </c>
      <c r="DH119" s="89">
        <v>101020.8</v>
      </c>
      <c r="DI119" s="89"/>
      <c r="DJ119" s="89"/>
      <c r="DK119" s="89">
        <v>27733.4</v>
      </c>
      <c r="DL119" s="89">
        <v>-2691.8</v>
      </c>
      <c r="DM119" s="88"/>
      <c r="DN119" s="89"/>
      <c r="DO119" s="89"/>
      <c r="DP119" s="89"/>
      <c r="DQ119" s="89"/>
      <c r="DR119" s="89"/>
      <c r="DS119" s="88"/>
      <c r="DT119" s="89"/>
      <c r="DU119" s="89"/>
      <c r="DV119" s="89"/>
      <c r="DW119" s="89"/>
      <c r="DX119" s="89"/>
      <c r="DY119" s="88"/>
      <c r="DZ119" s="89"/>
      <c r="EA119" s="89"/>
      <c r="EB119" s="89"/>
      <c r="EC119" s="89"/>
      <c r="ED119" s="89"/>
      <c r="EE119" s="88"/>
      <c r="EF119" s="89"/>
      <c r="EG119" s="89"/>
      <c r="EH119" s="89"/>
      <c r="EI119" s="89"/>
      <c r="EJ119" s="89"/>
      <c r="EK119" s="88">
        <v>5007432.6439999994</v>
      </c>
      <c r="EL119" s="89">
        <f t="shared" si="2"/>
        <v>-988579.51600000053</v>
      </c>
      <c r="EM119" s="89">
        <v>-1133085.5020000006</v>
      </c>
      <c r="EN119" s="89">
        <v>144505.986</v>
      </c>
      <c r="EO119" s="89">
        <v>5907718.6450000005</v>
      </c>
      <c r="EP119" s="89">
        <v>88293.514999999999</v>
      </c>
      <c r="EQ119" s="88"/>
      <c r="ER119" s="89"/>
      <c r="ES119" s="89"/>
      <c r="ET119" s="89"/>
      <c r="EU119" s="89"/>
      <c r="EV119" s="89"/>
      <c r="EW119" s="88"/>
      <c r="EX119" s="89"/>
      <c r="EY119" s="89"/>
      <c r="EZ119" s="89"/>
      <c r="FA119" s="89"/>
      <c r="FB119" s="89"/>
      <c r="FC119" s="88"/>
      <c r="FD119" s="89"/>
      <c r="FE119" s="89"/>
      <c r="FF119" s="89"/>
      <c r="FG119" s="89"/>
      <c r="FH119" s="89"/>
      <c r="FI119" s="88"/>
      <c r="FJ119" s="89"/>
      <c r="FK119" s="89"/>
      <c r="FL119" s="89"/>
      <c r="FM119" s="89"/>
      <c r="FN119" s="89"/>
      <c r="FO119" s="88"/>
      <c r="FP119" s="89"/>
      <c r="FQ119" s="89"/>
      <c r="FR119" s="89"/>
      <c r="FS119" s="89"/>
      <c r="FT119" s="89"/>
      <c r="FU119" s="88"/>
      <c r="FV119" s="89"/>
      <c r="FW119" s="89"/>
      <c r="FX119" s="89"/>
      <c r="FY119" s="89"/>
      <c r="FZ119" s="89"/>
      <c r="GA119" s="120"/>
      <c r="GB119" s="121"/>
      <c r="GC119" s="121"/>
      <c r="GD119" s="121"/>
      <c r="GE119" s="121"/>
      <c r="GF119" s="89"/>
      <c r="GG119" s="88"/>
      <c r="GH119" s="89"/>
      <c r="GI119" s="89"/>
      <c r="GJ119" s="89"/>
      <c r="GK119" s="89"/>
      <c r="GL119" s="89"/>
      <c r="GM119" s="88">
        <v>8625.2928272242989</v>
      </c>
      <c r="GN119" s="89">
        <v>1246.4385825813997</v>
      </c>
      <c r="GO119" s="89">
        <v>1210.6834251462999</v>
      </c>
      <c r="GP119" s="89">
        <v>35.755157435099825</v>
      </c>
      <c r="GQ119" s="89">
        <v>5868.5440887977002</v>
      </c>
      <c r="GR119" s="89">
        <v>1510.3101558451999</v>
      </c>
      <c r="GS119" s="88"/>
      <c r="GT119" s="87"/>
      <c r="GU119" s="87"/>
      <c r="GV119" s="87"/>
      <c r="GW119" s="87"/>
      <c r="GX119" s="87"/>
      <c r="GY119" s="87"/>
      <c r="GZ119" s="88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8"/>
      <c r="HM119" s="87"/>
      <c r="HN119" s="87"/>
      <c r="HO119" s="87"/>
      <c r="HP119" s="87"/>
      <c r="HQ119" s="87"/>
      <c r="HR119" s="87"/>
      <c r="HS119" s="87"/>
    </row>
    <row r="120" spans="1:231" ht="13.5" customHeight="1">
      <c r="A120" s="69"/>
      <c r="B120" s="87" t="s">
        <v>497</v>
      </c>
      <c r="C120" s="88"/>
      <c r="D120" s="87"/>
      <c r="E120" s="87"/>
      <c r="F120" s="87"/>
      <c r="G120" s="87"/>
      <c r="H120" s="87"/>
      <c r="I120" s="88">
        <v>85250.359999999986</v>
      </c>
      <c r="J120" s="89">
        <v>34621.728999999999</v>
      </c>
      <c r="K120" s="89"/>
      <c r="L120" s="89"/>
      <c r="M120" s="89">
        <v>70438.18299999999</v>
      </c>
      <c r="N120" s="89">
        <v>-19809.552</v>
      </c>
      <c r="O120" s="90"/>
      <c r="P120" s="91"/>
      <c r="Q120" s="91"/>
      <c r="R120" s="91"/>
      <c r="S120" s="91"/>
      <c r="T120" s="91"/>
      <c r="U120" s="90"/>
      <c r="V120" s="91"/>
      <c r="W120" s="91"/>
      <c r="X120" s="91"/>
      <c r="Y120" s="91"/>
      <c r="Z120" s="91"/>
      <c r="AA120" s="88">
        <v>782.35599999999999</v>
      </c>
      <c r="AB120" s="89">
        <f t="shared" si="3"/>
        <v>140.89500000000001</v>
      </c>
      <c r="AC120" s="89">
        <v>132.501</v>
      </c>
      <c r="AD120" s="89">
        <v>8.3940000000000001</v>
      </c>
      <c r="AE120" s="89">
        <v>641.46100000000001</v>
      </c>
      <c r="AF120" s="89"/>
      <c r="AG120" s="88">
        <v>36051.077823729996</v>
      </c>
      <c r="AH120" s="89">
        <v>5244.6278237299994</v>
      </c>
      <c r="AI120" s="89">
        <v>5244.6278237299994</v>
      </c>
      <c r="AJ120" s="89"/>
      <c r="AK120" s="89">
        <v>30806.45</v>
      </c>
      <c r="AL120" s="89"/>
      <c r="AM120" s="88"/>
      <c r="AN120" s="89"/>
      <c r="AO120" s="89"/>
      <c r="AP120" s="89"/>
      <c r="AQ120" s="89"/>
      <c r="AR120" s="89"/>
      <c r="AS120" s="88">
        <v>22585000</v>
      </c>
      <c r="AT120" s="89">
        <f t="shared" si="5"/>
        <v>1388000</v>
      </c>
      <c r="AU120" s="89">
        <v>1388000</v>
      </c>
      <c r="AV120" s="89"/>
      <c r="AW120" s="89">
        <v>23869000</v>
      </c>
      <c r="AX120" s="89">
        <v>-2672000</v>
      </c>
      <c r="AY120" s="88"/>
      <c r="AZ120" s="89"/>
      <c r="BA120" s="89"/>
      <c r="BB120" s="89"/>
      <c r="BC120" s="89"/>
      <c r="BD120" s="89"/>
      <c r="BE120" s="88"/>
      <c r="BF120" s="89"/>
      <c r="BG120" s="89"/>
      <c r="BH120" s="89"/>
      <c r="BI120" s="89"/>
      <c r="BJ120" s="89"/>
      <c r="BK120" s="88"/>
      <c r="BL120" s="89"/>
      <c r="BM120" s="89"/>
      <c r="BN120" s="89"/>
      <c r="BO120" s="89"/>
      <c r="BP120" s="89"/>
      <c r="BQ120" s="88"/>
      <c r="BR120" s="89"/>
      <c r="BS120" s="89"/>
      <c r="BT120" s="89"/>
      <c r="BU120" s="89"/>
      <c r="BV120" s="89"/>
      <c r="BW120" s="88"/>
      <c r="BX120" s="89"/>
      <c r="BY120" s="89"/>
      <c r="BZ120" s="89"/>
      <c r="CA120" s="89"/>
      <c r="CB120" s="89"/>
      <c r="CC120" s="88"/>
      <c r="CD120" s="89"/>
      <c r="CE120" s="89"/>
      <c r="CF120" s="89"/>
      <c r="CG120" s="89"/>
      <c r="CH120" s="89"/>
      <c r="CI120" s="88"/>
      <c r="CJ120" s="89"/>
      <c r="CK120" s="89"/>
      <c r="CL120" s="89"/>
      <c r="CM120" s="89"/>
      <c r="CN120" s="89"/>
      <c r="CO120" s="88"/>
      <c r="CP120" s="89"/>
      <c r="CQ120" s="89"/>
      <c r="CR120" s="89"/>
      <c r="CS120" s="89"/>
      <c r="CT120" s="89"/>
      <c r="CU120" s="88">
        <f t="shared" si="4"/>
        <v>17337.92627</v>
      </c>
      <c r="CV120" s="89">
        <v>7416.8485299999993</v>
      </c>
      <c r="CW120" s="89">
        <v>7455.7805299999991</v>
      </c>
      <c r="CX120" s="89">
        <v>-38.932000000000002</v>
      </c>
      <c r="CY120" s="89">
        <v>9921.0777400000006</v>
      </c>
      <c r="CZ120" s="89"/>
      <c r="DA120" s="88"/>
      <c r="DB120" s="89"/>
      <c r="DC120" s="89"/>
      <c r="DD120" s="89"/>
      <c r="DE120" s="89"/>
      <c r="DF120" s="89"/>
      <c r="DG120" s="88">
        <v>123965.3</v>
      </c>
      <c r="DH120" s="89">
        <v>99040.1</v>
      </c>
      <c r="DI120" s="89"/>
      <c r="DJ120" s="89"/>
      <c r="DK120" s="89">
        <v>27279.5</v>
      </c>
      <c r="DL120" s="89">
        <v>-2354.3000000000002</v>
      </c>
      <c r="DM120" s="88"/>
      <c r="DN120" s="89"/>
      <c r="DO120" s="89"/>
      <c r="DP120" s="89"/>
      <c r="DQ120" s="89"/>
      <c r="DR120" s="89"/>
      <c r="DS120" s="88"/>
      <c r="DT120" s="89"/>
      <c r="DU120" s="89"/>
      <c r="DV120" s="89"/>
      <c r="DW120" s="89"/>
      <c r="DX120" s="89"/>
      <c r="DY120" s="88"/>
      <c r="DZ120" s="89"/>
      <c r="EA120" s="89"/>
      <c r="EB120" s="89"/>
      <c r="EC120" s="89"/>
      <c r="ED120" s="89"/>
      <c r="EE120" s="88"/>
      <c r="EF120" s="89"/>
      <c r="EG120" s="89"/>
      <c r="EH120" s="89"/>
      <c r="EI120" s="89"/>
      <c r="EJ120" s="89"/>
      <c r="EK120" s="88">
        <v>5219643.1790000005</v>
      </c>
      <c r="EL120" s="89">
        <f t="shared" si="2"/>
        <v>-926266.85699999996</v>
      </c>
      <c r="EM120" s="89">
        <v>-1091922.166</v>
      </c>
      <c r="EN120" s="89">
        <v>165655.30899999998</v>
      </c>
      <c r="EO120" s="89">
        <v>6048467.5930000003</v>
      </c>
      <c r="EP120" s="89">
        <v>97442.442999999999</v>
      </c>
      <c r="EQ120" s="88"/>
      <c r="ER120" s="89"/>
      <c r="ES120" s="89"/>
      <c r="ET120" s="89"/>
      <c r="EU120" s="89"/>
      <c r="EV120" s="89"/>
      <c r="EW120" s="88"/>
      <c r="EX120" s="89"/>
      <c r="EY120" s="89"/>
      <c r="EZ120" s="89"/>
      <c r="FA120" s="89"/>
      <c r="FB120" s="89"/>
      <c r="FC120" s="88"/>
      <c r="FD120" s="89"/>
      <c r="FE120" s="89"/>
      <c r="FF120" s="89"/>
      <c r="FG120" s="89"/>
      <c r="FH120" s="89"/>
      <c r="FI120" s="88"/>
      <c r="FJ120" s="89"/>
      <c r="FK120" s="89"/>
      <c r="FL120" s="89"/>
      <c r="FM120" s="89"/>
      <c r="FN120" s="89"/>
      <c r="FO120" s="88"/>
      <c r="FP120" s="89"/>
      <c r="FQ120" s="89"/>
      <c r="FR120" s="89"/>
      <c r="FS120" s="89"/>
      <c r="FT120" s="89"/>
      <c r="FU120" s="88"/>
      <c r="FV120" s="89"/>
      <c r="FW120" s="89"/>
      <c r="FX120" s="89"/>
      <c r="FY120" s="89"/>
      <c r="FZ120" s="89"/>
      <c r="GA120" s="120">
        <v>15100.8</v>
      </c>
      <c r="GB120" s="121">
        <v>2238.4</v>
      </c>
      <c r="GC120" s="121">
        <v>76.099999999999994</v>
      </c>
      <c r="GD120" s="121">
        <v>2162.3000000000002</v>
      </c>
      <c r="GE120" s="121">
        <v>12862.5</v>
      </c>
      <c r="GF120" s="89"/>
      <c r="GG120" s="88"/>
      <c r="GH120" s="89"/>
      <c r="GI120" s="89"/>
      <c r="GJ120" s="89"/>
      <c r="GK120" s="89"/>
      <c r="GL120" s="89"/>
      <c r="GM120" s="88">
        <v>8611.7274354547008</v>
      </c>
      <c r="GN120" s="89">
        <v>1219.5384854112999</v>
      </c>
      <c r="GO120" s="89">
        <v>1168.1118743336999</v>
      </c>
      <c r="GP120" s="89">
        <v>51.426611077599929</v>
      </c>
      <c r="GQ120" s="89">
        <v>6014.4602116153992</v>
      </c>
      <c r="GR120" s="89">
        <v>1377.728738428</v>
      </c>
      <c r="GS120" s="88"/>
      <c r="GT120" s="87"/>
      <c r="GU120" s="87"/>
      <c r="GV120" s="87"/>
      <c r="GW120" s="87"/>
      <c r="GX120" s="87"/>
      <c r="GY120" s="87"/>
      <c r="GZ120" s="88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8"/>
      <c r="HM120" s="87"/>
      <c r="HN120" s="87"/>
      <c r="HO120" s="87"/>
      <c r="HP120" s="87"/>
      <c r="HQ120" s="87"/>
      <c r="HR120" s="87"/>
      <c r="HS120" s="87"/>
    </row>
    <row r="121" spans="1:231" ht="13.5" customHeight="1">
      <c r="A121" s="69"/>
      <c r="B121" s="87" t="s">
        <v>498</v>
      </c>
      <c r="C121" s="88"/>
      <c r="D121" s="87"/>
      <c r="E121" s="87"/>
      <c r="F121" s="87"/>
      <c r="G121" s="87"/>
      <c r="H121" s="87"/>
      <c r="I121" s="88">
        <v>85772.170000000013</v>
      </c>
      <c r="J121" s="89">
        <v>34267.120999999999</v>
      </c>
      <c r="K121" s="89"/>
      <c r="L121" s="89"/>
      <c r="M121" s="89">
        <v>70414.153000000006</v>
      </c>
      <c r="N121" s="89">
        <v>-18909.103999999999</v>
      </c>
      <c r="O121" s="90"/>
      <c r="P121" s="91"/>
      <c r="Q121" s="91"/>
      <c r="R121" s="91"/>
      <c r="S121" s="91"/>
      <c r="T121" s="91"/>
      <c r="U121" s="90"/>
      <c r="V121" s="91"/>
      <c r="W121" s="91"/>
      <c r="X121" s="91"/>
      <c r="Y121" s="91"/>
      <c r="Z121" s="91"/>
      <c r="AA121" s="88">
        <v>751.49099999999999</v>
      </c>
      <c r="AB121" s="89">
        <f t="shared" si="3"/>
        <v>108.986</v>
      </c>
      <c r="AC121" s="89">
        <v>100.45</v>
      </c>
      <c r="AD121" s="89">
        <v>8.5359999999999996</v>
      </c>
      <c r="AE121" s="89">
        <v>642.505</v>
      </c>
      <c r="AF121" s="89"/>
      <c r="AG121" s="88">
        <v>36658.436668517999</v>
      </c>
      <c r="AH121" s="89">
        <v>5548.6676685179991</v>
      </c>
      <c r="AI121" s="89">
        <v>5548.6676685179991</v>
      </c>
      <c r="AJ121" s="89"/>
      <c r="AK121" s="89">
        <v>31109.769</v>
      </c>
      <c r="AL121" s="89"/>
      <c r="AM121" s="88"/>
      <c r="AN121" s="89"/>
      <c r="AO121" s="89"/>
      <c r="AP121" s="89"/>
      <c r="AQ121" s="89"/>
      <c r="AR121" s="89"/>
      <c r="AS121" s="88">
        <v>22232000</v>
      </c>
      <c r="AT121" s="89">
        <f t="shared" si="5"/>
        <v>1545000</v>
      </c>
      <c r="AU121" s="89">
        <v>1545000</v>
      </c>
      <c r="AV121" s="89"/>
      <c r="AW121" s="89">
        <v>23769000</v>
      </c>
      <c r="AX121" s="89">
        <v>-3082000</v>
      </c>
      <c r="AY121" s="88"/>
      <c r="AZ121" s="89"/>
      <c r="BA121" s="89"/>
      <c r="BB121" s="89"/>
      <c r="BC121" s="89"/>
      <c r="BD121" s="89"/>
      <c r="BE121" s="88"/>
      <c r="BF121" s="89"/>
      <c r="BG121" s="89"/>
      <c r="BH121" s="89"/>
      <c r="BI121" s="89"/>
      <c r="BJ121" s="89"/>
      <c r="BK121" s="88"/>
      <c r="BL121" s="89"/>
      <c r="BM121" s="89"/>
      <c r="BN121" s="89"/>
      <c r="BO121" s="89"/>
      <c r="BP121" s="89"/>
      <c r="BQ121" s="88"/>
      <c r="BR121" s="89"/>
      <c r="BS121" s="89"/>
      <c r="BT121" s="89"/>
      <c r="BU121" s="89"/>
      <c r="BV121" s="89"/>
      <c r="BW121" s="88"/>
      <c r="BX121" s="89"/>
      <c r="BY121" s="89"/>
      <c r="BZ121" s="89"/>
      <c r="CA121" s="89"/>
      <c r="CB121" s="89"/>
      <c r="CC121" s="88"/>
      <c r="CD121" s="89"/>
      <c r="CE121" s="89"/>
      <c r="CF121" s="89"/>
      <c r="CG121" s="89"/>
      <c r="CH121" s="89"/>
      <c r="CI121" s="88"/>
      <c r="CJ121" s="89"/>
      <c r="CK121" s="89"/>
      <c r="CL121" s="89"/>
      <c r="CM121" s="89"/>
      <c r="CN121" s="89"/>
      <c r="CO121" s="88"/>
      <c r="CP121" s="89"/>
      <c r="CQ121" s="89"/>
      <c r="CR121" s="89"/>
      <c r="CS121" s="89"/>
      <c r="CT121" s="89"/>
      <c r="CU121" s="88">
        <f t="shared" si="4"/>
        <v>17750.637999999999</v>
      </c>
      <c r="CV121" s="89">
        <v>7646.2201000000005</v>
      </c>
      <c r="CW121" s="89">
        <v>7707.3389000000006</v>
      </c>
      <c r="CX121" s="89">
        <v>-61.118800000000007</v>
      </c>
      <c r="CY121" s="89">
        <v>10104.4179</v>
      </c>
      <c r="CZ121" s="89"/>
      <c r="DA121" s="88"/>
      <c r="DB121" s="89"/>
      <c r="DC121" s="89"/>
      <c r="DD121" s="89"/>
      <c r="DE121" s="89"/>
      <c r="DF121" s="89"/>
      <c r="DG121" s="88">
        <v>126723.49999999999</v>
      </c>
      <c r="DH121" s="89">
        <v>101088.9</v>
      </c>
      <c r="DI121" s="89"/>
      <c r="DJ121" s="89"/>
      <c r="DK121" s="89">
        <v>28394.400000000001</v>
      </c>
      <c r="DL121" s="89">
        <v>-2759.8</v>
      </c>
      <c r="DM121" s="88"/>
      <c r="DN121" s="89"/>
      <c r="DO121" s="89"/>
      <c r="DP121" s="89"/>
      <c r="DQ121" s="89"/>
      <c r="DR121" s="89"/>
      <c r="DS121" s="88"/>
      <c r="DT121" s="89"/>
      <c r="DU121" s="89"/>
      <c r="DV121" s="89"/>
      <c r="DW121" s="89"/>
      <c r="DX121" s="89"/>
      <c r="DY121" s="88"/>
      <c r="DZ121" s="89"/>
      <c r="EA121" s="89"/>
      <c r="EB121" s="89"/>
      <c r="EC121" s="89"/>
      <c r="ED121" s="89"/>
      <c r="EE121" s="88"/>
      <c r="EF121" s="89"/>
      <c r="EG121" s="89"/>
      <c r="EH121" s="89"/>
      <c r="EI121" s="89"/>
      <c r="EJ121" s="89"/>
      <c r="EK121" s="88">
        <v>5242429.1960000014</v>
      </c>
      <c r="EL121" s="89">
        <f t="shared" si="2"/>
        <v>-910687.77599999995</v>
      </c>
      <c r="EM121" s="89">
        <v>-1064261.5330000001</v>
      </c>
      <c r="EN121" s="89">
        <v>153573.75700000007</v>
      </c>
      <c r="EO121" s="89">
        <v>6051732.8920000009</v>
      </c>
      <c r="EP121" s="89">
        <v>101384.08</v>
      </c>
      <c r="EQ121" s="88"/>
      <c r="ER121" s="89"/>
      <c r="ES121" s="89"/>
      <c r="ET121" s="89"/>
      <c r="EU121" s="89"/>
      <c r="EV121" s="89"/>
      <c r="EW121" s="88"/>
      <c r="EX121" s="89"/>
      <c r="EY121" s="89"/>
      <c r="EZ121" s="89"/>
      <c r="FA121" s="89"/>
      <c r="FB121" s="89"/>
      <c r="FC121" s="88"/>
      <c r="FD121" s="89"/>
      <c r="FE121" s="89"/>
      <c r="FF121" s="89"/>
      <c r="FG121" s="89"/>
      <c r="FH121" s="89"/>
      <c r="FI121" s="88"/>
      <c r="FJ121" s="89"/>
      <c r="FK121" s="89"/>
      <c r="FL121" s="89"/>
      <c r="FM121" s="89"/>
      <c r="FN121" s="89"/>
      <c r="FO121" s="88"/>
      <c r="FP121" s="89"/>
      <c r="FQ121" s="89"/>
      <c r="FR121" s="89"/>
      <c r="FS121" s="89"/>
      <c r="FT121" s="89"/>
      <c r="FU121" s="88"/>
      <c r="FV121" s="89"/>
      <c r="FW121" s="89"/>
      <c r="FX121" s="89"/>
      <c r="FY121" s="89"/>
      <c r="FZ121" s="89"/>
      <c r="GA121" s="120"/>
      <c r="GB121" s="121"/>
      <c r="GC121" s="121"/>
      <c r="GD121" s="121"/>
      <c r="GE121" s="121"/>
      <c r="GF121" s="89"/>
      <c r="GG121" s="88"/>
      <c r="GH121" s="89"/>
      <c r="GI121" s="89"/>
      <c r="GJ121" s="89"/>
      <c r="GK121" s="89"/>
      <c r="GL121" s="89"/>
      <c r="GM121" s="88">
        <v>8838.0927301779993</v>
      </c>
      <c r="GN121" s="89">
        <v>1331.7171411853001</v>
      </c>
      <c r="GO121" s="89">
        <v>1280.0701488946002</v>
      </c>
      <c r="GP121" s="89">
        <v>51.646992290700091</v>
      </c>
      <c r="GQ121" s="89">
        <v>6163.1435828515996</v>
      </c>
      <c r="GR121" s="89">
        <v>1343.2319761410999</v>
      </c>
      <c r="GS121" s="88"/>
      <c r="GT121" s="87"/>
      <c r="GU121" s="87"/>
      <c r="GV121" s="87"/>
      <c r="GW121" s="87"/>
      <c r="GX121" s="87"/>
      <c r="GY121" s="87"/>
      <c r="GZ121" s="88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8"/>
      <c r="HM121" s="87"/>
      <c r="HN121" s="87"/>
      <c r="HO121" s="87"/>
      <c r="HP121" s="87"/>
      <c r="HQ121" s="87"/>
      <c r="HR121" s="87"/>
      <c r="HS121" s="87"/>
    </row>
    <row r="122" spans="1:231" ht="13.5" customHeight="1">
      <c r="A122" s="69"/>
      <c r="B122" s="87" t="s">
        <v>499</v>
      </c>
      <c r="C122" s="88">
        <v>1295</v>
      </c>
      <c r="D122" s="89">
        <v>73.537999999999982</v>
      </c>
      <c r="E122" s="89">
        <v>277.38099999999997</v>
      </c>
      <c r="F122" s="89">
        <v>-203.84299999999999</v>
      </c>
      <c r="G122" s="89">
        <v>1221.6579999999999</v>
      </c>
      <c r="H122" s="89"/>
      <c r="I122" s="88">
        <v>87140.847999999998</v>
      </c>
      <c r="J122" s="89">
        <v>33497.266000000003</v>
      </c>
      <c r="K122" s="89"/>
      <c r="L122" s="89"/>
      <c r="M122" s="89">
        <v>70870.922999999995</v>
      </c>
      <c r="N122" s="89">
        <v>-17227.341</v>
      </c>
      <c r="O122" s="90"/>
      <c r="P122" s="91"/>
      <c r="Q122" s="91"/>
      <c r="R122" s="91"/>
      <c r="S122" s="91"/>
      <c r="T122" s="91"/>
      <c r="U122" s="90"/>
      <c r="V122" s="91"/>
      <c r="W122" s="91"/>
      <c r="X122" s="91"/>
      <c r="Y122" s="91"/>
      <c r="Z122" s="91"/>
      <c r="AA122" s="88">
        <v>757.346</v>
      </c>
      <c r="AB122" s="89">
        <f t="shared" si="3"/>
        <v>110.673</v>
      </c>
      <c r="AC122" s="89">
        <v>103.821</v>
      </c>
      <c r="AD122" s="89">
        <v>6.8520000000000003</v>
      </c>
      <c r="AE122" s="89">
        <v>646.673</v>
      </c>
      <c r="AF122" s="89"/>
      <c r="AG122" s="88">
        <v>36233.572533412</v>
      </c>
      <c r="AH122" s="89">
        <v>5244.2735334119998</v>
      </c>
      <c r="AI122" s="89">
        <v>5244.2735334119998</v>
      </c>
      <c r="AJ122" s="89"/>
      <c r="AK122" s="89">
        <v>30989.298999999999</v>
      </c>
      <c r="AL122" s="89"/>
      <c r="AM122" s="88"/>
      <c r="AN122" s="89"/>
      <c r="AO122" s="89"/>
      <c r="AP122" s="89"/>
      <c r="AQ122" s="89"/>
      <c r="AR122" s="89"/>
      <c r="AS122" s="88">
        <v>22771000</v>
      </c>
      <c r="AT122" s="89">
        <f t="shared" si="5"/>
        <v>1655000</v>
      </c>
      <c r="AU122" s="89">
        <v>1655000</v>
      </c>
      <c r="AV122" s="89"/>
      <c r="AW122" s="89">
        <v>24158000</v>
      </c>
      <c r="AX122" s="89">
        <v>-3042000</v>
      </c>
      <c r="AY122" s="88"/>
      <c r="AZ122" s="89"/>
      <c r="BA122" s="89"/>
      <c r="BB122" s="89"/>
      <c r="BC122" s="89"/>
      <c r="BD122" s="89"/>
      <c r="BE122" s="88"/>
      <c r="BF122" s="89"/>
      <c r="BG122" s="89"/>
      <c r="BH122" s="89"/>
      <c r="BI122" s="89"/>
      <c r="BJ122" s="89"/>
      <c r="BK122" s="88"/>
      <c r="BL122" s="89"/>
      <c r="BM122" s="89"/>
      <c r="BN122" s="89"/>
      <c r="BO122" s="89"/>
      <c r="BP122" s="89"/>
      <c r="BQ122" s="88"/>
      <c r="BR122" s="89"/>
      <c r="BS122" s="89"/>
      <c r="BT122" s="89"/>
      <c r="BU122" s="89"/>
      <c r="BV122" s="89"/>
      <c r="BW122" s="88"/>
      <c r="BX122" s="89"/>
      <c r="BY122" s="89"/>
      <c r="BZ122" s="89"/>
      <c r="CA122" s="89"/>
      <c r="CB122" s="89"/>
      <c r="CC122" s="88"/>
      <c r="CD122" s="89"/>
      <c r="CE122" s="89"/>
      <c r="CF122" s="89"/>
      <c r="CG122" s="89"/>
      <c r="CH122" s="89"/>
      <c r="CI122" s="88"/>
      <c r="CJ122" s="89"/>
      <c r="CK122" s="89"/>
      <c r="CL122" s="89"/>
      <c r="CM122" s="89"/>
      <c r="CN122" s="89"/>
      <c r="CO122" s="88"/>
      <c r="CP122" s="89"/>
      <c r="CQ122" s="89"/>
      <c r="CR122" s="89"/>
      <c r="CS122" s="89"/>
      <c r="CT122" s="89"/>
      <c r="CU122" s="88">
        <f t="shared" si="4"/>
        <v>18497.900560000002</v>
      </c>
      <c r="CV122" s="89">
        <v>8027.3743100000011</v>
      </c>
      <c r="CW122" s="89">
        <v>8128.3582100000003</v>
      </c>
      <c r="CX122" s="89">
        <v>-100.98390000000001</v>
      </c>
      <c r="CY122" s="89">
        <v>10470.526249999999</v>
      </c>
      <c r="CZ122" s="89"/>
      <c r="DA122" s="88"/>
      <c r="DB122" s="89"/>
      <c r="DC122" s="89"/>
      <c r="DD122" s="89"/>
      <c r="DE122" s="89"/>
      <c r="DF122" s="89"/>
      <c r="DG122" s="88">
        <v>125230.7</v>
      </c>
      <c r="DH122" s="89">
        <v>103471.3</v>
      </c>
      <c r="DI122" s="89"/>
      <c r="DJ122" s="89"/>
      <c r="DK122" s="89">
        <v>28083.599999999999</v>
      </c>
      <c r="DL122" s="89">
        <v>-6324.2</v>
      </c>
      <c r="DM122" s="88"/>
      <c r="DN122" s="89"/>
      <c r="DO122" s="89"/>
      <c r="DP122" s="89"/>
      <c r="DQ122" s="89"/>
      <c r="DR122" s="89"/>
      <c r="DS122" s="88"/>
      <c r="DT122" s="89"/>
      <c r="DU122" s="89"/>
      <c r="DV122" s="89"/>
      <c r="DW122" s="89"/>
      <c r="DX122" s="89"/>
      <c r="DY122" s="88"/>
      <c r="DZ122" s="89"/>
      <c r="EA122" s="89"/>
      <c r="EB122" s="89"/>
      <c r="EC122" s="89"/>
      <c r="ED122" s="89"/>
      <c r="EE122" s="88"/>
      <c r="EF122" s="89"/>
      <c r="EG122" s="89"/>
      <c r="EH122" s="89"/>
      <c r="EI122" s="89"/>
      <c r="EJ122" s="89"/>
      <c r="EK122" s="88">
        <v>5316646.7859999975</v>
      </c>
      <c r="EL122" s="89">
        <f t="shared" si="2"/>
        <v>-918748.30000000028</v>
      </c>
      <c r="EM122" s="89">
        <v>-1076337.9210000003</v>
      </c>
      <c r="EN122" s="89">
        <v>157589.62099999998</v>
      </c>
      <c r="EO122" s="89">
        <v>6127106.6149999984</v>
      </c>
      <c r="EP122" s="89">
        <v>108288.47099999999</v>
      </c>
      <c r="EQ122" s="88"/>
      <c r="ER122" s="89"/>
      <c r="ES122" s="89"/>
      <c r="ET122" s="89"/>
      <c r="EU122" s="89"/>
      <c r="EV122" s="89"/>
      <c r="EW122" s="88"/>
      <c r="EX122" s="89"/>
      <c r="EY122" s="89"/>
      <c r="EZ122" s="89"/>
      <c r="FA122" s="89"/>
      <c r="FB122" s="89"/>
      <c r="FC122" s="88"/>
      <c r="FD122" s="89"/>
      <c r="FE122" s="89"/>
      <c r="FF122" s="89"/>
      <c r="FG122" s="89"/>
      <c r="FH122" s="89"/>
      <c r="FI122" s="88"/>
      <c r="FJ122" s="89"/>
      <c r="FK122" s="89"/>
      <c r="FL122" s="89"/>
      <c r="FM122" s="89"/>
      <c r="FN122" s="101"/>
      <c r="FO122" s="88"/>
      <c r="FP122" s="89"/>
      <c r="FQ122" s="89"/>
      <c r="FR122" s="89"/>
      <c r="FS122" s="89"/>
      <c r="FT122" s="89"/>
      <c r="FU122" s="88"/>
      <c r="FV122" s="89"/>
      <c r="FW122" s="89"/>
      <c r="FX122" s="89"/>
      <c r="FY122" s="89"/>
      <c r="FZ122" s="89"/>
      <c r="GA122" s="120"/>
      <c r="GB122" s="121"/>
      <c r="GC122" s="121"/>
      <c r="GD122" s="121"/>
      <c r="GE122" s="121"/>
      <c r="GF122" s="89"/>
      <c r="GG122" s="88"/>
      <c r="GH122" s="89"/>
      <c r="GI122" s="89"/>
      <c r="GJ122" s="89"/>
      <c r="GK122" s="89"/>
      <c r="GL122" s="89"/>
      <c r="GM122" s="88">
        <v>9136.9344529790014</v>
      </c>
      <c r="GN122" s="89">
        <v>1460.8181734317002</v>
      </c>
      <c r="GO122" s="89">
        <v>1398.3703514239</v>
      </c>
      <c r="GP122" s="89">
        <v>62.447822007799985</v>
      </c>
      <c r="GQ122" s="89">
        <v>6493.6986501891015</v>
      </c>
      <c r="GR122" s="89">
        <v>1182.4176293582002</v>
      </c>
      <c r="GS122" s="88"/>
      <c r="GT122" s="87"/>
      <c r="GU122" s="87"/>
      <c r="GV122" s="87"/>
      <c r="GW122" s="87"/>
      <c r="GX122" s="87"/>
      <c r="GY122" s="87"/>
      <c r="GZ122" s="88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8"/>
      <c r="HM122" s="87"/>
      <c r="HN122" s="87"/>
      <c r="HO122" s="87"/>
      <c r="HP122" s="87"/>
      <c r="HQ122" s="87"/>
      <c r="HR122" s="87"/>
      <c r="HS122" s="87"/>
    </row>
    <row r="123" spans="1:231" ht="13.5" customHeight="1">
      <c r="A123" s="102"/>
      <c r="B123" s="103" t="s">
        <v>500</v>
      </c>
      <c r="C123" s="104"/>
      <c r="D123" s="105"/>
      <c r="E123" s="105"/>
      <c r="F123" s="105"/>
      <c r="G123" s="105"/>
      <c r="H123" s="105"/>
      <c r="I123" s="104">
        <v>87330.712999999989</v>
      </c>
      <c r="J123" s="105">
        <v>34621.972000000002</v>
      </c>
      <c r="K123" s="105"/>
      <c r="L123" s="105"/>
      <c r="M123" s="105">
        <v>70578.354999999996</v>
      </c>
      <c r="N123" s="105">
        <v>-17869.614000000001</v>
      </c>
      <c r="O123" s="106">
        <v>3823.5</v>
      </c>
      <c r="P123" s="107">
        <f>Q123+R123</f>
        <v>668.4</v>
      </c>
      <c r="Q123" s="107">
        <v>495.5</v>
      </c>
      <c r="R123" s="107">
        <v>172.9</v>
      </c>
      <c r="S123" s="107">
        <v>3155.1</v>
      </c>
      <c r="T123" s="107"/>
      <c r="U123" s="106"/>
      <c r="V123" s="107"/>
      <c r="W123" s="107"/>
      <c r="X123" s="107"/>
      <c r="Y123" s="107"/>
      <c r="Z123" s="107"/>
      <c r="AA123" s="104">
        <v>774.30600000000004</v>
      </c>
      <c r="AB123" s="105">
        <f t="shared" si="3"/>
        <v>124.94</v>
      </c>
      <c r="AC123" s="105">
        <v>117.471</v>
      </c>
      <c r="AD123" s="105">
        <v>7.4690000000000003</v>
      </c>
      <c r="AE123" s="105">
        <v>649.36599999999999</v>
      </c>
      <c r="AF123" s="105"/>
      <c r="AG123" s="104">
        <v>35976.804889906001</v>
      </c>
      <c r="AH123" s="105">
        <v>5175.1228899060006</v>
      </c>
      <c r="AI123" s="105">
        <v>5175.1228899060006</v>
      </c>
      <c r="AJ123" s="105"/>
      <c r="AK123" s="105">
        <v>30801.682000000001</v>
      </c>
      <c r="AL123" s="105"/>
      <c r="AM123" s="104"/>
      <c r="AN123" s="105"/>
      <c r="AO123" s="105"/>
      <c r="AP123" s="105"/>
      <c r="AQ123" s="105"/>
      <c r="AR123" s="105"/>
      <c r="AS123" s="104">
        <v>23360000</v>
      </c>
      <c r="AT123" s="105">
        <f t="shared" si="5"/>
        <v>1745000</v>
      </c>
      <c r="AU123" s="105">
        <v>1745000</v>
      </c>
      <c r="AV123" s="105"/>
      <c r="AW123" s="105">
        <v>24243000</v>
      </c>
      <c r="AX123" s="105">
        <v>-2628000</v>
      </c>
      <c r="AY123" s="104">
        <v>63725004.962678485</v>
      </c>
      <c r="AZ123" s="105">
        <v>13145164.811678484</v>
      </c>
      <c r="BA123" s="105">
        <v>6871471.5572807994</v>
      </c>
      <c r="BB123" s="105">
        <v>6273693.2543976856</v>
      </c>
      <c r="BC123" s="105">
        <v>50579840.150999993</v>
      </c>
      <c r="BD123" s="105"/>
      <c r="BE123" s="104"/>
      <c r="BF123" s="105"/>
      <c r="BG123" s="105"/>
      <c r="BH123" s="105"/>
      <c r="BI123" s="105"/>
      <c r="BJ123" s="105"/>
      <c r="BK123" s="104">
        <v>471.90699999999998</v>
      </c>
      <c r="BL123" s="105">
        <v>47.853000000000002</v>
      </c>
      <c r="BM123" s="105">
        <v>59.503</v>
      </c>
      <c r="BN123" s="105">
        <v>-11.65</v>
      </c>
      <c r="BO123" s="105">
        <v>424.053</v>
      </c>
      <c r="BP123" s="105"/>
      <c r="BQ123" s="104"/>
      <c r="BR123" s="105"/>
      <c r="BS123" s="105"/>
      <c r="BT123" s="105"/>
      <c r="BU123" s="105">
        <v>4934.8</v>
      </c>
      <c r="BV123" s="105"/>
      <c r="BW123" s="104"/>
      <c r="BX123" s="105"/>
      <c r="BY123" s="105"/>
      <c r="BZ123" s="105"/>
      <c r="CA123" s="105"/>
      <c r="CB123" s="105"/>
      <c r="CC123" s="104">
        <v>800.12800000000004</v>
      </c>
      <c r="CD123" s="105">
        <v>8.929000000000002</v>
      </c>
      <c r="CE123" s="105">
        <v>43.566000000000003</v>
      </c>
      <c r="CF123" s="105">
        <v>-34.637</v>
      </c>
      <c r="CG123" s="105">
        <v>791.19899999999996</v>
      </c>
      <c r="CH123" s="105"/>
      <c r="CI123" s="104"/>
      <c r="CJ123" s="105"/>
      <c r="CK123" s="105"/>
      <c r="CL123" s="105"/>
      <c r="CM123" s="105"/>
      <c r="CN123" s="105"/>
      <c r="CO123" s="104">
        <v>23860.3</v>
      </c>
      <c r="CP123" s="105">
        <v>-26735.3</v>
      </c>
      <c r="CQ123" s="105">
        <v>-22080</v>
      </c>
      <c r="CR123" s="105">
        <v>-4655.2999999999993</v>
      </c>
      <c r="CS123" s="105">
        <v>55823.3</v>
      </c>
      <c r="CT123" s="105">
        <v>-5227.7</v>
      </c>
      <c r="CU123" s="104">
        <f t="shared" si="4"/>
        <v>18458.302970000004</v>
      </c>
      <c r="CV123" s="105">
        <v>8056.5347200000015</v>
      </c>
      <c r="CW123" s="105">
        <v>8135.4766200000013</v>
      </c>
      <c r="CX123" s="105">
        <v>-78.94189999999999</v>
      </c>
      <c r="CY123" s="105">
        <v>10401.768250000001</v>
      </c>
      <c r="CZ123" s="105"/>
      <c r="DA123" s="104"/>
      <c r="DB123" s="105"/>
      <c r="DC123" s="105"/>
      <c r="DD123" s="105"/>
      <c r="DE123" s="105"/>
      <c r="DF123" s="105"/>
      <c r="DG123" s="104">
        <v>128130.09999999999</v>
      </c>
      <c r="DH123" s="105">
        <v>107715</v>
      </c>
      <c r="DI123" s="105"/>
      <c r="DJ123" s="105"/>
      <c r="DK123" s="105">
        <v>26571.9</v>
      </c>
      <c r="DL123" s="105">
        <v>-6156.8</v>
      </c>
      <c r="DM123" s="104"/>
      <c r="DN123" s="105"/>
      <c r="DO123" s="105"/>
      <c r="DP123" s="105"/>
      <c r="DQ123" s="105"/>
      <c r="DR123" s="105"/>
      <c r="DS123" s="104"/>
      <c r="DT123" s="105"/>
      <c r="DU123" s="105"/>
      <c r="DV123" s="105"/>
      <c r="DW123" s="105"/>
      <c r="DX123" s="105"/>
      <c r="DY123" s="104">
        <v>5169.6859999999997</v>
      </c>
      <c r="DZ123" s="105">
        <f t="shared" ref="DZ123" si="6">EA123+EB123</f>
        <v>-253.49800000000005</v>
      </c>
      <c r="EA123" s="105">
        <v>474.93299999999999</v>
      </c>
      <c r="EB123" s="105">
        <v>-728.43100000000004</v>
      </c>
      <c r="EC123" s="105">
        <v>5423.1840000000002</v>
      </c>
      <c r="ED123" s="105"/>
      <c r="EE123" s="104"/>
      <c r="EF123" s="105"/>
      <c r="EG123" s="105"/>
      <c r="EH123" s="105"/>
      <c r="EI123" s="105"/>
      <c r="EJ123" s="105"/>
      <c r="EK123" s="104">
        <v>5906907.0910850009</v>
      </c>
      <c r="EL123" s="105">
        <f t="shared" si="2"/>
        <v>-337217.9580000001</v>
      </c>
      <c r="EM123" s="105">
        <v>-526226.70200000005</v>
      </c>
      <c r="EN123" s="105">
        <v>189008.74399999998</v>
      </c>
      <c r="EO123" s="105">
        <v>6139288.7370850006</v>
      </c>
      <c r="EP123" s="105">
        <v>104836.31200000001</v>
      </c>
      <c r="EQ123" s="104"/>
      <c r="ER123" s="105"/>
      <c r="ES123" s="105"/>
      <c r="ET123" s="105"/>
      <c r="EU123" s="105"/>
      <c r="EV123" s="105"/>
      <c r="EW123" s="104"/>
      <c r="EX123" s="105"/>
      <c r="EY123" s="105"/>
      <c r="EZ123" s="105"/>
      <c r="FA123" s="105"/>
      <c r="FB123" s="105"/>
      <c r="FC123" s="104">
        <v>683.16</v>
      </c>
      <c r="FD123" s="105">
        <f>FE123+FF123</f>
        <v>50.325000000000017</v>
      </c>
      <c r="FE123" s="105">
        <v>157.44300000000001</v>
      </c>
      <c r="FF123" s="105">
        <v>-107.11799999999999</v>
      </c>
      <c r="FG123" s="105">
        <v>632.83500000000004</v>
      </c>
      <c r="FH123" s="105"/>
      <c r="FI123" s="104">
        <v>470.28800000000001</v>
      </c>
      <c r="FJ123" s="105">
        <v>-90.03</v>
      </c>
      <c r="FK123" s="105">
        <v>56.03</v>
      </c>
      <c r="FL123" s="105">
        <v>-146.06</v>
      </c>
      <c r="FM123" s="105">
        <v>560.31799999999998</v>
      </c>
      <c r="FN123" s="103"/>
      <c r="FO123" s="104">
        <v>1183.576</v>
      </c>
      <c r="FP123" s="105">
        <v>-241.14600000000002</v>
      </c>
      <c r="FQ123" s="105">
        <v>-63.762999999999998</v>
      </c>
      <c r="FR123" s="105">
        <v>-177.38300000000001</v>
      </c>
      <c r="FS123" s="105">
        <v>1424.722</v>
      </c>
      <c r="FT123" s="103"/>
      <c r="FU123" s="104"/>
      <c r="FV123" s="105"/>
      <c r="FW123" s="105"/>
      <c r="FX123" s="105"/>
      <c r="FY123" s="105"/>
      <c r="FZ123" s="105"/>
      <c r="GA123" s="104">
        <v>15750.4</v>
      </c>
      <c r="GB123" s="105">
        <v>2433.6000000000004</v>
      </c>
      <c r="GC123" s="105">
        <v>641.70000000000005</v>
      </c>
      <c r="GD123" s="105">
        <v>1791.9</v>
      </c>
      <c r="GE123" s="105">
        <v>13316.7</v>
      </c>
      <c r="GF123" s="105"/>
      <c r="GG123" s="104"/>
      <c r="GH123" s="105"/>
      <c r="GI123" s="105"/>
      <c r="GJ123" s="105"/>
      <c r="GK123" s="105"/>
      <c r="GL123" s="105"/>
      <c r="GM123" s="104">
        <v>9133.3816519888987</v>
      </c>
      <c r="GN123" s="105">
        <v>1303.1501383497996</v>
      </c>
      <c r="GO123" s="105">
        <v>1219.5409235980999</v>
      </c>
      <c r="GP123" s="105">
        <v>83.60921475169971</v>
      </c>
      <c r="GQ123" s="105">
        <v>6655.0640436843996</v>
      </c>
      <c r="GR123" s="103">
        <v>1175.1674699547</v>
      </c>
      <c r="GS123" s="88"/>
      <c r="GT123" s="87"/>
      <c r="GU123" s="87"/>
      <c r="GV123" s="87"/>
      <c r="GW123" s="87"/>
      <c r="GX123" s="87"/>
      <c r="GY123" s="87"/>
      <c r="GZ123" s="88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8"/>
      <c r="HM123" s="87"/>
      <c r="HN123" s="87"/>
      <c r="HO123" s="87"/>
      <c r="HP123" s="87"/>
      <c r="HQ123" s="87"/>
      <c r="HR123" s="87"/>
      <c r="HS123" s="87"/>
    </row>
    <row r="124" spans="1:231" ht="13.5" customHeight="1">
      <c r="A124" s="86">
        <v>2000</v>
      </c>
      <c r="B124" s="87" t="s">
        <v>489</v>
      </c>
      <c r="C124" s="88"/>
      <c r="D124" s="87"/>
      <c r="E124" s="87"/>
      <c r="F124" s="87"/>
      <c r="G124" s="87"/>
      <c r="H124" s="87"/>
      <c r="I124" s="88">
        <v>87932.160999999993</v>
      </c>
      <c r="J124" s="89">
        <v>34709.514999999999</v>
      </c>
      <c r="K124" s="89"/>
      <c r="L124" s="89"/>
      <c r="M124" s="89">
        <v>70670.585999999996</v>
      </c>
      <c r="N124" s="89">
        <v>-17447.939999999999</v>
      </c>
      <c r="O124" s="90"/>
      <c r="P124" s="91"/>
      <c r="Q124" s="91"/>
      <c r="R124" s="91"/>
      <c r="S124" s="91"/>
      <c r="T124" s="91"/>
      <c r="U124" s="90"/>
      <c r="V124" s="91"/>
      <c r="W124" s="91"/>
      <c r="X124" s="91"/>
      <c r="Y124" s="91"/>
      <c r="Z124" s="91"/>
      <c r="AA124" s="88">
        <v>762.20100000000002</v>
      </c>
      <c r="AB124" s="89">
        <f t="shared" si="3"/>
        <v>119.601</v>
      </c>
      <c r="AC124" s="89">
        <v>112.233</v>
      </c>
      <c r="AD124" s="89">
        <v>7.3680000000000003</v>
      </c>
      <c r="AE124" s="89">
        <v>642.6</v>
      </c>
      <c r="AF124" s="89"/>
      <c r="AG124" s="88">
        <v>35922.260364346999</v>
      </c>
      <c r="AH124" s="89">
        <v>5312.5893643470008</v>
      </c>
      <c r="AI124" s="89">
        <v>5312.5893643470008</v>
      </c>
      <c r="AJ124" s="89"/>
      <c r="AK124" s="89">
        <v>30609.670999999998</v>
      </c>
      <c r="AL124" s="89"/>
      <c r="AM124" s="88"/>
      <c r="AN124" s="89"/>
      <c r="AO124" s="89"/>
      <c r="AP124" s="89"/>
      <c r="AQ124" s="89"/>
      <c r="AR124" s="89"/>
      <c r="AS124" s="88">
        <v>23536000</v>
      </c>
      <c r="AT124" s="89">
        <f t="shared" si="5"/>
        <v>1585000</v>
      </c>
      <c r="AU124" s="89">
        <v>1585000</v>
      </c>
      <c r="AV124" s="89"/>
      <c r="AW124" s="89">
        <v>24528000</v>
      </c>
      <c r="AX124" s="89">
        <v>-2577000</v>
      </c>
      <c r="AY124" s="88"/>
      <c r="AZ124" s="89"/>
      <c r="BA124" s="89"/>
      <c r="BB124" s="89"/>
      <c r="BC124" s="89"/>
      <c r="BD124" s="89"/>
      <c r="BE124" s="88"/>
      <c r="BF124" s="89"/>
      <c r="BG124" s="89"/>
      <c r="BH124" s="89"/>
      <c r="BI124" s="89"/>
      <c r="BJ124" s="89"/>
      <c r="BK124" s="88"/>
      <c r="BL124" s="89"/>
      <c r="BM124" s="89"/>
      <c r="BN124" s="89"/>
      <c r="BO124" s="89"/>
      <c r="BP124" s="89"/>
      <c r="BQ124" s="88"/>
      <c r="BR124" s="89"/>
      <c r="BS124" s="89"/>
      <c r="BT124" s="89"/>
      <c r="BU124" s="89"/>
      <c r="BV124" s="89"/>
      <c r="BW124" s="88"/>
      <c r="BX124" s="89"/>
      <c r="BY124" s="89"/>
      <c r="BZ124" s="89"/>
      <c r="CA124" s="89"/>
      <c r="CB124" s="89"/>
      <c r="CC124" s="88"/>
      <c r="CD124" s="89"/>
      <c r="CE124" s="89"/>
      <c r="CF124" s="89"/>
      <c r="CG124" s="89"/>
      <c r="CH124" s="89"/>
      <c r="CI124" s="88"/>
      <c r="CJ124" s="89"/>
      <c r="CK124" s="89"/>
      <c r="CL124" s="89"/>
      <c r="CM124" s="89"/>
      <c r="CN124" s="89"/>
      <c r="CO124" s="88"/>
      <c r="CP124" s="89"/>
      <c r="CQ124" s="89"/>
      <c r="CR124" s="89"/>
      <c r="CS124" s="89"/>
      <c r="CT124" s="89"/>
      <c r="CU124" s="88">
        <f t="shared" si="4"/>
        <v>18988.461289999999</v>
      </c>
      <c r="CV124" s="89">
        <v>8215.5197199999984</v>
      </c>
      <c r="CW124" s="89">
        <v>8304.3133199999993</v>
      </c>
      <c r="CX124" s="89">
        <v>-88.793599999999998</v>
      </c>
      <c r="CY124" s="89">
        <v>10772.941569999999</v>
      </c>
      <c r="CZ124" s="89"/>
      <c r="DA124" s="88"/>
      <c r="DB124" s="89"/>
      <c r="DC124" s="89"/>
      <c r="DD124" s="89"/>
      <c r="DE124" s="89"/>
      <c r="DF124" s="89"/>
      <c r="DG124" s="88">
        <v>129797.4</v>
      </c>
      <c r="DH124" s="89">
        <v>109630.1</v>
      </c>
      <c r="DI124" s="89"/>
      <c r="DJ124" s="89"/>
      <c r="DK124" s="89">
        <v>26203.9</v>
      </c>
      <c r="DL124" s="89">
        <v>-6036.6</v>
      </c>
      <c r="DM124" s="88"/>
      <c r="DN124" s="89"/>
      <c r="DO124" s="89"/>
      <c r="DP124" s="89"/>
      <c r="DQ124" s="89"/>
      <c r="DR124" s="89"/>
      <c r="DS124" s="88"/>
      <c r="DT124" s="89"/>
      <c r="DU124" s="89"/>
      <c r="DV124" s="89"/>
      <c r="DW124" s="89"/>
      <c r="DX124" s="89"/>
      <c r="DY124" s="88">
        <v>5137.0590269999993</v>
      </c>
      <c r="DZ124" s="89">
        <f>EA124+EB124</f>
        <v>-276.16597300000001</v>
      </c>
      <c r="EA124" s="89">
        <v>454.929395</v>
      </c>
      <c r="EB124" s="89">
        <v>-731.09536800000001</v>
      </c>
      <c r="EC124" s="89">
        <v>5413.2250000000004</v>
      </c>
      <c r="ED124" s="89"/>
      <c r="EE124" s="88"/>
      <c r="EF124" s="89"/>
      <c r="EG124" s="89"/>
      <c r="EH124" s="89"/>
      <c r="EI124" s="89"/>
      <c r="EJ124" s="89"/>
      <c r="EK124" s="88">
        <v>5722306.7391219996</v>
      </c>
      <c r="EL124" s="89">
        <f t="shared" si="2"/>
        <v>-609640.14199999964</v>
      </c>
      <c r="EM124" s="89">
        <v>-784420.71899999958</v>
      </c>
      <c r="EN124" s="89">
        <v>174780.57699999993</v>
      </c>
      <c r="EO124" s="89">
        <v>6206250.7821219992</v>
      </c>
      <c r="EP124" s="89">
        <v>125696.09899999999</v>
      </c>
      <c r="EQ124" s="88"/>
      <c r="ER124" s="89"/>
      <c r="ES124" s="89"/>
      <c r="ET124" s="89"/>
      <c r="EU124" s="89"/>
      <c r="EV124" s="89"/>
      <c r="EW124" s="88"/>
      <c r="EX124" s="89"/>
      <c r="EY124" s="89"/>
      <c r="EZ124" s="89"/>
      <c r="FA124" s="89"/>
      <c r="FB124" s="89"/>
      <c r="FC124" s="88">
        <v>698.98929699999997</v>
      </c>
      <c r="FD124" s="89">
        <f t="shared" ref="FD124:FD146" si="7">FE124+FF124</f>
        <v>58.14629699999999</v>
      </c>
      <c r="FE124" s="89">
        <v>164.54024699999999</v>
      </c>
      <c r="FF124" s="89">
        <v>-106.39395</v>
      </c>
      <c r="FG124" s="89">
        <v>640.84299999999996</v>
      </c>
      <c r="FH124" s="89"/>
      <c r="FI124" s="88"/>
      <c r="FJ124" s="89"/>
      <c r="FK124" s="89"/>
      <c r="FL124" s="89"/>
      <c r="FM124" s="89"/>
      <c r="FN124" s="89"/>
      <c r="FO124" s="88"/>
      <c r="FP124" s="89"/>
      <c r="FQ124" s="89"/>
      <c r="FR124" s="89"/>
      <c r="FS124" s="89"/>
      <c r="FT124" s="89"/>
      <c r="FU124" s="88"/>
      <c r="FV124" s="89"/>
      <c r="FW124" s="89"/>
      <c r="FX124" s="89"/>
      <c r="FY124" s="89"/>
      <c r="FZ124" s="89"/>
      <c r="GA124" s="120"/>
      <c r="GB124" s="121"/>
      <c r="GC124" s="121"/>
      <c r="GD124" s="121"/>
      <c r="GE124" s="121"/>
      <c r="GF124" s="89"/>
      <c r="GG124" s="88"/>
      <c r="GH124" s="89"/>
      <c r="GI124" s="89"/>
      <c r="GJ124" s="89"/>
      <c r="GK124" s="89"/>
      <c r="GL124" s="89"/>
      <c r="GM124" s="88">
        <v>9509.0426238890013</v>
      </c>
      <c r="GN124" s="89">
        <v>1731.4581214467003</v>
      </c>
      <c r="GO124" s="89">
        <v>1632.5323950928</v>
      </c>
      <c r="GP124" s="89">
        <v>98.925726353900274</v>
      </c>
      <c r="GQ124" s="89">
        <v>6535.6022467156008</v>
      </c>
      <c r="GR124" s="89">
        <v>1241.9822557267003</v>
      </c>
      <c r="GS124" s="88"/>
      <c r="GT124" s="87"/>
      <c r="GU124" s="87"/>
      <c r="GV124" s="87"/>
      <c r="GW124" s="87"/>
      <c r="GX124" s="87"/>
      <c r="GY124" s="87"/>
      <c r="GZ124" s="88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8"/>
      <c r="HM124" s="87"/>
      <c r="HN124" s="87"/>
      <c r="HO124" s="87"/>
      <c r="HP124" s="87"/>
      <c r="HQ124" s="87"/>
      <c r="HR124" s="87"/>
      <c r="HS124" s="87"/>
    </row>
    <row r="125" spans="1:231" ht="13.5" customHeight="1">
      <c r="A125" s="69"/>
      <c r="B125" s="87" t="s">
        <v>490</v>
      </c>
      <c r="C125" s="88"/>
      <c r="D125" s="87"/>
      <c r="E125" s="87"/>
      <c r="F125" s="87"/>
      <c r="G125" s="87"/>
      <c r="H125" s="87"/>
      <c r="I125" s="88">
        <v>87241.197</v>
      </c>
      <c r="J125" s="89">
        <v>34996.423999999999</v>
      </c>
      <c r="K125" s="89"/>
      <c r="L125" s="89"/>
      <c r="M125" s="89">
        <v>70014.328999999998</v>
      </c>
      <c r="N125" s="89">
        <v>-17769.556</v>
      </c>
      <c r="O125" s="90"/>
      <c r="P125" s="91"/>
      <c r="Q125" s="91"/>
      <c r="R125" s="91"/>
      <c r="S125" s="91"/>
      <c r="T125" s="91"/>
      <c r="U125" s="90"/>
      <c r="V125" s="91"/>
      <c r="W125" s="91"/>
      <c r="X125" s="91"/>
      <c r="Y125" s="91"/>
      <c r="Z125" s="91"/>
      <c r="AA125" s="88">
        <v>784.87099999999998</v>
      </c>
      <c r="AB125" s="89">
        <f t="shared" si="3"/>
        <v>134.14400000000001</v>
      </c>
      <c r="AC125" s="89">
        <v>126.73</v>
      </c>
      <c r="AD125" s="89">
        <v>7.4139999999999997</v>
      </c>
      <c r="AE125" s="89">
        <v>650.72699999999998</v>
      </c>
      <c r="AF125" s="89"/>
      <c r="AG125" s="88">
        <v>36102.142448188002</v>
      </c>
      <c r="AH125" s="89">
        <v>5533.9474481879997</v>
      </c>
      <c r="AI125" s="89">
        <v>5533.9474481879997</v>
      </c>
      <c r="AJ125" s="89"/>
      <c r="AK125" s="89">
        <v>30568.195</v>
      </c>
      <c r="AL125" s="89"/>
      <c r="AM125" s="88"/>
      <c r="AN125" s="89"/>
      <c r="AO125" s="89"/>
      <c r="AP125" s="89"/>
      <c r="AQ125" s="89"/>
      <c r="AR125" s="89"/>
      <c r="AS125" s="88">
        <v>23869000</v>
      </c>
      <c r="AT125" s="89">
        <f t="shared" si="5"/>
        <v>1631000</v>
      </c>
      <c r="AU125" s="89">
        <v>1631000</v>
      </c>
      <c r="AV125" s="89"/>
      <c r="AW125" s="89">
        <v>24540000</v>
      </c>
      <c r="AX125" s="89">
        <v>-2302000</v>
      </c>
      <c r="AY125" s="88"/>
      <c r="AZ125" s="89"/>
      <c r="BA125" s="89"/>
      <c r="BB125" s="89"/>
      <c r="BC125" s="89"/>
      <c r="BD125" s="89"/>
      <c r="BE125" s="88"/>
      <c r="BF125" s="89"/>
      <c r="BG125" s="89"/>
      <c r="BH125" s="89"/>
      <c r="BI125" s="89"/>
      <c r="BJ125" s="89"/>
      <c r="BK125" s="88"/>
      <c r="BL125" s="89"/>
      <c r="BM125" s="89"/>
      <c r="BN125" s="89"/>
      <c r="BO125" s="89"/>
      <c r="BP125" s="89"/>
      <c r="BQ125" s="88"/>
      <c r="BR125" s="89"/>
      <c r="BS125" s="89"/>
      <c r="BT125" s="89"/>
      <c r="BU125" s="89"/>
      <c r="BV125" s="89"/>
      <c r="BW125" s="88"/>
      <c r="BX125" s="89"/>
      <c r="BY125" s="89"/>
      <c r="BZ125" s="89"/>
      <c r="CA125" s="89"/>
      <c r="CB125" s="89"/>
      <c r="CC125" s="88"/>
      <c r="CD125" s="89"/>
      <c r="CE125" s="89"/>
      <c r="CF125" s="89"/>
      <c r="CG125" s="89"/>
      <c r="CH125" s="89"/>
      <c r="CI125" s="88"/>
      <c r="CJ125" s="89"/>
      <c r="CK125" s="89"/>
      <c r="CL125" s="89"/>
      <c r="CM125" s="89"/>
      <c r="CN125" s="89"/>
      <c r="CO125" s="88"/>
      <c r="CP125" s="89"/>
      <c r="CQ125" s="89"/>
      <c r="CR125" s="89"/>
      <c r="CS125" s="89"/>
      <c r="CT125" s="89"/>
      <c r="CU125" s="88">
        <f t="shared" si="4"/>
        <v>19195.502550000001</v>
      </c>
      <c r="CV125" s="89">
        <v>8187.1993500000017</v>
      </c>
      <c r="CW125" s="89">
        <v>8325.5405400000018</v>
      </c>
      <c r="CX125" s="89">
        <v>-138.34119000000001</v>
      </c>
      <c r="CY125" s="89">
        <v>11008.303199999998</v>
      </c>
      <c r="CZ125" s="89"/>
      <c r="DA125" s="88"/>
      <c r="DB125" s="89"/>
      <c r="DC125" s="89"/>
      <c r="DD125" s="89"/>
      <c r="DE125" s="89"/>
      <c r="DF125" s="89"/>
      <c r="DG125" s="88">
        <v>120691</v>
      </c>
      <c r="DH125" s="89">
        <v>100366.39999999999</v>
      </c>
      <c r="DI125" s="89"/>
      <c r="DJ125" s="89"/>
      <c r="DK125" s="89">
        <v>26705.1</v>
      </c>
      <c r="DL125" s="89">
        <v>-6380.5</v>
      </c>
      <c r="DM125" s="88"/>
      <c r="DN125" s="89"/>
      <c r="DO125" s="89"/>
      <c r="DP125" s="89"/>
      <c r="DQ125" s="89"/>
      <c r="DR125" s="89"/>
      <c r="DS125" s="88"/>
      <c r="DT125" s="89"/>
      <c r="DU125" s="89"/>
      <c r="DV125" s="89"/>
      <c r="DW125" s="89"/>
      <c r="DX125" s="89"/>
      <c r="DY125" s="88">
        <v>5167.5668340000002</v>
      </c>
      <c r="DZ125" s="89">
        <f t="shared" ref="DZ125:DZ188" si="8">EA125+EB125</f>
        <v>-274.29416600000002</v>
      </c>
      <c r="EA125" s="89">
        <v>458.93047200000001</v>
      </c>
      <c r="EB125" s="89">
        <v>-733.22463800000003</v>
      </c>
      <c r="EC125" s="89">
        <v>5441.8609999999999</v>
      </c>
      <c r="ED125" s="89"/>
      <c r="EE125" s="88"/>
      <c r="EF125" s="89"/>
      <c r="EG125" s="89"/>
      <c r="EH125" s="89"/>
      <c r="EI125" s="89"/>
      <c r="EJ125" s="89"/>
      <c r="EK125" s="88">
        <v>5776536.409705</v>
      </c>
      <c r="EL125" s="89">
        <f t="shared" si="2"/>
        <v>-654876.93599999999</v>
      </c>
      <c r="EM125" s="89">
        <v>-795703.22399999993</v>
      </c>
      <c r="EN125" s="89">
        <v>140826.288</v>
      </c>
      <c r="EO125" s="89">
        <v>6300908.2837049998</v>
      </c>
      <c r="EP125" s="89">
        <v>130505.06200000001</v>
      </c>
      <c r="EQ125" s="88"/>
      <c r="ER125" s="89"/>
      <c r="ES125" s="89"/>
      <c r="ET125" s="89"/>
      <c r="EU125" s="89"/>
      <c r="EV125" s="89"/>
      <c r="EW125" s="88"/>
      <c r="EX125" s="89"/>
      <c r="EY125" s="89"/>
      <c r="EZ125" s="89"/>
      <c r="FA125" s="89"/>
      <c r="FB125" s="89"/>
      <c r="FC125" s="88">
        <v>697.37035400000002</v>
      </c>
      <c r="FD125" s="89">
        <f t="shared" si="7"/>
        <v>55.516353999999978</v>
      </c>
      <c r="FE125" s="89">
        <v>167.17515799999998</v>
      </c>
      <c r="FF125" s="89">
        <v>-111.658804</v>
      </c>
      <c r="FG125" s="89">
        <v>641.85400000000004</v>
      </c>
      <c r="FH125" s="89"/>
      <c r="FI125" s="88"/>
      <c r="FJ125" s="89"/>
      <c r="FK125" s="89"/>
      <c r="FL125" s="89"/>
      <c r="FM125" s="89"/>
      <c r="FN125" s="89"/>
      <c r="FO125" s="88"/>
      <c r="FP125" s="89"/>
      <c r="FQ125" s="89"/>
      <c r="FR125" s="89"/>
      <c r="FS125" s="89"/>
      <c r="FT125" s="89"/>
      <c r="FU125" s="88"/>
      <c r="FV125" s="89"/>
      <c r="FW125" s="89"/>
      <c r="FX125" s="89"/>
      <c r="FY125" s="89"/>
      <c r="FZ125" s="89"/>
      <c r="GA125" s="120"/>
      <c r="GB125" s="121"/>
      <c r="GC125" s="121"/>
      <c r="GD125" s="121"/>
      <c r="GE125" s="121"/>
      <c r="GF125" s="89"/>
      <c r="GG125" s="88"/>
      <c r="GH125" s="89"/>
      <c r="GI125" s="89"/>
      <c r="GJ125" s="89"/>
      <c r="GK125" s="89"/>
      <c r="GL125" s="89"/>
      <c r="GM125" s="88">
        <v>9627.8494282892007</v>
      </c>
      <c r="GN125" s="89">
        <v>1908.3616879067004</v>
      </c>
      <c r="GO125" s="89">
        <v>1787.1594379563999</v>
      </c>
      <c r="GP125" s="89">
        <v>121.20224995030044</v>
      </c>
      <c r="GQ125" s="89">
        <v>6536.8091825485008</v>
      </c>
      <c r="GR125" s="89">
        <v>1182.6785578339998</v>
      </c>
      <c r="GS125" s="88"/>
      <c r="GT125" s="87"/>
      <c r="GU125" s="87"/>
      <c r="GV125" s="87"/>
      <c r="GW125" s="87"/>
      <c r="GX125" s="87"/>
      <c r="GY125" s="87"/>
      <c r="GZ125" s="88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8"/>
      <c r="HM125" s="87"/>
      <c r="HN125" s="87"/>
      <c r="HO125" s="87"/>
      <c r="HP125" s="87"/>
      <c r="HQ125" s="87"/>
      <c r="HR125" s="87"/>
      <c r="HS125" s="87"/>
    </row>
    <row r="126" spans="1:231" ht="13.5" customHeight="1">
      <c r="A126" s="69"/>
      <c r="B126" s="87" t="s">
        <v>491</v>
      </c>
      <c r="C126" s="88"/>
      <c r="D126" s="87"/>
      <c r="E126" s="87"/>
      <c r="F126" s="87"/>
      <c r="G126" s="87"/>
      <c r="H126" s="87"/>
      <c r="I126" s="88">
        <v>87988.746000000014</v>
      </c>
      <c r="J126" s="89">
        <v>35088.334000000003</v>
      </c>
      <c r="K126" s="89"/>
      <c r="L126" s="89"/>
      <c r="M126" s="89">
        <v>69388.312000000005</v>
      </c>
      <c r="N126" s="89">
        <v>-16487.900000000001</v>
      </c>
      <c r="O126" s="90"/>
      <c r="P126" s="91"/>
      <c r="Q126" s="91"/>
      <c r="R126" s="91"/>
      <c r="S126" s="91"/>
      <c r="T126" s="91"/>
      <c r="U126" s="90"/>
      <c r="V126" s="91"/>
      <c r="W126" s="91"/>
      <c r="X126" s="91"/>
      <c r="Y126" s="91"/>
      <c r="Z126" s="91"/>
      <c r="AA126" s="88">
        <v>828.94100000000003</v>
      </c>
      <c r="AB126" s="89">
        <f t="shared" si="3"/>
        <v>174.85599999999999</v>
      </c>
      <c r="AC126" s="89">
        <v>117.673</v>
      </c>
      <c r="AD126" s="89">
        <v>57.183</v>
      </c>
      <c r="AE126" s="89">
        <v>654.08500000000004</v>
      </c>
      <c r="AF126" s="89"/>
      <c r="AG126" s="88">
        <v>36114.230901520001</v>
      </c>
      <c r="AH126" s="89">
        <v>5424.7608015199994</v>
      </c>
      <c r="AI126" s="89">
        <v>5424.7608015199994</v>
      </c>
      <c r="AJ126" s="89"/>
      <c r="AK126" s="89">
        <v>30689.470100000002</v>
      </c>
      <c r="AL126" s="89"/>
      <c r="AM126" s="88"/>
      <c r="AN126" s="89"/>
      <c r="AO126" s="89"/>
      <c r="AP126" s="89"/>
      <c r="AQ126" s="89"/>
      <c r="AR126" s="89"/>
      <c r="AS126" s="88">
        <v>24353000</v>
      </c>
      <c r="AT126" s="89">
        <f t="shared" si="5"/>
        <v>1539000</v>
      </c>
      <c r="AU126" s="89">
        <v>1539000</v>
      </c>
      <c r="AV126" s="89"/>
      <c r="AW126" s="89">
        <v>24831000</v>
      </c>
      <c r="AX126" s="89">
        <v>-2017000</v>
      </c>
      <c r="AY126" s="88"/>
      <c r="AZ126" s="89"/>
      <c r="BA126" s="89"/>
      <c r="BB126" s="89"/>
      <c r="BC126" s="89"/>
      <c r="BD126" s="89"/>
      <c r="BE126" s="88"/>
      <c r="BF126" s="89"/>
      <c r="BG126" s="89"/>
      <c r="BH126" s="89"/>
      <c r="BI126" s="89"/>
      <c r="BJ126" s="89"/>
      <c r="BK126" s="88"/>
      <c r="BL126" s="89"/>
      <c r="BM126" s="89"/>
      <c r="BN126" s="89"/>
      <c r="BO126" s="89"/>
      <c r="BP126" s="89"/>
      <c r="BQ126" s="88"/>
      <c r="BR126" s="89"/>
      <c r="BS126" s="89"/>
      <c r="BT126" s="89"/>
      <c r="BU126" s="89"/>
      <c r="BV126" s="89"/>
      <c r="BW126" s="88"/>
      <c r="BX126" s="89"/>
      <c r="BY126" s="89"/>
      <c r="BZ126" s="89"/>
      <c r="CA126" s="89"/>
      <c r="CB126" s="89"/>
      <c r="CC126" s="88"/>
      <c r="CD126" s="89"/>
      <c r="CE126" s="89"/>
      <c r="CF126" s="89"/>
      <c r="CG126" s="89"/>
      <c r="CH126" s="89"/>
      <c r="CI126" s="88"/>
      <c r="CJ126" s="89"/>
      <c r="CK126" s="89"/>
      <c r="CL126" s="89"/>
      <c r="CM126" s="89"/>
      <c r="CN126" s="89"/>
      <c r="CO126" s="88"/>
      <c r="CP126" s="89"/>
      <c r="CQ126" s="89"/>
      <c r="CR126" s="89"/>
      <c r="CS126" s="89"/>
      <c r="CT126" s="89"/>
      <c r="CU126" s="88">
        <f t="shared" si="4"/>
        <v>19605.191760000002</v>
      </c>
      <c r="CV126" s="89">
        <v>8291.1211900000017</v>
      </c>
      <c r="CW126" s="89">
        <v>8552.383170000001</v>
      </c>
      <c r="CX126" s="89">
        <v>-261.26197999999999</v>
      </c>
      <c r="CY126" s="89">
        <v>11314.07057</v>
      </c>
      <c r="CZ126" s="89"/>
      <c r="DA126" s="88"/>
      <c r="DB126" s="89"/>
      <c r="DC126" s="89"/>
      <c r="DD126" s="89"/>
      <c r="DE126" s="89"/>
      <c r="DF126" s="89"/>
      <c r="DG126" s="88">
        <v>116022.29999999999</v>
      </c>
      <c r="DH126" s="89">
        <v>94511.4</v>
      </c>
      <c r="DI126" s="89"/>
      <c r="DJ126" s="89"/>
      <c r="DK126" s="89">
        <v>26707.9</v>
      </c>
      <c r="DL126" s="89">
        <v>-5197</v>
      </c>
      <c r="DM126" s="88"/>
      <c r="DN126" s="89"/>
      <c r="DO126" s="89"/>
      <c r="DP126" s="89"/>
      <c r="DQ126" s="89"/>
      <c r="DR126" s="89"/>
      <c r="DS126" s="88"/>
      <c r="DT126" s="89"/>
      <c r="DU126" s="89"/>
      <c r="DV126" s="89"/>
      <c r="DW126" s="89"/>
      <c r="DX126" s="89"/>
      <c r="DY126" s="88">
        <v>5170.1684720000003</v>
      </c>
      <c r="DZ126" s="89">
        <f t="shared" si="8"/>
        <v>-290.52452799999992</v>
      </c>
      <c r="EA126" s="89">
        <v>459.84469200000001</v>
      </c>
      <c r="EB126" s="89">
        <v>-750.36921999999993</v>
      </c>
      <c r="EC126" s="89">
        <v>5460.6930000000002</v>
      </c>
      <c r="ED126" s="89"/>
      <c r="EE126" s="88"/>
      <c r="EF126" s="89"/>
      <c r="EG126" s="89"/>
      <c r="EH126" s="89"/>
      <c r="EI126" s="89"/>
      <c r="EJ126" s="89"/>
      <c r="EK126" s="88">
        <v>5878631.7498230003</v>
      </c>
      <c r="EL126" s="89">
        <f t="shared" si="2"/>
        <v>-506311.39600000012</v>
      </c>
      <c r="EM126" s="89">
        <v>-649816.02200000011</v>
      </c>
      <c r="EN126" s="89">
        <v>143504.62599999999</v>
      </c>
      <c r="EO126" s="89">
        <v>6246486.6218229998</v>
      </c>
      <c r="EP126" s="89">
        <v>138456.524</v>
      </c>
      <c r="EQ126" s="88"/>
      <c r="ER126" s="89"/>
      <c r="ES126" s="89"/>
      <c r="ET126" s="89"/>
      <c r="EU126" s="89"/>
      <c r="EV126" s="89"/>
      <c r="EW126" s="88"/>
      <c r="EX126" s="89"/>
      <c r="EY126" s="89"/>
      <c r="EZ126" s="89"/>
      <c r="FA126" s="89"/>
      <c r="FB126" s="89"/>
      <c r="FC126" s="88">
        <v>713.41840400000001</v>
      </c>
      <c r="FD126" s="89">
        <f t="shared" si="7"/>
        <v>64.20340400000002</v>
      </c>
      <c r="FE126" s="89">
        <v>184.05258300000003</v>
      </c>
      <c r="FF126" s="89">
        <v>-119.84917900000001</v>
      </c>
      <c r="FG126" s="89">
        <v>649.21500000000003</v>
      </c>
      <c r="FH126" s="89"/>
      <c r="FI126" s="88"/>
      <c r="FJ126" s="89"/>
      <c r="FK126" s="89"/>
      <c r="FL126" s="89"/>
      <c r="FM126" s="89"/>
      <c r="FN126" s="89"/>
      <c r="FO126" s="88"/>
      <c r="FP126" s="89"/>
      <c r="FQ126" s="89"/>
      <c r="FR126" s="89"/>
      <c r="FS126" s="89"/>
      <c r="FT126" s="89"/>
      <c r="FU126" s="88"/>
      <c r="FV126" s="89"/>
      <c r="FW126" s="89"/>
      <c r="FX126" s="89"/>
      <c r="FY126" s="89"/>
      <c r="FZ126" s="89"/>
      <c r="GA126" s="120">
        <v>16063.3</v>
      </c>
      <c r="GB126" s="121">
        <v>2602.2999999999997</v>
      </c>
      <c r="GC126" s="121">
        <v>543.6</v>
      </c>
      <c r="GD126" s="121">
        <v>2058.6999999999998</v>
      </c>
      <c r="GE126" s="121">
        <v>13461.1</v>
      </c>
      <c r="GF126" s="89"/>
      <c r="GG126" s="88"/>
      <c r="GH126" s="89"/>
      <c r="GI126" s="89"/>
      <c r="GJ126" s="89"/>
      <c r="GK126" s="89"/>
      <c r="GL126" s="89"/>
      <c r="GM126" s="88">
        <v>9759.0414333047993</v>
      </c>
      <c r="GN126" s="89">
        <v>1907.6463823300996</v>
      </c>
      <c r="GO126" s="89">
        <v>1774.6668880592997</v>
      </c>
      <c r="GP126" s="89">
        <v>132.97949427379999</v>
      </c>
      <c r="GQ126" s="89">
        <v>6774.7838986483002</v>
      </c>
      <c r="GR126" s="89">
        <v>1076.6111523263999</v>
      </c>
      <c r="GS126" s="88"/>
      <c r="GT126" s="87"/>
      <c r="GU126" s="87"/>
      <c r="GV126" s="87"/>
      <c r="GW126" s="87"/>
      <c r="GX126" s="87"/>
      <c r="GY126" s="87"/>
      <c r="GZ126" s="88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8"/>
      <c r="HM126" s="87"/>
      <c r="HN126" s="87"/>
      <c r="HO126" s="87"/>
      <c r="HP126" s="87"/>
      <c r="HQ126" s="87"/>
      <c r="HR126" s="87"/>
      <c r="HS126" s="87"/>
    </row>
    <row r="127" spans="1:231" ht="13.5" customHeight="1">
      <c r="A127" s="69"/>
      <c r="B127" s="87" t="s">
        <v>492</v>
      </c>
      <c r="C127" s="88"/>
      <c r="D127" s="87"/>
      <c r="E127" s="87"/>
      <c r="F127" s="87"/>
      <c r="G127" s="87"/>
      <c r="H127" s="87"/>
      <c r="I127" s="88">
        <v>87773.046000000017</v>
      </c>
      <c r="J127" s="89">
        <v>33805.529000000002</v>
      </c>
      <c r="K127" s="89"/>
      <c r="L127" s="89"/>
      <c r="M127" s="89">
        <v>68933.918000000005</v>
      </c>
      <c r="N127" s="89">
        <v>-14966.401</v>
      </c>
      <c r="O127" s="90"/>
      <c r="P127" s="91"/>
      <c r="Q127" s="91"/>
      <c r="R127" s="91"/>
      <c r="S127" s="91"/>
      <c r="T127" s="91"/>
      <c r="U127" s="90"/>
      <c r="V127" s="91"/>
      <c r="W127" s="91"/>
      <c r="X127" s="91"/>
      <c r="Y127" s="91"/>
      <c r="Z127" s="91"/>
      <c r="AA127" s="88">
        <v>830.62199999999996</v>
      </c>
      <c r="AB127" s="89">
        <f t="shared" si="3"/>
        <v>176.73400000000001</v>
      </c>
      <c r="AC127" s="89">
        <v>119.664</v>
      </c>
      <c r="AD127" s="89">
        <v>57.07</v>
      </c>
      <c r="AE127" s="89">
        <v>653.88800000000003</v>
      </c>
      <c r="AF127" s="89"/>
      <c r="AG127" s="88">
        <v>36541.281867641999</v>
      </c>
      <c r="AH127" s="89">
        <v>5656.4489676419998</v>
      </c>
      <c r="AI127" s="89">
        <v>5656.4489676419998</v>
      </c>
      <c r="AJ127" s="89"/>
      <c r="AK127" s="89">
        <v>30884.832899999998</v>
      </c>
      <c r="AL127" s="89"/>
      <c r="AM127" s="88"/>
      <c r="AN127" s="89"/>
      <c r="AO127" s="89"/>
      <c r="AP127" s="89"/>
      <c r="AQ127" s="89"/>
      <c r="AR127" s="89"/>
      <c r="AS127" s="88">
        <v>24377000</v>
      </c>
      <c r="AT127" s="89">
        <f t="shared" si="5"/>
        <v>1533000</v>
      </c>
      <c r="AU127" s="89">
        <v>1533000</v>
      </c>
      <c r="AV127" s="89"/>
      <c r="AW127" s="89">
        <v>25052000</v>
      </c>
      <c r="AX127" s="89">
        <v>-2208000</v>
      </c>
      <c r="AY127" s="88"/>
      <c r="AZ127" s="89"/>
      <c r="BA127" s="89"/>
      <c r="BB127" s="89"/>
      <c r="BC127" s="89"/>
      <c r="BD127" s="89"/>
      <c r="BE127" s="88"/>
      <c r="BF127" s="89"/>
      <c r="BG127" s="89"/>
      <c r="BH127" s="89"/>
      <c r="BI127" s="89"/>
      <c r="BJ127" s="89"/>
      <c r="BK127" s="88"/>
      <c r="BL127" s="89"/>
      <c r="BM127" s="89"/>
      <c r="BN127" s="89"/>
      <c r="BO127" s="89"/>
      <c r="BP127" s="89"/>
      <c r="BQ127" s="88"/>
      <c r="BR127" s="89"/>
      <c r="BS127" s="89"/>
      <c r="BT127" s="89"/>
      <c r="BU127" s="89"/>
      <c r="BV127" s="89"/>
      <c r="BW127" s="88"/>
      <c r="BX127" s="89"/>
      <c r="BY127" s="89"/>
      <c r="BZ127" s="89"/>
      <c r="CA127" s="89"/>
      <c r="CB127" s="89"/>
      <c r="CC127" s="88"/>
      <c r="CD127" s="89"/>
      <c r="CE127" s="89"/>
      <c r="CF127" s="89"/>
      <c r="CG127" s="89"/>
      <c r="CH127" s="89"/>
      <c r="CI127" s="88"/>
      <c r="CJ127" s="89"/>
      <c r="CK127" s="89"/>
      <c r="CL127" s="89"/>
      <c r="CM127" s="89"/>
      <c r="CN127" s="89"/>
      <c r="CO127" s="88"/>
      <c r="CP127" s="89"/>
      <c r="CQ127" s="89"/>
      <c r="CR127" s="89"/>
      <c r="CS127" s="89"/>
      <c r="CT127" s="89"/>
      <c r="CU127" s="88">
        <f t="shared" si="4"/>
        <v>19956.250120000001</v>
      </c>
      <c r="CV127" s="89">
        <v>8473.4892199999995</v>
      </c>
      <c r="CW127" s="89">
        <v>8656.6460999999999</v>
      </c>
      <c r="CX127" s="89">
        <v>-183.15688000000003</v>
      </c>
      <c r="CY127" s="89">
        <v>11482.760900000001</v>
      </c>
      <c r="CZ127" s="89"/>
      <c r="DA127" s="88"/>
      <c r="DB127" s="89"/>
      <c r="DC127" s="89"/>
      <c r="DD127" s="89"/>
      <c r="DE127" s="89"/>
      <c r="DF127" s="89"/>
      <c r="DG127" s="88">
        <v>120929.90000000001</v>
      </c>
      <c r="DH127" s="89">
        <v>99457.2</v>
      </c>
      <c r="DI127" s="89"/>
      <c r="DJ127" s="89"/>
      <c r="DK127" s="89">
        <v>26846.400000000001</v>
      </c>
      <c r="DL127" s="89">
        <v>-5373.7</v>
      </c>
      <c r="DM127" s="88"/>
      <c r="DN127" s="89"/>
      <c r="DO127" s="89"/>
      <c r="DP127" s="89"/>
      <c r="DQ127" s="89"/>
      <c r="DR127" s="89"/>
      <c r="DS127" s="88"/>
      <c r="DT127" s="89"/>
      <c r="DU127" s="89"/>
      <c r="DV127" s="89"/>
      <c r="DW127" s="89"/>
      <c r="DX127" s="89"/>
      <c r="DY127" s="88">
        <v>5200.1740159999999</v>
      </c>
      <c r="DZ127" s="89">
        <f t="shared" si="8"/>
        <v>-294.35398400000003</v>
      </c>
      <c r="EA127" s="89">
        <v>459.43712599999998</v>
      </c>
      <c r="EB127" s="89">
        <v>-753.79111</v>
      </c>
      <c r="EC127" s="89">
        <v>5494.5280000000002</v>
      </c>
      <c r="ED127" s="89"/>
      <c r="EE127" s="88"/>
      <c r="EF127" s="89"/>
      <c r="EG127" s="89"/>
      <c r="EH127" s="89"/>
      <c r="EI127" s="89"/>
      <c r="EJ127" s="89"/>
      <c r="EK127" s="88">
        <v>5884340.857264</v>
      </c>
      <c r="EL127" s="89">
        <f t="shared" si="2"/>
        <v>-463470.37599999993</v>
      </c>
      <c r="EM127" s="89">
        <v>-604855.64599999995</v>
      </c>
      <c r="EN127" s="89">
        <v>141385.27000000002</v>
      </c>
      <c r="EO127" s="89">
        <v>6216707.0622640001</v>
      </c>
      <c r="EP127" s="89">
        <v>131104.171</v>
      </c>
      <c r="EQ127" s="88"/>
      <c r="ER127" s="89"/>
      <c r="ES127" s="89"/>
      <c r="ET127" s="89"/>
      <c r="EU127" s="89"/>
      <c r="EV127" s="89"/>
      <c r="EW127" s="88"/>
      <c r="EX127" s="89"/>
      <c r="EY127" s="89"/>
      <c r="EZ127" s="89"/>
      <c r="FA127" s="89"/>
      <c r="FB127" s="89"/>
      <c r="FC127" s="88">
        <v>721.03795100000002</v>
      </c>
      <c r="FD127" s="89">
        <f t="shared" si="7"/>
        <v>68.120950999999991</v>
      </c>
      <c r="FE127" s="89">
        <v>185.92172299999999</v>
      </c>
      <c r="FF127" s="89">
        <v>-117.80077199999999</v>
      </c>
      <c r="FG127" s="89">
        <v>652.91700000000003</v>
      </c>
      <c r="FH127" s="89"/>
      <c r="FI127" s="88"/>
      <c r="FJ127" s="89"/>
      <c r="FK127" s="89"/>
      <c r="FL127" s="89"/>
      <c r="FM127" s="89"/>
      <c r="FN127" s="89"/>
      <c r="FO127" s="88"/>
      <c r="FP127" s="89"/>
      <c r="FQ127" s="89"/>
      <c r="FR127" s="89"/>
      <c r="FS127" s="89"/>
      <c r="FT127" s="89"/>
      <c r="FU127" s="88"/>
      <c r="FV127" s="89"/>
      <c r="FW127" s="89"/>
      <c r="FX127" s="89"/>
      <c r="FY127" s="89"/>
      <c r="FZ127" s="89"/>
      <c r="GA127" s="120"/>
      <c r="GB127" s="121"/>
      <c r="GC127" s="121"/>
      <c r="GD127" s="121"/>
      <c r="GE127" s="121"/>
      <c r="GF127" s="89"/>
      <c r="GG127" s="88"/>
      <c r="GH127" s="89"/>
      <c r="GI127" s="89"/>
      <c r="GJ127" s="89"/>
      <c r="GK127" s="89"/>
      <c r="GL127" s="89"/>
      <c r="GM127" s="88">
        <v>9948.2536676511008</v>
      </c>
      <c r="GN127" s="89">
        <v>1973.6795832508999</v>
      </c>
      <c r="GO127" s="89">
        <v>1829.8832837781997</v>
      </c>
      <c r="GP127" s="89">
        <v>143.7962994727001</v>
      </c>
      <c r="GQ127" s="89">
        <v>6875.8433418195009</v>
      </c>
      <c r="GR127" s="89">
        <v>1098.7307425807001</v>
      </c>
      <c r="GS127" s="88"/>
      <c r="GT127" s="87"/>
      <c r="GU127" s="87"/>
      <c r="GV127" s="87"/>
      <c r="GW127" s="87"/>
      <c r="GX127" s="87"/>
      <c r="GY127" s="87"/>
      <c r="GZ127" s="88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8"/>
      <c r="HM127" s="87"/>
      <c r="HN127" s="87"/>
      <c r="HO127" s="87"/>
      <c r="HP127" s="87"/>
      <c r="HQ127" s="87"/>
      <c r="HR127" s="87"/>
      <c r="HS127" s="87"/>
    </row>
    <row r="128" spans="1:231" ht="13.5" customHeight="1">
      <c r="A128" s="69"/>
      <c r="B128" s="87" t="s">
        <v>493</v>
      </c>
      <c r="C128" s="88"/>
      <c r="D128" s="87"/>
      <c r="E128" s="87"/>
      <c r="F128" s="87"/>
      <c r="G128" s="87"/>
      <c r="H128" s="87"/>
      <c r="I128" s="88">
        <v>87424.381999999998</v>
      </c>
      <c r="J128" s="89">
        <v>34637.351000000002</v>
      </c>
      <c r="K128" s="89"/>
      <c r="L128" s="89"/>
      <c r="M128" s="89">
        <v>68986.396999999997</v>
      </c>
      <c r="N128" s="89">
        <v>-16199.366</v>
      </c>
      <c r="O128" s="90"/>
      <c r="P128" s="91"/>
      <c r="Q128" s="91"/>
      <c r="R128" s="91"/>
      <c r="S128" s="91"/>
      <c r="T128" s="91"/>
      <c r="U128" s="90"/>
      <c r="V128" s="91"/>
      <c r="W128" s="91"/>
      <c r="X128" s="91"/>
      <c r="Y128" s="91"/>
      <c r="Z128" s="91"/>
      <c r="AA128" s="88">
        <v>833.95100000000002</v>
      </c>
      <c r="AB128" s="89">
        <f t="shared" si="3"/>
        <v>181.10399999999998</v>
      </c>
      <c r="AC128" s="89">
        <v>123.23699999999999</v>
      </c>
      <c r="AD128" s="89">
        <v>57.866999999999997</v>
      </c>
      <c r="AE128" s="89">
        <v>652.84699999999998</v>
      </c>
      <c r="AF128" s="89"/>
      <c r="AG128" s="88">
        <v>36531.697775257999</v>
      </c>
      <c r="AH128" s="89">
        <v>5677.2377752579987</v>
      </c>
      <c r="AI128" s="89">
        <v>5677.2377752579987</v>
      </c>
      <c r="AJ128" s="89"/>
      <c r="AK128" s="89">
        <v>30854.46</v>
      </c>
      <c r="AL128" s="89"/>
      <c r="AM128" s="88"/>
      <c r="AN128" s="89"/>
      <c r="AO128" s="89"/>
      <c r="AP128" s="89"/>
      <c r="AQ128" s="89"/>
      <c r="AR128" s="89"/>
      <c r="AS128" s="88">
        <v>24051000</v>
      </c>
      <c r="AT128" s="89">
        <f t="shared" si="5"/>
        <v>1457000</v>
      </c>
      <c r="AU128" s="89">
        <v>1457000</v>
      </c>
      <c r="AV128" s="89"/>
      <c r="AW128" s="89">
        <v>25097000</v>
      </c>
      <c r="AX128" s="89">
        <v>-2503000</v>
      </c>
      <c r="AY128" s="88"/>
      <c r="AZ128" s="89"/>
      <c r="BA128" s="89"/>
      <c r="BB128" s="89"/>
      <c r="BC128" s="89"/>
      <c r="BD128" s="89"/>
      <c r="BE128" s="88"/>
      <c r="BF128" s="89"/>
      <c r="BG128" s="89"/>
      <c r="BH128" s="89"/>
      <c r="BI128" s="89"/>
      <c r="BJ128" s="89"/>
      <c r="BK128" s="88"/>
      <c r="BL128" s="89"/>
      <c r="BM128" s="89"/>
      <c r="BN128" s="89"/>
      <c r="BO128" s="89"/>
      <c r="BP128" s="89"/>
      <c r="BQ128" s="88"/>
      <c r="BR128" s="89"/>
      <c r="BS128" s="89"/>
      <c r="BT128" s="89"/>
      <c r="BU128" s="89"/>
      <c r="BV128" s="89"/>
      <c r="BW128" s="88"/>
      <c r="BX128" s="89"/>
      <c r="BY128" s="89"/>
      <c r="BZ128" s="89"/>
      <c r="CA128" s="89"/>
      <c r="CB128" s="89"/>
      <c r="CC128" s="88"/>
      <c r="CD128" s="89"/>
      <c r="CE128" s="89"/>
      <c r="CF128" s="89"/>
      <c r="CG128" s="89"/>
      <c r="CH128" s="89"/>
      <c r="CI128" s="88"/>
      <c r="CJ128" s="89"/>
      <c r="CK128" s="89"/>
      <c r="CL128" s="89"/>
      <c r="CM128" s="89"/>
      <c r="CN128" s="89"/>
      <c r="CO128" s="88"/>
      <c r="CP128" s="89"/>
      <c r="CQ128" s="89"/>
      <c r="CR128" s="89"/>
      <c r="CS128" s="89"/>
      <c r="CT128" s="89"/>
      <c r="CU128" s="88">
        <f t="shared" si="4"/>
        <v>20022.107438860003</v>
      </c>
      <c r="CV128" s="89">
        <v>8603.7092050299998</v>
      </c>
      <c r="CW128" s="89">
        <v>8743.93144226</v>
      </c>
      <c r="CX128" s="89">
        <v>-140.22223722999999</v>
      </c>
      <c r="CY128" s="89">
        <v>11418.398233830001</v>
      </c>
      <c r="CZ128" s="89"/>
      <c r="DA128" s="88"/>
      <c r="DB128" s="89"/>
      <c r="DC128" s="89"/>
      <c r="DD128" s="89"/>
      <c r="DE128" s="89"/>
      <c r="DF128" s="89"/>
      <c r="DG128" s="88">
        <v>123192.7</v>
      </c>
      <c r="DH128" s="89">
        <v>101710</v>
      </c>
      <c r="DI128" s="89"/>
      <c r="DJ128" s="89"/>
      <c r="DK128" s="89">
        <v>26955.8</v>
      </c>
      <c r="DL128" s="89">
        <v>-5473.1</v>
      </c>
      <c r="DM128" s="88"/>
      <c r="DN128" s="89"/>
      <c r="DO128" s="89"/>
      <c r="DP128" s="89"/>
      <c r="DQ128" s="89"/>
      <c r="DR128" s="89"/>
      <c r="DS128" s="88"/>
      <c r="DT128" s="89"/>
      <c r="DU128" s="89"/>
      <c r="DV128" s="89"/>
      <c r="DW128" s="89"/>
      <c r="DX128" s="89"/>
      <c r="DY128" s="88">
        <v>5267.2297850000004</v>
      </c>
      <c r="DZ128" s="89">
        <f t="shared" si="8"/>
        <v>-283.45921500000009</v>
      </c>
      <c r="EA128" s="89">
        <v>475.62659399999995</v>
      </c>
      <c r="EB128" s="89">
        <v>-759.08580900000004</v>
      </c>
      <c r="EC128" s="89">
        <v>5550.6890000000003</v>
      </c>
      <c r="ED128" s="89"/>
      <c r="EE128" s="88"/>
      <c r="EF128" s="89"/>
      <c r="EG128" s="89"/>
      <c r="EH128" s="89"/>
      <c r="EI128" s="89"/>
      <c r="EJ128" s="89"/>
      <c r="EK128" s="88">
        <v>5843085.091940999</v>
      </c>
      <c r="EL128" s="89">
        <f t="shared" si="2"/>
        <v>-507053.78199999989</v>
      </c>
      <c r="EM128" s="89">
        <v>-657114.15099999984</v>
      </c>
      <c r="EN128" s="89">
        <v>150060.36899999995</v>
      </c>
      <c r="EO128" s="89">
        <v>6215447.3609409984</v>
      </c>
      <c r="EP128" s="89">
        <v>134691.51299999998</v>
      </c>
      <c r="EQ128" s="88"/>
      <c r="ER128" s="89"/>
      <c r="ES128" s="89"/>
      <c r="ET128" s="89"/>
      <c r="EU128" s="89"/>
      <c r="EV128" s="89"/>
      <c r="EW128" s="88"/>
      <c r="EX128" s="89"/>
      <c r="EY128" s="89"/>
      <c r="EZ128" s="89"/>
      <c r="FA128" s="89"/>
      <c r="FB128" s="89"/>
      <c r="FC128" s="88">
        <v>720.04551700000002</v>
      </c>
      <c r="FD128" s="89">
        <f t="shared" si="7"/>
        <v>60.30151699999999</v>
      </c>
      <c r="FE128" s="89">
        <v>199.96109899999999</v>
      </c>
      <c r="FF128" s="89">
        <v>-139.659582</v>
      </c>
      <c r="FG128" s="89">
        <v>659.74400000000003</v>
      </c>
      <c r="FH128" s="89"/>
      <c r="FI128" s="88"/>
      <c r="FJ128" s="89"/>
      <c r="FK128" s="89"/>
      <c r="FL128" s="89"/>
      <c r="FM128" s="89"/>
      <c r="FN128" s="89"/>
      <c r="FO128" s="88"/>
      <c r="FP128" s="89"/>
      <c r="FQ128" s="89"/>
      <c r="FR128" s="89"/>
      <c r="FS128" s="89"/>
      <c r="FT128" s="89"/>
      <c r="FU128" s="88"/>
      <c r="FV128" s="89"/>
      <c r="FW128" s="89"/>
      <c r="FX128" s="89"/>
      <c r="FY128" s="89"/>
      <c r="FZ128" s="89"/>
      <c r="GA128" s="120"/>
      <c r="GB128" s="121"/>
      <c r="GC128" s="121"/>
      <c r="GD128" s="121"/>
      <c r="GE128" s="121"/>
      <c r="GF128" s="89"/>
      <c r="GG128" s="88"/>
      <c r="GH128" s="89"/>
      <c r="GI128" s="89"/>
      <c r="GJ128" s="89"/>
      <c r="GK128" s="89"/>
      <c r="GL128" s="89"/>
      <c r="GM128" s="88">
        <v>10031.5206869921</v>
      </c>
      <c r="GN128" s="89">
        <v>1990.4487081825998</v>
      </c>
      <c r="GO128" s="89">
        <v>1867.8511628616</v>
      </c>
      <c r="GP128" s="89">
        <v>122.59754532099981</v>
      </c>
      <c r="GQ128" s="89">
        <v>7219.9284516682001</v>
      </c>
      <c r="GR128" s="89">
        <v>821.1435273413</v>
      </c>
      <c r="GS128" s="88"/>
      <c r="GT128" s="87"/>
      <c r="GU128" s="87"/>
      <c r="GV128" s="87"/>
      <c r="GW128" s="87"/>
      <c r="GX128" s="87"/>
      <c r="GY128" s="87"/>
      <c r="GZ128" s="88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8"/>
      <c r="HM128" s="87"/>
      <c r="HN128" s="87"/>
      <c r="HO128" s="87"/>
      <c r="HP128" s="87"/>
      <c r="HQ128" s="87"/>
      <c r="HR128" s="87"/>
      <c r="HS128" s="87"/>
    </row>
    <row r="129" spans="1:227">
      <c r="A129" s="69"/>
      <c r="B129" s="87" t="s">
        <v>494</v>
      </c>
      <c r="C129" s="88"/>
      <c r="D129" s="87"/>
      <c r="E129" s="87"/>
      <c r="F129" s="87"/>
      <c r="G129" s="87"/>
      <c r="H129" s="87"/>
      <c r="I129" s="88">
        <v>88124.77</v>
      </c>
      <c r="J129" s="89">
        <v>33837.256999999998</v>
      </c>
      <c r="K129" s="89"/>
      <c r="L129" s="89"/>
      <c r="M129" s="89">
        <v>68338.843000000008</v>
      </c>
      <c r="N129" s="89">
        <v>-14051.33</v>
      </c>
      <c r="O129" s="90"/>
      <c r="P129" s="91"/>
      <c r="Q129" s="91"/>
      <c r="R129" s="91"/>
      <c r="S129" s="91"/>
      <c r="T129" s="91"/>
      <c r="U129" s="90"/>
      <c r="V129" s="91"/>
      <c r="W129" s="91"/>
      <c r="X129" s="91"/>
      <c r="Y129" s="91"/>
      <c r="Z129" s="91"/>
      <c r="AA129" s="88">
        <v>804.66800000000001</v>
      </c>
      <c r="AB129" s="89">
        <f t="shared" si="3"/>
        <v>142.755</v>
      </c>
      <c r="AC129" s="89">
        <v>85.581000000000003</v>
      </c>
      <c r="AD129" s="89">
        <v>57.173999999999999</v>
      </c>
      <c r="AE129" s="89">
        <v>661.91300000000001</v>
      </c>
      <c r="AF129" s="89"/>
      <c r="AG129" s="88">
        <v>36407.756014968996</v>
      </c>
      <c r="AH129" s="89">
        <v>5441.1560149689994</v>
      </c>
      <c r="AI129" s="89">
        <v>5441.1560149689994</v>
      </c>
      <c r="AJ129" s="89"/>
      <c r="AK129" s="89">
        <v>30966.6</v>
      </c>
      <c r="AL129" s="89"/>
      <c r="AM129" s="88"/>
      <c r="AN129" s="89"/>
      <c r="AO129" s="89"/>
      <c r="AP129" s="89"/>
      <c r="AQ129" s="89"/>
      <c r="AR129" s="89"/>
      <c r="AS129" s="88">
        <v>24375000</v>
      </c>
      <c r="AT129" s="89">
        <f t="shared" si="5"/>
        <v>1734000</v>
      </c>
      <c r="AU129" s="89">
        <v>1734000</v>
      </c>
      <c r="AV129" s="89"/>
      <c r="AW129" s="89">
        <v>25257000</v>
      </c>
      <c r="AX129" s="89">
        <v>-2616000</v>
      </c>
      <c r="AY129" s="88"/>
      <c r="AZ129" s="89"/>
      <c r="BA129" s="89"/>
      <c r="BB129" s="89"/>
      <c r="BC129" s="89"/>
      <c r="BD129" s="89"/>
      <c r="BE129" s="88"/>
      <c r="BF129" s="89"/>
      <c r="BG129" s="89"/>
      <c r="BH129" s="89"/>
      <c r="BI129" s="89"/>
      <c r="BJ129" s="89"/>
      <c r="BK129" s="88"/>
      <c r="BL129" s="89"/>
      <c r="BM129" s="89"/>
      <c r="BN129" s="89"/>
      <c r="BO129" s="89"/>
      <c r="BP129" s="89"/>
      <c r="BQ129" s="88"/>
      <c r="BR129" s="89"/>
      <c r="BS129" s="89"/>
      <c r="BT129" s="89"/>
      <c r="BU129" s="89"/>
      <c r="BV129" s="89"/>
      <c r="BW129" s="88"/>
      <c r="BX129" s="89"/>
      <c r="BY129" s="89"/>
      <c r="BZ129" s="89"/>
      <c r="CA129" s="89"/>
      <c r="CB129" s="89"/>
      <c r="CC129" s="88"/>
      <c r="CD129" s="89"/>
      <c r="CE129" s="89"/>
      <c r="CF129" s="89"/>
      <c r="CG129" s="89"/>
      <c r="CH129" s="89"/>
      <c r="CI129" s="88"/>
      <c r="CJ129" s="89"/>
      <c r="CK129" s="89"/>
      <c r="CL129" s="89"/>
      <c r="CM129" s="89"/>
      <c r="CN129" s="89"/>
      <c r="CO129" s="88"/>
      <c r="CP129" s="89"/>
      <c r="CQ129" s="89"/>
      <c r="CR129" s="89"/>
      <c r="CS129" s="89"/>
      <c r="CT129" s="89"/>
      <c r="CU129" s="88">
        <f t="shared" si="4"/>
        <v>20316.493095360001</v>
      </c>
      <c r="CV129" s="89">
        <v>8803.1061953600019</v>
      </c>
      <c r="CW129" s="89">
        <v>8913.1629600000015</v>
      </c>
      <c r="CX129" s="89">
        <v>-110.05676464000001</v>
      </c>
      <c r="CY129" s="89">
        <v>11513.3869</v>
      </c>
      <c r="CZ129" s="89"/>
      <c r="DA129" s="88"/>
      <c r="DB129" s="89"/>
      <c r="DC129" s="89"/>
      <c r="DD129" s="89"/>
      <c r="DE129" s="89"/>
      <c r="DF129" s="89"/>
      <c r="DG129" s="88">
        <v>129228.8</v>
      </c>
      <c r="DH129" s="89">
        <v>107721</v>
      </c>
      <c r="DI129" s="89"/>
      <c r="DJ129" s="89"/>
      <c r="DK129" s="89">
        <v>27040.1</v>
      </c>
      <c r="DL129" s="89">
        <v>-5532.3</v>
      </c>
      <c r="DM129" s="88"/>
      <c r="DN129" s="89"/>
      <c r="DO129" s="89"/>
      <c r="DP129" s="89"/>
      <c r="DQ129" s="89"/>
      <c r="DR129" s="89"/>
      <c r="DS129" s="88"/>
      <c r="DT129" s="89"/>
      <c r="DU129" s="89"/>
      <c r="DV129" s="89"/>
      <c r="DW129" s="89"/>
      <c r="DX129" s="89"/>
      <c r="DY129" s="88">
        <v>5305.572032</v>
      </c>
      <c r="DZ129" s="89">
        <f t="shared" si="8"/>
        <v>-316.50196800000003</v>
      </c>
      <c r="EA129" s="89">
        <v>431.61263199999996</v>
      </c>
      <c r="EB129" s="89">
        <v>-748.1146</v>
      </c>
      <c r="EC129" s="89">
        <v>5622.0739999999996</v>
      </c>
      <c r="ED129" s="89"/>
      <c r="EE129" s="88"/>
      <c r="EF129" s="89"/>
      <c r="EG129" s="89"/>
      <c r="EH129" s="89"/>
      <c r="EI129" s="89"/>
      <c r="EJ129" s="89"/>
      <c r="EK129" s="88">
        <v>5983777.9871770013</v>
      </c>
      <c r="EL129" s="89">
        <f t="shared" ref="EL129:EL146" si="9">EM129+EN129</f>
        <v>-398851.73399999971</v>
      </c>
      <c r="EM129" s="89">
        <v>-564602.8759999997</v>
      </c>
      <c r="EN129" s="89">
        <v>165751.14200000002</v>
      </c>
      <c r="EO129" s="89">
        <v>6250113.2871770002</v>
      </c>
      <c r="EP129" s="89">
        <v>132516.43399999998</v>
      </c>
      <c r="EQ129" s="88"/>
      <c r="ER129" s="89"/>
      <c r="ES129" s="89"/>
      <c r="ET129" s="89"/>
      <c r="EU129" s="89"/>
      <c r="EV129" s="89"/>
      <c r="EW129" s="88"/>
      <c r="EX129" s="89"/>
      <c r="EY129" s="89"/>
      <c r="EZ129" s="89"/>
      <c r="FA129" s="89"/>
      <c r="FB129" s="89"/>
      <c r="FC129" s="88">
        <v>733.27090399999997</v>
      </c>
      <c r="FD129" s="89">
        <f t="shared" si="7"/>
        <v>67.374903999999987</v>
      </c>
      <c r="FE129" s="89">
        <v>209.98586699999998</v>
      </c>
      <c r="FF129" s="89">
        <v>-142.610963</v>
      </c>
      <c r="FG129" s="89">
        <v>665.89599999999996</v>
      </c>
      <c r="FH129" s="89"/>
      <c r="FI129" s="88"/>
      <c r="FJ129" s="89"/>
      <c r="FK129" s="89"/>
      <c r="FL129" s="89"/>
      <c r="FM129" s="89"/>
      <c r="FN129" s="89"/>
      <c r="FO129" s="88"/>
      <c r="FP129" s="89"/>
      <c r="FQ129" s="89"/>
      <c r="FR129" s="89"/>
      <c r="FS129" s="89"/>
      <c r="FT129" s="89"/>
      <c r="FU129" s="88"/>
      <c r="FV129" s="89"/>
      <c r="FW129" s="89"/>
      <c r="FX129" s="89"/>
      <c r="FY129" s="89"/>
      <c r="FZ129" s="89"/>
      <c r="GA129" s="120">
        <v>14135.7</v>
      </c>
      <c r="GB129" s="121">
        <v>215.5</v>
      </c>
      <c r="GC129" s="121">
        <v>-1819.7</v>
      </c>
      <c r="GD129" s="121">
        <v>2035.2</v>
      </c>
      <c r="GE129" s="121">
        <v>13920.1</v>
      </c>
      <c r="GF129" s="89"/>
      <c r="GG129" s="88"/>
      <c r="GH129" s="89"/>
      <c r="GI129" s="89"/>
      <c r="GJ129" s="89"/>
      <c r="GK129" s="89"/>
      <c r="GL129" s="89"/>
      <c r="GM129" s="88">
        <v>10104.256121696699</v>
      </c>
      <c r="GN129" s="89">
        <v>2105.0433955208</v>
      </c>
      <c r="GO129" s="89">
        <v>1936.1047870827997</v>
      </c>
      <c r="GP129" s="89">
        <v>168.93860843800007</v>
      </c>
      <c r="GQ129" s="89">
        <v>7224.0257615061</v>
      </c>
      <c r="GR129" s="89">
        <v>775.18696466979998</v>
      </c>
      <c r="GS129" s="88"/>
      <c r="GT129" s="87"/>
      <c r="GU129" s="87"/>
      <c r="GV129" s="87"/>
      <c r="GW129" s="87"/>
      <c r="GX129" s="87"/>
      <c r="GY129" s="87"/>
      <c r="GZ129" s="88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8"/>
      <c r="HM129" s="87"/>
      <c r="HN129" s="87"/>
      <c r="HO129" s="87"/>
      <c r="HP129" s="87"/>
      <c r="HQ129" s="87"/>
      <c r="HR129" s="87"/>
      <c r="HS129" s="87"/>
    </row>
    <row r="130" spans="1:227">
      <c r="A130" s="69"/>
      <c r="B130" s="87" t="s">
        <v>495</v>
      </c>
      <c r="C130" s="88"/>
      <c r="D130" s="87"/>
      <c r="E130" s="87"/>
      <c r="F130" s="87"/>
      <c r="G130" s="87"/>
      <c r="H130" s="87"/>
      <c r="I130" s="88">
        <v>88480.479000000007</v>
      </c>
      <c r="J130" s="89">
        <v>34509.714</v>
      </c>
      <c r="K130" s="89"/>
      <c r="L130" s="89"/>
      <c r="M130" s="89">
        <v>67686.415999999997</v>
      </c>
      <c r="N130" s="89">
        <v>-13715.651</v>
      </c>
      <c r="O130" s="90"/>
      <c r="P130" s="91"/>
      <c r="Q130" s="91"/>
      <c r="R130" s="91"/>
      <c r="S130" s="91"/>
      <c r="T130" s="91"/>
      <c r="U130" s="90"/>
      <c r="V130" s="91"/>
      <c r="W130" s="91"/>
      <c r="X130" s="91"/>
      <c r="Y130" s="91"/>
      <c r="Z130" s="91"/>
      <c r="AA130" s="88">
        <v>814.03099999999995</v>
      </c>
      <c r="AB130" s="89">
        <f t="shared" si="3"/>
        <v>150.01499999999999</v>
      </c>
      <c r="AC130" s="89">
        <v>92.156999999999996</v>
      </c>
      <c r="AD130" s="89">
        <v>57.857999999999997</v>
      </c>
      <c r="AE130" s="89">
        <v>664.01599999999996</v>
      </c>
      <c r="AF130" s="89"/>
      <c r="AG130" s="88">
        <v>36571.432871839999</v>
      </c>
      <c r="AH130" s="89">
        <v>5609.4478718400014</v>
      </c>
      <c r="AI130" s="89">
        <v>5609.4478718400014</v>
      </c>
      <c r="AJ130" s="89"/>
      <c r="AK130" s="89">
        <v>30961.985000000001</v>
      </c>
      <c r="AL130" s="89"/>
      <c r="AM130" s="88"/>
      <c r="AN130" s="89"/>
      <c r="AO130" s="89"/>
      <c r="AP130" s="89"/>
      <c r="AQ130" s="89"/>
      <c r="AR130" s="89"/>
      <c r="AS130" s="88">
        <v>24454000</v>
      </c>
      <c r="AT130" s="89">
        <f t="shared" si="5"/>
        <v>2070000</v>
      </c>
      <c r="AU130" s="89">
        <v>2070000</v>
      </c>
      <c r="AV130" s="89"/>
      <c r="AW130" s="89">
        <v>25415000</v>
      </c>
      <c r="AX130" s="89">
        <v>-3031000</v>
      </c>
      <c r="AY130" s="88"/>
      <c r="AZ130" s="89"/>
      <c r="BA130" s="89"/>
      <c r="BB130" s="89"/>
      <c r="BC130" s="89"/>
      <c r="BD130" s="89"/>
      <c r="BE130" s="88"/>
      <c r="BF130" s="89"/>
      <c r="BG130" s="89"/>
      <c r="BH130" s="89"/>
      <c r="BI130" s="89"/>
      <c r="BJ130" s="89"/>
      <c r="BK130" s="88"/>
      <c r="BL130" s="89"/>
      <c r="BM130" s="89"/>
      <c r="BN130" s="89"/>
      <c r="BO130" s="89"/>
      <c r="BP130" s="89"/>
      <c r="BQ130" s="88"/>
      <c r="BR130" s="89"/>
      <c r="BS130" s="89"/>
      <c r="BT130" s="89"/>
      <c r="BU130" s="89"/>
      <c r="BV130" s="89"/>
      <c r="BW130" s="88"/>
      <c r="BX130" s="89"/>
      <c r="BY130" s="89"/>
      <c r="BZ130" s="89"/>
      <c r="CA130" s="89"/>
      <c r="CB130" s="89"/>
      <c r="CC130" s="88"/>
      <c r="CD130" s="89"/>
      <c r="CE130" s="89"/>
      <c r="CF130" s="89"/>
      <c r="CG130" s="89"/>
      <c r="CH130" s="89"/>
      <c r="CI130" s="88"/>
      <c r="CJ130" s="89"/>
      <c r="CK130" s="89"/>
      <c r="CL130" s="89"/>
      <c r="CM130" s="89"/>
      <c r="CN130" s="89"/>
      <c r="CO130" s="88"/>
      <c r="CP130" s="89"/>
      <c r="CQ130" s="89"/>
      <c r="CR130" s="89"/>
      <c r="CS130" s="89"/>
      <c r="CT130" s="89"/>
      <c r="CU130" s="88">
        <f t="shared" si="4"/>
        <v>20566.825185359998</v>
      </c>
      <c r="CV130" s="89">
        <v>8928.9730853599976</v>
      </c>
      <c r="CW130" s="89">
        <v>9084.5399499999985</v>
      </c>
      <c r="CX130" s="89">
        <v>-155.56686464000001</v>
      </c>
      <c r="CY130" s="89">
        <v>11637.8521</v>
      </c>
      <c r="CZ130" s="89"/>
      <c r="DA130" s="88"/>
      <c r="DB130" s="89"/>
      <c r="DC130" s="89"/>
      <c r="DD130" s="89"/>
      <c r="DE130" s="89"/>
      <c r="DF130" s="89"/>
      <c r="DG130" s="88">
        <v>130704.6</v>
      </c>
      <c r="DH130" s="89">
        <v>109295.2</v>
      </c>
      <c r="DI130" s="89"/>
      <c r="DJ130" s="89"/>
      <c r="DK130" s="89">
        <v>27026</v>
      </c>
      <c r="DL130" s="89">
        <v>-5616.6</v>
      </c>
      <c r="DM130" s="88"/>
      <c r="DN130" s="89"/>
      <c r="DO130" s="89"/>
      <c r="DP130" s="89"/>
      <c r="DQ130" s="89"/>
      <c r="DR130" s="89"/>
      <c r="DS130" s="88"/>
      <c r="DT130" s="89"/>
      <c r="DU130" s="89"/>
      <c r="DV130" s="89"/>
      <c r="DW130" s="89"/>
      <c r="DX130" s="89"/>
      <c r="DY130" s="88">
        <v>5406.3338329999997</v>
      </c>
      <c r="DZ130" s="89">
        <f t="shared" si="8"/>
        <v>-291.01516699999996</v>
      </c>
      <c r="EA130" s="89">
        <v>471.21966800000001</v>
      </c>
      <c r="EB130" s="89">
        <v>-762.23483499999998</v>
      </c>
      <c r="EC130" s="89">
        <v>5697.3490000000002</v>
      </c>
      <c r="ED130" s="89"/>
      <c r="EE130" s="88"/>
      <c r="EF130" s="89"/>
      <c r="EG130" s="89"/>
      <c r="EH130" s="89"/>
      <c r="EI130" s="89"/>
      <c r="EJ130" s="89"/>
      <c r="EK130" s="88">
        <v>6057646.3344627358</v>
      </c>
      <c r="EL130" s="89">
        <f t="shared" si="9"/>
        <v>-357558.511</v>
      </c>
      <c r="EM130" s="89">
        <v>-493317.76300000004</v>
      </c>
      <c r="EN130" s="89">
        <v>135759.25200000004</v>
      </c>
      <c r="EO130" s="89">
        <v>6287703.0824627355</v>
      </c>
      <c r="EP130" s="89">
        <v>127501.76299999999</v>
      </c>
      <c r="EQ130" s="88"/>
      <c r="ER130" s="89"/>
      <c r="ES130" s="89"/>
      <c r="ET130" s="89"/>
      <c r="EU130" s="89"/>
      <c r="EV130" s="89"/>
      <c r="EW130" s="88"/>
      <c r="EX130" s="89"/>
      <c r="EY130" s="89"/>
      <c r="EZ130" s="89"/>
      <c r="FA130" s="89"/>
      <c r="FB130" s="89"/>
      <c r="FC130" s="88">
        <v>751.42997800000001</v>
      </c>
      <c r="FD130" s="89">
        <f t="shared" si="7"/>
        <v>76.68097800000001</v>
      </c>
      <c r="FE130" s="89">
        <v>213.884702</v>
      </c>
      <c r="FF130" s="89">
        <v>-137.20372399999999</v>
      </c>
      <c r="FG130" s="89">
        <v>674.74900000000002</v>
      </c>
      <c r="FH130" s="89"/>
      <c r="FI130" s="88"/>
      <c r="FJ130" s="89"/>
      <c r="FK130" s="89"/>
      <c r="FL130" s="89"/>
      <c r="FM130" s="89"/>
      <c r="FN130" s="89"/>
      <c r="FO130" s="88"/>
      <c r="FP130" s="89"/>
      <c r="FQ130" s="89"/>
      <c r="FR130" s="89"/>
      <c r="FS130" s="89"/>
      <c r="FT130" s="89"/>
      <c r="FU130" s="88"/>
      <c r="FV130" s="89"/>
      <c r="FW130" s="89"/>
      <c r="FX130" s="89"/>
      <c r="FY130" s="89"/>
      <c r="FZ130" s="89"/>
      <c r="GA130" s="120"/>
      <c r="GB130" s="121"/>
      <c r="GC130" s="121"/>
      <c r="GD130" s="121"/>
      <c r="GE130" s="121"/>
      <c r="GF130" s="89"/>
      <c r="GG130" s="88"/>
      <c r="GH130" s="89"/>
      <c r="GI130" s="89"/>
      <c r="GJ130" s="89"/>
      <c r="GK130" s="89"/>
      <c r="GL130" s="89"/>
      <c r="GM130" s="88">
        <v>10489.4608864482</v>
      </c>
      <c r="GN130" s="89">
        <v>2323.6199416957998</v>
      </c>
      <c r="GO130" s="89">
        <v>2133.7911184799996</v>
      </c>
      <c r="GP130" s="89">
        <v>189.82882321579987</v>
      </c>
      <c r="GQ130" s="89">
        <v>7341.0388911528989</v>
      </c>
      <c r="GR130" s="89">
        <v>824.80205359950003</v>
      </c>
      <c r="GS130" s="88"/>
      <c r="GT130" s="87"/>
      <c r="GU130" s="87"/>
      <c r="GV130" s="87"/>
      <c r="GW130" s="87"/>
      <c r="GX130" s="87"/>
      <c r="GY130" s="87"/>
      <c r="GZ130" s="88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8"/>
      <c r="HM130" s="87"/>
      <c r="HN130" s="87"/>
      <c r="HO130" s="87"/>
      <c r="HP130" s="87"/>
      <c r="HQ130" s="87"/>
      <c r="HR130" s="87"/>
      <c r="HS130" s="87"/>
    </row>
    <row r="131" spans="1:227">
      <c r="A131" s="69"/>
      <c r="B131" s="87" t="s">
        <v>496</v>
      </c>
      <c r="C131" s="88"/>
      <c r="D131" s="87"/>
      <c r="E131" s="87"/>
      <c r="F131" s="87"/>
      <c r="G131" s="87"/>
      <c r="H131" s="87"/>
      <c r="I131" s="88">
        <v>88871.620999999999</v>
      </c>
      <c r="J131" s="89">
        <v>35274.828999999998</v>
      </c>
      <c r="K131" s="89"/>
      <c r="L131" s="89"/>
      <c r="M131" s="89">
        <v>67975.824999999997</v>
      </c>
      <c r="N131" s="89">
        <v>-14379.032999999999</v>
      </c>
      <c r="O131" s="90"/>
      <c r="P131" s="91"/>
      <c r="Q131" s="91"/>
      <c r="R131" s="91"/>
      <c r="S131" s="91"/>
      <c r="T131" s="91"/>
      <c r="U131" s="90"/>
      <c r="V131" s="91"/>
      <c r="W131" s="91"/>
      <c r="X131" s="91"/>
      <c r="Y131" s="91"/>
      <c r="Z131" s="91"/>
      <c r="AA131" s="88">
        <v>839.94</v>
      </c>
      <c r="AB131" s="89">
        <f t="shared" si="3"/>
        <v>164.76900000000001</v>
      </c>
      <c r="AC131" s="89">
        <v>100.955</v>
      </c>
      <c r="AD131" s="89">
        <v>63.814</v>
      </c>
      <c r="AE131" s="89">
        <v>675.17100000000005</v>
      </c>
      <c r="AF131" s="89"/>
      <c r="AG131" s="88">
        <v>36613.850334736002</v>
      </c>
      <c r="AH131" s="89">
        <v>5755.323334736001</v>
      </c>
      <c r="AI131" s="89">
        <v>5755.323334736001</v>
      </c>
      <c r="AJ131" s="89"/>
      <c r="AK131" s="89">
        <v>30858.526999999998</v>
      </c>
      <c r="AL131" s="89"/>
      <c r="AM131" s="88"/>
      <c r="AN131" s="89"/>
      <c r="AO131" s="89"/>
      <c r="AP131" s="89"/>
      <c r="AQ131" s="89"/>
      <c r="AR131" s="89"/>
      <c r="AS131" s="88">
        <v>24584000</v>
      </c>
      <c r="AT131" s="89">
        <f t="shared" si="5"/>
        <v>2245000</v>
      </c>
      <c r="AU131" s="89">
        <v>2245000</v>
      </c>
      <c r="AV131" s="89"/>
      <c r="AW131" s="89">
        <v>25477000</v>
      </c>
      <c r="AX131" s="89">
        <v>-3138000</v>
      </c>
      <c r="AY131" s="88"/>
      <c r="AZ131" s="89"/>
      <c r="BA131" s="89"/>
      <c r="BB131" s="89"/>
      <c r="BC131" s="89"/>
      <c r="BD131" s="89"/>
      <c r="BE131" s="88"/>
      <c r="BF131" s="89"/>
      <c r="BG131" s="89"/>
      <c r="BH131" s="89"/>
      <c r="BI131" s="89"/>
      <c r="BJ131" s="89"/>
      <c r="BK131" s="88"/>
      <c r="BL131" s="89"/>
      <c r="BM131" s="89"/>
      <c r="BN131" s="89"/>
      <c r="BO131" s="89"/>
      <c r="BP131" s="89"/>
      <c r="BQ131" s="88"/>
      <c r="BR131" s="89"/>
      <c r="BS131" s="89"/>
      <c r="BT131" s="89"/>
      <c r="BU131" s="89"/>
      <c r="BV131" s="89"/>
      <c r="BW131" s="88"/>
      <c r="BX131" s="89"/>
      <c r="BY131" s="89"/>
      <c r="BZ131" s="89"/>
      <c r="CA131" s="89"/>
      <c r="CB131" s="89"/>
      <c r="CC131" s="88"/>
      <c r="CD131" s="89"/>
      <c r="CE131" s="89"/>
      <c r="CF131" s="89"/>
      <c r="CG131" s="89"/>
      <c r="CH131" s="89"/>
      <c r="CI131" s="88"/>
      <c r="CJ131" s="89"/>
      <c r="CK131" s="89"/>
      <c r="CL131" s="89"/>
      <c r="CM131" s="89"/>
      <c r="CN131" s="89"/>
      <c r="CO131" s="88"/>
      <c r="CP131" s="89"/>
      <c r="CQ131" s="89"/>
      <c r="CR131" s="89"/>
      <c r="CS131" s="89"/>
      <c r="CT131" s="89"/>
      <c r="CU131" s="88">
        <f t="shared" si="4"/>
        <v>21225.007985359996</v>
      </c>
      <c r="CV131" s="89">
        <v>9125.6480353599982</v>
      </c>
      <c r="CW131" s="89">
        <v>9241.7632999999987</v>
      </c>
      <c r="CX131" s="89">
        <v>-116.11526463999999</v>
      </c>
      <c r="CY131" s="89">
        <v>12099.35995</v>
      </c>
      <c r="CZ131" s="89"/>
      <c r="DA131" s="88"/>
      <c r="DB131" s="89"/>
      <c r="DC131" s="89"/>
      <c r="DD131" s="89"/>
      <c r="DE131" s="89"/>
      <c r="DF131" s="89"/>
      <c r="DG131" s="88">
        <v>121598</v>
      </c>
      <c r="DH131" s="89">
        <v>100402.2</v>
      </c>
      <c r="DI131" s="89"/>
      <c r="DJ131" s="89"/>
      <c r="DK131" s="89">
        <v>26749.8</v>
      </c>
      <c r="DL131" s="89">
        <v>-5554</v>
      </c>
      <c r="DM131" s="88"/>
      <c r="DN131" s="89"/>
      <c r="DO131" s="89"/>
      <c r="DP131" s="89"/>
      <c r="DQ131" s="89"/>
      <c r="DR131" s="89"/>
      <c r="DS131" s="88"/>
      <c r="DT131" s="89"/>
      <c r="DU131" s="89"/>
      <c r="DV131" s="89"/>
      <c r="DW131" s="89"/>
      <c r="DX131" s="89"/>
      <c r="DY131" s="88">
        <v>5509.833208</v>
      </c>
      <c r="DZ131" s="89">
        <f t="shared" si="8"/>
        <v>-252.20979199999999</v>
      </c>
      <c r="EA131" s="89">
        <v>526.11229500000002</v>
      </c>
      <c r="EB131" s="89">
        <v>-778.32208700000001</v>
      </c>
      <c r="EC131" s="89">
        <v>5762.0429999999997</v>
      </c>
      <c r="ED131" s="89"/>
      <c r="EE131" s="88"/>
      <c r="EF131" s="89"/>
      <c r="EG131" s="89"/>
      <c r="EH131" s="89"/>
      <c r="EI131" s="89"/>
      <c r="EJ131" s="89"/>
      <c r="EK131" s="88">
        <v>6151945.3730000015</v>
      </c>
      <c r="EL131" s="89">
        <f t="shared" si="9"/>
        <v>-235800.85999999993</v>
      </c>
      <c r="EM131" s="89">
        <v>-357224.98</v>
      </c>
      <c r="EN131" s="89">
        <v>121424.12000000005</v>
      </c>
      <c r="EO131" s="89">
        <v>6269469.4930000016</v>
      </c>
      <c r="EP131" s="89">
        <v>118276.74</v>
      </c>
      <c r="EQ131" s="88"/>
      <c r="ER131" s="89"/>
      <c r="ES131" s="89"/>
      <c r="ET131" s="89"/>
      <c r="EU131" s="89"/>
      <c r="EV131" s="89"/>
      <c r="EW131" s="88"/>
      <c r="EX131" s="89"/>
      <c r="EY131" s="89"/>
      <c r="EZ131" s="89"/>
      <c r="FA131" s="89"/>
      <c r="FB131" s="89"/>
      <c r="FC131" s="88">
        <v>761.35011600000007</v>
      </c>
      <c r="FD131" s="89">
        <f t="shared" si="7"/>
        <v>80.865115999999972</v>
      </c>
      <c r="FE131" s="89">
        <v>227.62872899999999</v>
      </c>
      <c r="FF131" s="89">
        <v>-146.76361300000002</v>
      </c>
      <c r="FG131" s="89">
        <v>680.48500000000001</v>
      </c>
      <c r="FH131" s="89"/>
      <c r="FI131" s="88"/>
      <c r="FJ131" s="89"/>
      <c r="FK131" s="89"/>
      <c r="FL131" s="89"/>
      <c r="FM131" s="89"/>
      <c r="FN131" s="89"/>
      <c r="FO131" s="88"/>
      <c r="FP131" s="89"/>
      <c r="FQ131" s="89"/>
      <c r="FR131" s="89"/>
      <c r="FS131" s="89"/>
      <c r="FT131" s="89"/>
      <c r="FU131" s="88"/>
      <c r="FV131" s="89"/>
      <c r="FW131" s="89"/>
      <c r="FX131" s="89"/>
      <c r="FY131" s="89"/>
      <c r="FZ131" s="89"/>
      <c r="GA131" s="120"/>
      <c r="GB131" s="121"/>
      <c r="GC131" s="121"/>
      <c r="GD131" s="121"/>
      <c r="GE131" s="121"/>
      <c r="GF131" s="89"/>
      <c r="GG131" s="88"/>
      <c r="GH131" s="89"/>
      <c r="GI131" s="89"/>
      <c r="GJ131" s="89"/>
      <c r="GK131" s="89"/>
      <c r="GL131" s="89"/>
      <c r="GM131" s="88">
        <v>10298.312165419298</v>
      </c>
      <c r="GN131" s="89">
        <v>2088.0385264785996</v>
      </c>
      <c r="GO131" s="89">
        <v>1948.0780757029997</v>
      </c>
      <c r="GP131" s="89">
        <v>139.96045077560004</v>
      </c>
      <c r="GQ131" s="89">
        <v>7353.6492286346001</v>
      </c>
      <c r="GR131" s="89">
        <v>856.6244103061</v>
      </c>
      <c r="GS131" s="88"/>
      <c r="GT131" s="92"/>
      <c r="GU131" s="92"/>
      <c r="GV131" s="92"/>
      <c r="GW131" s="92"/>
      <c r="GX131" s="92"/>
      <c r="GY131" s="92"/>
      <c r="GZ131" s="88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8"/>
      <c r="HM131" s="87"/>
      <c r="HN131" s="87"/>
      <c r="HO131" s="87"/>
      <c r="HP131" s="87"/>
      <c r="HQ131" s="87"/>
      <c r="HR131" s="87"/>
      <c r="HS131" s="87"/>
    </row>
    <row r="132" spans="1:227">
      <c r="A132" s="69"/>
      <c r="B132" s="87" t="s">
        <v>497</v>
      </c>
      <c r="C132" s="88"/>
      <c r="D132" s="87"/>
      <c r="E132" s="87"/>
      <c r="F132" s="87"/>
      <c r="G132" s="87"/>
      <c r="H132" s="87"/>
      <c r="I132" s="88">
        <v>89464.760000000009</v>
      </c>
      <c r="J132" s="89">
        <v>34866.544000000002</v>
      </c>
      <c r="K132" s="89"/>
      <c r="L132" s="89"/>
      <c r="M132" s="89">
        <v>67862.343999999997</v>
      </c>
      <c r="N132" s="89">
        <v>-13264.128000000001</v>
      </c>
      <c r="O132" s="90"/>
      <c r="P132" s="91"/>
      <c r="Q132" s="91"/>
      <c r="R132" s="91"/>
      <c r="S132" s="91"/>
      <c r="T132" s="91"/>
      <c r="U132" s="90"/>
      <c r="V132" s="91"/>
      <c r="W132" s="91"/>
      <c r="X132" s="91"/>
      <c r="Y132" s="91"/>
      <c r="Z132" s="91"/>
      <c r="AA132" s="88">
        <v>859.51900000000001</v>
      </c>
      <c r="AB132" s="89">
        <f t="shared" si="3"/>
        <v>175.13499999999999</v>
      </c>
      <c r="AC132" s="89">
        <v>110.648</v>
      </c>
      <c r="AD132" s="89">
        <v>64.486999999999995</v>
      </c>
      <c r="AE132" s="89">
        <v>684.38400000000001</v>
      </c>
      <c r="AF132" s="89"/>
      <c r="AG132" s="88">
        <v>36623.122901351002</v>
      </c>
      <c r="AH132" s="89">
        <v>5601.1349013509998</v>
      </c>
      <c r="AI132" s="89">
        <v>5601.1349013509998</v>
      </c>
      <c r="AJ132" s="89"/>
      <c r="AK132" s="89">
        <v>31021.988000000001</v>
      </c>
      <c r="AL132" s="89"/>
      <c r="AM132" s="88"/>
      <c r="AN132" s="89"/>
      <c r="AO132" s="89"/>
      <c r="AP132" s="89"/>
      <c r="AQ132" s="89"/>
      <c r="AR132" s="89"/>
      <c r="AS132" s="88">
        <v>24777000</v>
      </c>
      <c r="AT132" s="89">
        <f t="shared" si="5"/>
        <v>2372000</v>
      </c>
      <c r="AU132" s="89">
        <v>2372000</v>
      </c>
      <c r="AV132" s="89"/>
      <c r="AW132" s="89">
        <v>25627000</v>
      </c>
      <c r="AX132" s="89">
        <v>-3222000</v>
      </c>
      <c r="AY132" s="88"/>
      <c r="AZ132" s="89"/>
      <c r="BA132" s="89"/>
      <c r="BB132" s="89"/>
      <c r="BC132" s="89"/>
      <c r="BD132" s="89"/>
      <c r="BE132" s="88"/>
      <c r="BF132" s="89"/>
      <c r="BG132" s="89"/>
      <c r="BH132" s="89"/>
      <c r="BI132" s="89"/>
      <c r="BJ132" s="89"/>
      <c r="BK132" s="88"/>
      <c r="BL132" s="89"/>
      <c r="BM132" s="89"/>
      <c r="BN132" s="89"/>
      <c r="BO132" s="89"/>
      <c r="BP132" s="89"/>
      <c r="BQ132" s="88"/>
      <c r="BR132" s="89"/>
      <c r="BS132" s="89"/>
      <c r="BT132" s="89"/>
      <c r="BU132" s="89"/>
      <c r="BV132" s="89"/>
      <c r="BW132" s="88"/>
      <c r="BX132" s="89"/>
      <c r="BY132" s="89"/>
      <c r="BZ132" s="89"/>
      <c r="CA132" s="89"/>
      <c r="CB132" s="89"/>
      <c r="CC132" s="88"/>
      <c r="CD132" s="89"/>
      <c r="CE132" s="89"/>
      <c r="CF132" s="89"/>
      <c r="CG132" s="89"/>
      <c r="CH132" s="89"/>
      <c r="CI132" s="88"/>
      <c r="CJ132" s="89"/>
      <c r="CK132" s="89"/>
      <c r="CL132" s="89"/>
      <c r="CM132" s="89"/>
      <c r="CN132" s="89"/>
      <c r="CO132" s="88"/>
      <c r="CP132" s="89"/>
      <c r="CQ132" s="89"/>
      <c r="CR132" s="89"/>
      <c r="CS132" s="89"/>
      <c r="CT132" s="89"/>
      <c r="CU132" s="88">
        <f t="shared" si="4"/>
        <v>22889.027309999998</v>
      </c>
      <c r="CV132" s="89">
        <v>9275.9992000000002</v>
      </c>
      <c r="CW132" s="89">
        <v>9489.8829000000005</v>
      </c>
      <c r="CX132" s="89">
        <v>-213.8837</v>
      </c>
      <c r="CY132" s="89">
        <v>13613.028109999999</v>
      </c>
      <c r="CZ132" s="89"/>
      <c r="DA132" s="88"/>
      <c r="DB132" s="89"/>
      <c r="DC132" s="89"/>
      <c r="DD132" s="89"/>
      <c r="DE132" s="89"/>
      <c r="DF132" s="89"/>
      <c r="DG132" s="88">
        <v>125396.7</v>
      </c>
      <c r="DH132" s="89">
        <v>104178.3</v>
      </c>
      <c r="DI132" s="89"/>
      <c r="DJ132" s="89"/>
      <c r="DK132" s="89">
        <v>27128.5</v>
      </c>
      <c r="DL132" s="89">
        <v>-5910.1</v>
      </c>
      <c r="DM132" s="88"/>
      <c r="DN132" s="89"/>
      <c r="DO132" s="89"/>
      <c r="DP132" s="98"/>
      <c r="DQ132" s="98"/>
      <c r="DR132" s="98"/>
      <c r="DS132" s="95"/>
      <c r="DT132" s="98"/>
      <c r="DU132" s="98"/>
      <c r="DV132" s="98"/>
      <c r="DW132" s="98"/>
      <c r="DX132" s="98"/>
      <c r="DY132" s="95">
        <v>5650.6878899999992</v>
      </c>
      <c r="DZ132" s="98">
        <f t="shared" si="8"/>
        <v>-208.08310999999992</v>
      </c>
      <c r="EA132" s="98">
        <v>565.15892900000006</v>
      </c>
      <c r="EB132" s="98">
        <v>-773.24203899999998</v>
      </c>
      <c r="EC132" s="98">
        <v>5858.7709999999997</v>
      </c>
      <c r="ED132" s="98"/>
      <c r="EE132" s="95"/>
      <c r="EF132" s="98"/>
      <c r="EG132" s="98"/>
      <c r="EH132" s="98"/>
      <c r="EI132" s="98"/>
      <c r="EJ132" s="98"/>
      <c r="EK132" s="88">
        <v>6226126.2139999997</v>
      </c>
      <c r="EL132" s="89">
        <f t="shared" si="9"/>
        <v>-188923.94199999984</v>
      </c>
      <c r="EM132" s="89">
        <v>-334826.25499999989</v>
      </c>
      <c r="EN132" s="98">
        <v>145902.31300000005</v>
      </c>
      <c r="EO132" s="98">
        <v>6303517.2599999998</v>
      </c>
      <c r="EP132" s="98">
        <v>111532.89600000001</v>
      </c>
      <c r="EQ132" s="95"/>
      <c r="ER132" s="98"/>
      <c r="ES132" s="98"/>
      <c r="ET132" s="98"/>
      <c r="EU132" s="98"/>
      <c r="EV132" s="98"/>
      <c r="EW132" s="95"/>
      <c r="EX132" s="98"/>
      <c r="EY132" s="98"/>
      <c r="EZ132" s="98"/>
      <c r="FA132" s="98"/>
      <c r="FB132" s="98"/>
      <c r="FC132" s="95">
        <v>788.00191599999994</v>
      </c>
      <c r="FD132" s="98">
        <f t="shared" si="7"/>
        <v>104.60991600000003</v>
      </c>
      <c r="FE132" s="98">
        <v>245.95003400000002</v>
      </c>
      <c r="FF132" s="98">
        <v>-141.34011799999999</v>
      </c>
      <c r="FG132" s="98">
        <v>683.39200000000005</v>
      </c>
      <c r="FH132" s="98"/>
      <c r="FI132" s="95"/>
      <c r="FJ132" s="98"/>
      <c r="FK132" s="98"/>
      <c r="FL132" s="98"/>
      <c r="FM132" s="98"/>
      <c r="FN132" s="98"/>
      <c r="FO132" s="95"/>
      <c r="FP132" s="98"/>
      <c r="FQ132" s="98"/>
      <c r="FR132" s="98"/>
      <c r="FS132" s="98"/>
      <c r="FT132" s="98"/>
      <c r="FU132" s="95"/>
      <c r="FV132" s="98"/>
      <c r="FW132" s="98"/>
      <c r="FX132" s="98"/>
      <c r="FY132" s="98"/>
      <c r="FZ132" s="98"/>
      <c r="GA132" s="120">
        <v>13746.8</v>
      </c>
      <c r="GB132" s="121">
        <f>SUM(GC132:GD132)</f>
        <v>-1361.5</v>
      </c>
      <c r="GC132" s="121">
        <v>-3112.1</v>
      </c>
      <c r="GD132" s="121">
        <v>1750.6</v>
      </c>
      <c r="GE132" s="121">
        <v>15108.3</v>
      </c>
      <c r="GF132" s="98"/>
      <c r="GG132" s="95"/>
      <c r="GH132" s="98"/>
      <c r="GI132" s="98"/>
      <c r="GJ132" s="98"/>
      <c r="GK132" s="100"/>
      <c r="GL132" s="100"/>
      <c r="GM132" s="99">
        <v>11033.952653064602</v>
      </c>
      <c r="GN132" s="100">
        <v>2303.2617416683001</v>
      </c>
      <c r="GO132" s="100">
        <v>2089.0818075165002</v>
      </c>
      <c r="GP132" s="100">
        <v>214.17993415180013</v>
      </c>
      <c r="GQ132" s="98">
        <v>7637.5787134441007</v>
      </c>
      <c r="GR132" s="98">
        <v>1093.1121979521997</v>
      </c>
      <c r="GS132" s="95"/>
      <c r="GT132" s="92"/>
      <c r="GU132" s="92"/>
      <c r="GV132" s="92"/>
      <c r="GW132" s="92"/>
      <c r="GX132" s="92"/>
      <c r="GY132" s="92"/>
      <c r="GZ132" s="88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8"/>
      <c r="HM132" s="87"/>
      <c r="HN132" s="87"/>
      <c r="HO132" s="87"/>
      <c r="HP132" s="87"/>
      <c r="HQ132" s="87"/>
      <c r="HR132" s="87"/>
      <c r="HS132" s="87"/>
    </row>
    <row r="133" spans="1:227">
      <c r="A133" s="69"/>
      <c r="B133" s="87" t="s">
        <v>498</v>
      </c>
      <c r="C133" s="88"/>
      <c r="D133" s="87"/>
      <c r="E133" s="87"/>
      <c r="F133" s="87"/>
      <c r="G133" s="87"/>
      <c r="H133" s="87"/>
      <c r="I133" s="88">
        <v>87780.656999999992</v>
      </c>
      <c r="J133" s="89">
        <v>33924.906000000003</v>
      </c>
      <c r="K133" s="89"/>
      <c r="L133" s="89"/>
      <c r="M133" s="89">
        <v>68493.191999999995</v>
      </c>
      <c r="N133" s="89">
        <v>-14637.441000000001</v>
      </c>
      <c r="O133" s="90"/>
      <c r="P133" s="91"/>
      <c r="Q133" s="91"/>
      <c r="R133" s="91"/>
      <c r="S133" s="91"/>
      <c r="T133" s="91"/>
      <c r="U133" s="90"/>
      <c r="V133" s="91"/>
      <c r="W133" s="91"/>
      <c r="X133" s="91"/>
      <c r="Y133" s="91"/>
      <c r="Z133" s="91"/>
      <c r="AA133" s="88">
        <v>883.86</v>
      </c>
      <c r="AB133" s="89">
        <f t="shared" ref="AB133:AB146" si="10">AC133+AD133</f>
        <v>197.38800000000001</v>
      </c>
      <c r="AC133" s="89">
        <v>118.298</v>
      </c>
      <c r="AD133" s="89">
        <v>79.09</v>
      </c>
      <c r="AE133" s="89">
        <v>686.47199999999998</v>
      </c>
      <c r="AF133" s="89"/>
      <c r="AG133" s="88">
        <v>36773.109080189999</v>
      </c>
      <c r="AH133" s="89">
        <v>5865.6490801899999</v>
      </c>
      <c r="AI133" s="89">
        <v>5865.6490801899999</v>
      </c>
      <c r="AJ133" s="89"/>
      <c r="AK133" s="89">
        <v>30907.46</v>
      </c>
      <c r="AL133" s="89"/>
      <c r="AM133" s="88"/>
      <c r="AN133" s="89"/>
      <c r="AO133" s="89"/>
      <c r="AP133" s="89"/>
      <c r="AQ133" s="89"/>
      <c r="AR133" s="89"/>
      <c r="AS133" s="88">
        <v>24974000</v>
      </c>
      <c r="AT133" s="89">
        <f t="shared" si="5"/>
        <v>2473000</v>
      </c>
      <c r="AU133" s="89">
        <v>2473000</v>
      </c>
      <c r="AV133" s="89"/>
      <c r="AW133" s="89">
        <v>25854000</v>
      </c>
      <c r="AX133" s="89">
        <v>-3353000</v>
      </c>
      <c r="AY133" s="88"/>
      <c r="AZ133" s="89"/>
      <c r="BA133" s="89"/>
      <c r="BB133" s="89"/>
      <c r="BC133" s="89"/>
      <c r="BD133" s="89"/>
      <c r="BE133" s="88"/>
      <c r="BF133" s="89"/>
      <c r="BG133" s="89"/>
      <c r="BH133" s="89"/>
      <c r="BI133" s="89"/>
      <c r="BJ133" s="89"/>
      <c r="BK133" s="88"/>
      <c r="BL133" s="89"/>
      <c r="BM133" s="89"/>
      <c r="BN133" s="89"/>
      <c r="BO133" s="89"/>
      <c r="BP133" s="89"/>
      <c r="BQ133" s="88"/>
      <c r="BR133" s="89"/>
      <c r="BS133" s="89"/>
      <c r="BT133" s="89"/>
      <c r="BU133" s="89"/>
      <c r="BV133" s="89"/>
      <c r="BW133" s="88"/>
      <c r="BX133" s="89"/>
      <c r="BY133" s="89"/>
      <c r="BZ133" s="89"/>
      <c r="CA133" s="89"/>
      <c r="CB133" s="89"/>
      <c r="CC133" s="88"/>
      <c r="CD133" s="89"/>
      <c r="CE133" s="89"/>
      <c r="CF133" s="89"/>
      <c r="CG133" s="89"/>
      <c r="CH133" s="89"/>
      <c r="CI133" s="88"/>
      <c r="CJ133" s="89"/>
      <c r="CK133" s="89"/>
      <c r="CL133" s="89"/>
      <c r="CM133" s="89"/>
      <c r="CN133" s="89"/>
      <c r="CO133" s="88"/>
      <c r="CP133" s="89"/>
      <c r="CQ133" s="89"/>
      <c r="CR133" s="89"/>
      <c r="CS133" s="89"/>
      <c r="CT133" s="89"/>
      <c r="CU133" s="88">
        <f t="shared" ref="CU133:CU146" si="11">CV133+CY133</f>
        <v>22201.124960000001</v>
      </c>
      <c r="CV133" s="89">
        <v>9518.4783100000004</v>
      </c>
      <c r="CW133" s="89">
        <v>9673.4718700000012</v>
      </c>
      <c r="CX133" s="89">
        <v>-154.99356</v>
      </c>
      <c r="CY133" s="89">
        <v>12682.646649999999</v>
      </c>
      <c r="CZ133" s="89"/>
      <c r="DA133" s="88"/>
      <c r="DB133" s="89"/>
      <c r="DC133" s="89"/>
      <c r="DD133" s="89"/>
      <c r="DE133" s="89"/>
      <c r="DF133" s="89"/>
      <c r="DG133" s="88">
        <v>137003</v>
      </c>
      <c r="DH133" s="89">
        <v>115664.4</v>
      </c>
      <c r="DI133" s="89"/>
      <c r="DJ133" s="89"/>
      <c r="DK133" s="89">
        <v>27417.8</v>
      </c>
      <c r="DL133" s="89">
        <v>-6079.2</v>
      </c>
      <c r="DM133" s="88"/>
      <c r="DN133" s="89"/>
      <c r="DO133" s="89"/>
      <c r="DP133" s="98"/>
      <c r="DQ133" s="98"/>
      <c r="DR133" s="98"/>
      <c r="DS133" s="95"/>
      <c r="DT133" s="98"/>
      <c r="DU133" s="98"/>
      <c r="DV133" s="98"/>
      <c r="DW133" s="98"/>
      <c r="DX133" s="98"/>
      <c r="DY133" s="95">
        <v>5714.8112819999997</v>
      </c>
      <c r="DZ133" s="98">
        <f t="shared" si="8"/>
        <v>-169.39471800000001</v>
      </c>
      <c r="EA133" s="98">
        <v>611.85387300000002</v>
      </c>
      <c r="EB133" s="98">
        <v>-781.24859100000003</v>
      </c>
      <c r="EC133" s="98">
        <v>5884.2060000000001</v>
      </c>
      <c r="ED133" s="98"/>
      <c r="EE133" s="95"/>
      <c r="EF133" s="98"/>
      <c r="EG133" s="98"/>
      <c r="EH133" s="98"/>
      <c r="EI133" s="98"/>
      <c r="EJ133" s="98"/>
      <c r="EK133" s="88">
        <v>6427328.2729999991</v>
      </c>
      <c r="EL133" s="89">
        <f t="shared" si="9"/>
        <v>-20827.251000000164</v>
      </c>
      <c r="EM133" s="89">
        <v>-152369.6930000002</v>
      </c>
      <c r="EN133" s="98">
        <v>131542.44200000004</v>
      </c>
      <c r="EO133" s="98">
        <v>6338322.9629999995</v>
      </c>
      <c r="EP133" s="98">
        <v>109832.561</v>
      </c>
      <c r="EQ133" s="95"/>
      <c r="ER133" s="98"/>
      <c r="ES133" s="98"/>
      <c r="ET133" s="98"/>
      <c r="EU133" s="98"/>
      <c r="EV133" s="98"/>
      <c r="EW133" s="95"/>
      <c r="EX133" s="98"/>
      <c r="EY133" s="98"/>
      <c r="EZ133" s="98"/>
      <c r="FA133" s="98"/>
      <c r="FB133" s="98"/>
      <c r="FC133" s="95">
        <v>791.68292599999995</v>
      </c>
      <c r="FD133" s="98">
        <f t="shared" si="7"/>
        <v>103.401926</v>
      </c>
      <c r="FE133" s="98">
        <v>257.492459</v>
      </c>
      <c r="FF133" s="98">
        <v>-154.09053299999999</v>
      </c>
      <c r="FG133" s="98">
        <v>688.28099999999995</v>
      </c>
      <c r="FH133" s="98"/>
      <c r="FI133" s="95"/>
      <c r="FJ133" s="98"/>
      <c r="FK133" s="98"/>
      <c r="FL133" s="98"/>
      <c r="FM133" s="98"/>
      <c r="FN133" s="98"/>
      <c r="FO133" s="95"/>
      <c r="FP133" s="98"/>
      <c r="FQ133" s="98"/>
      <c r="FR133" s="98"/>
      <c r="FS133" s="98"/>
      <c r="FT133" s="98"/>
      <c r="FU133" s="95"/>
      <c r="FV133" s="98"/>
      <c r="FW133" s="98"/>
      <c r="FX133" s="98"/>
      <c r="FY133" s="98"/>
      <c r="FZ133" s="98"/>
      <c r="GA133" s="120">
        <v>13737.6</v>
      </c>
      <c r="GB133" s="121">
        <f t="shared" ref="GB133:GB146" si="12">SUM(GC133:GD133)</f>
        <v>-1073.4000000000001</v>
      </c>
      <c r="GC133" s="121">
        <v>-2723.8</v>
      </c>
      <c r="GD133" s="121">
        <v>1650.4</v>
      </c>
      <c r="GE133" s="121">
        <v>14811</v>
      </c>
      <c r="GF133" s="98"/>
      <c r="GG133" s="95"/>
      <c r="GH133" s="98"/>
      <c r="GI133" s="98"/>
      <c r="GJ133" s="98"/>
      <c r="GK133" s="100"/>
      <c r="GL133" s="100"/>
      <c r="GM133" s="99">
        <v>11254.204312911901</v>
      </c>
      <c r="GN133" s="100">
        <v>2348.7070341652002</v>
      </c>
      <c r="GO133" s="100">
        <v>2262.6975632806002</v>
      </c>
      <c r="GP133" s="100">
        <v>86.009470884600191</v>
      </c>
      <c r="GQ133" s="98">
        <v>7827.8102347619006</v>
      </c>
      <c r="GR133" s="98">
        <v>1077.6870439847999</v>
      </c>
      <c r="GS133" s="99"/>
      <c r="GT133" s="92"/>
      <c r="GU133" s="92"/>
      <c r="GV133" s="92"/>
      <c r="GW133" s="92"/>
      <c r="GX133" s="92"/>
      <c r="GY133" s="92"/>
      <c r="GZ133" s="88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8"/>
      <c r="HM133" s="87"/>
      <c r="HN133" s="87"/>
      <c r="HO133" s="87"/>
      <c r="HP133" s="87"/>
      <c r="HQ133" s="87"/>
      <c r="HR133" s="87"/>
      <c r="HS133" s="87"/>
    </row>
    <row r="134" spans="1:227">
      <c r="A134" s="69"/>
      <c r="B134" s="87" t="s">
        <v>499</v>
      </c>
      <c r="C134" s="88">
        <v>1425.0889999999999</v>
      </c>
      <c r="D134" s="87">
        <v>100.05199999999999</v>
      </c>
      <c r="E134" s="87">
        <v>303.495</v>
      </c>
      <c r="F134" s="87">
        <v>-203.44300000000001</v>
      </c>
      <c r="G134" s="87">
        <v>1325.038</v>
      </c>
      <c r="H134" s="87"/>
      <c r="I134" s="88">
        <v>88089.042000000001</v>
      </c>
      <c r="J134" s="89">
        <v>34570.366000000002</v>
      </c>
      <c r="K134" s="89"/>
      <c r="L134" s="89"/>
      <c r="M134" s="89">
        <v>68521.157999999996</v>
      </c>
      <c r="N134" s="89">
        <v>-15002.482</v>
      </c>
      <c r="O134" s="90"/>
      <c r="P134" s="91"/>
      <c r="Q134" s="91"/>
      <c r="R134" s="91"/>
      <c r="S134" s="91"/>
      <c r="T134" s="91"/>
      <c r="U134" s="90"/>
      <c r="V134" s="91"/>
      <c r="W134" s="91"/>
      <c r="X134" s="91"/>
      <c r="Y134" s="91"/>
      <c r="Z134" s="91"/>
      <c r="AA134" s="88">
        <v>901.005</v>
      </c>
      <c r="AB134" s="89">
        <f t="shared" si="10"/>
        <v>217.99</v>
      </c>
      <c r="AC134" s="89">
        <v>123.756</v>
      </c>
      <c r="AD134" s="89">
        <v>94.233999999999995</v>
      </c>
      <c r="AE134" s="89">
        <v>683.01499999999999</v>
      </c>
      <c r="AF134" s="89"/>
      <c r="AG134" s="88">
        <v>36759.370599119997</v>
      </c>
      <c r="AH134" s="89">
        <v>5954.3765991200007</v>
      </c>
      <c r="AI134" s="89">
        <v>5954.3765991200007</v>
      </c>
      <c r="AJ134" s="89"/>
      <c r="AK134" s="89">
        <v>30804.993999999999</v>
      </c>
      <c r="AL134" s="89"/>
      <c r="AM134" s="88"/>
      <c r="AN134" s="89"/>
      <c r="AO134" s="89"/>
      <c r="AP134" s="89"/>
      <c r="AQ134" s="89"/>
      <c r="AR134" s="89"/>
      <c r="AS134" s="88">
        <v>25433000</v>
      </c>
      <c r="AT134" s="89">
        <f t="shared" si="5"/>
        <v>2509000</v>
      </c>
      <c r="AU134" s="89">
        <v>2509000</v>
      </c>
      <c r="AV134" s="89"/>
      <c r="AW134" s="89">
        <v>26309000</v>
      </c>
      <c r="AX134" s="89">
        <v>-3385000</v>
      </c>
      <c r="AY134" s="88"/>
      <c r="AZ134" s="89"/>
      <c r="BA134" s="89"/>
      <c r="BB134" s="89"/>
      <c r="BC134" s="89"/>
      <c r="BD134" s="89"/>
      <c r="BE134" s="88"/>
      <c r="BF134" s="89"/>
      <c r="BG134" s="89"/>
      <c r="BH134" s="89"/>
      <c r="BI134" s="89"/>
      <c r="BJ134" s="89"/>
      <c r="BK134" s="88"/>
      <c r="BL134" s="89"/>
      <c r="BM134" s="89"/>
      <c r="BN134" s="89"/>
      <c r="BO134" s="89"/>
      <c r="BP134" s="89"/>
      <c r="BQ134" s="88"/>
      <c r="BR134" s="89"/>
      <c r="BS134" s="89"/>
      <c r="BT134" s="89"/>
      <c r="BU134" s="89"/>
      <c r="BV134" s="89"/>
      <c r="BW134" s="88"/>
      <c r="BX134" s="89"/>
      <c r="BY134" s="89"/>
      <c r="BZ134" s="89"/>
      <c r="CA134" s="89"/>
      <c r="CB134" s="89"/>
      <c r="CC134" s="88"/>
      <c r="CD134" s="89"/>
      <c r="CE134" s="89"/>
      <c r="CF134" s="89"/>
      <c r="CG134" s="89"/>
      <c r="CH134" s="89"/>
      <c r="CI134" s="88"/>
      <c r="CJ134" s="89"/>
      <c r="CK134" s="89"/>
      <c r="CL134" s="89"/>
      <c r="CM134" s="89"/>
      <c r="CN134" s="89"/>
      <c r="CO134" s="88"/>
      <c r="CP134" s="89"/>
      <c r="CQ134" s="89"/>
      <c r="CR134" s="89"/>
      <c r="CS134" s="89"/>
      <c r="CT134" s="89"/>
      <c r="CU134" s="88">
        <f t="shared" si="11"/>
        <v>22476.07819</v>
      </c>
      <c r="CV134" s="89">
        <v>9778.8507800000007</v>
      </c>
      <c r="CW134" s="89">
        <v>9930.2217500000006</v>
      </c>
      <c r="CX134" s="89">
        <v>-151.37097</v>
      </c>
      <c r="CY134" s="89">
        <v>12697.22741</v>
      </c>
      <c r="CZ134" s="89"/>
      <c r="DA134" s="88"/>
      <c r="DB134" s="89"/>
      <c r="DC134" s="89"/>
      <c r="DD134" s="89"/>
      <c r="DE134" s="89"/>
      <c r="DF134" s="89"/>
      <c r="DG134" s="88">
        <v>135875.20000000001</v>
      </c>
      <c r="DH134" s="89">
        <v>114105.9</v>
      </c>
      <c r="DI134" s="89"/>
      <c r="DJ134" s="89"/>
      <c r="DK134" s="89">
        <v>28617.4</v>
      </c>
      <c r="DL134" s="89">
        <v>-6848.1</v>
      </c>
      <c r="DM134" s="88"/>
      <c r="DN134" s="89"/>
      <c r="DO134" s="89"/>
      <c r="DP134" s="98"/>
      <c r="DQ134" s="98"/>
      <c r="DR134" s="98"/>
      <c r="DS134" s="95"/>
      <c r="DT134" s="98"/>
      <c r="DU134" s="98"/>
      <c r="DV134" s="98"/>
      <c r="DW134" s="98"/>
      <c r="DX134" s="98"/>
      <c r="DY134" s="95">
        <v>5771.3128649999999</v>
      </c>
      <c r="DZ134" s="98">
        <f t="shared" si="8"/>
        <v>-189.24913500000002</v>
      </c>
      <c r="EA134" s="98">
        <v>599.64775899999995</v>
      </c>
      <c r="EB134" s="98">
        <v>-788.89689399999997</v>
      </c>
      <c r="EC134" s="98">
        <v>5960.5619999999999</v>
      </c>
      <c r="ED134" s="98"/>
      <c r="EE134" s="95"/>
      <c r="EF134" s="98"/>
      <c r="EG134" s="98"/>
      <c r="EH134" s="98"/>
      <c r="EI134" s="98"/>
      <c r="EJ134" s="98"/>
      <c r="EK134" s="88">
        <v>6586752.0109999999</v>
      </c>
      <c r="EL134" s="89">
        <f t="shared" si="9"/>
        <v>-61804.743000000046</v>
      </c>
      <c r="EM134" s="89">
        <v>-194759.86100000003</v>
      </c>
      <c r="EN134" s="98">
        <v>132955.11799999999</v>
      </c>
      <c r="EO134" s="98">
        <v>6532195.7539999997</v>
      </c>
      <c r="EP134" s="98">
        <v>116361</v>
      </c>
      <c r="EQ134" s="95"/>
      <c r="ER134" s="98"/>
      <c r="ES134" s="98"/>
      <c r="ET134" s="98"/>
      <c r="EU134" s="98"/>
      <c r="EV134" s="98"/>
      <c r="EW134" s="95"/>
      <c r="EX134" s="98"/>
      <c r="EY134" s="98"/>
      <c r="EZ134" s="98"/>
      <c r="FA134" s="98"/>
      <c r="FB134" s="98"/>
      <c r="FC134" s="95">
        <v>795.24338899999998</v>
      </c>
      <c r="FD134" s="98">
        <f t="shared" si="7"/>
        <v>107.12038900000002</v>
      </c>
      <c r="FE134" s="98">
        <v>271.97558100000003</v>
      </c>
      <c r="FF134" s="98">
        <v>-164.85519200000002</v>
      </c>
      <c r="FG134" s="98">
        <v>688.12300000000005</v>
      </c>
      <c r="FH134" s="98"/>
      <c r="FI134" s="95"/>
      <c r="FJ134" s="98"/>
      <c r="FK134" s="98"/>
      <c r="FL134" s="98"/>
      <c r="FM134" s="98"/>
      <c r="FN134" s="98"/>
      <c r="FO134" s="95"/>
      <c r="FP134" s="98"/>
      <c r="FQ134" s="98"/>
      <c r="FR134" s="98"/>
      <c r="FS134" s="98"/>
      <c r="FT134" s="98"/>
      <c r="FU134" s="95"/>
      <c r="FV134" s="98"/>
      <c r="FW134" s="98"/>
      <c r="FX134" s="98"/>
      <c r="FY134" s="98"/>
      <c r="FZ134" s="98"/>
      <c r="GA134" s="120">
        <v>14874.1</v>
      </c>
      <c r="GB134" s="121">
        <f t="shared" si="12"/>
        <v>-85.400000000000091</v>
      </c>
      <c r="GC134" s="121">
        <v>-1814.2</v>
      </c>
      <c r="GD134" s="121">
        <v>1728.8</v>
      </c>
      <c r="GE134" s="121">
        <v>14959.6</v>
      </c>
      <c r="GF134" s="98"/>
      <c r="GG134" s="95"/>
      <c r="GH134" s="98"/>
      <c r="GI134" s="98"/>
      <c r="GJ134" s="98"/>
      <c r="GK134" s="100"/>
      <c r="GL134" s="100"/>
      <c r="GM134" s="99">
        <v>12251.675307591599</v>
      </c>
      <c r="GN134" s="100">
        <v>2883.4129243813995</v>
      </c>
      <c r="GO134" s="100">
        <v>2750.9164929178996</v>
      </c>
      <c r="GP134" s="100">
        <v>132.49643146350002</v>
      </c>
      <c r="GQ134" s="98">
        <v>8151.3033791354992</v>
      </c>
      <c r="GR134" s="98">
        <v>1216.9590040747</v>
      </c>
      <c r="GS134" s="95"/>
      <c r="GT134" s="92"/>
      <c r="GU134" s="92"/>
      <c r="GV134" s="92"/>
      <c r="GW134" s="92"/>
      <c r="GX134" s="92"/>
      <c r="GY134" s="92"/>
      <c r="GZ134" s="88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8"/>
      <c r="HM134" s="87"/>
      <c r="HN134" s="87"/>
      <c r="HO134" s="87"/>
      <c r="HP134" s="87"/>
      <c r="HQ134" s="87"/>
      <c r="HR134" s="87"/>
      <c r="HS134" s="87"/>
    </row>
    <row r="135" spans="1:227">
      <c r="A135" s="102"/>
      <c r="B135" s="103" t="s">
        <v>500</v>
      </c>
      <c r="C135" s="104"/>
      <c r="D135" s="105"/>
      <c r="E135" s="105"/>
      <c r="F135" s="105"/>
      <c r="G135" s="105"/>
      <c r="H135" s="105"/>
      <c r="I135" s="104">
        <v>89991.848000000013</v>
      </c>
      <c r="J135" s="105">
        <v>36246.275000000001</v>
      </c>
      <c r="K135" s="105"/>
      <c r="L135" s="105"/>
      <c r="M135" s="105">
        <v>67909.729000000007</v>
      </c>
      <c r="N135" s="105">
        <v>-14164.156000000001</v>
      </c>
      <c r="O135" s="106">
        <v>4273.3999999999996</v>
      </c>
      <c r="P135" s="107">
        <f>Q135+R135</f>
        <v>651.79999999999995</v>
      </c>
      <c r="Q135" s="107">
        <v>508.5</v>
      </c>
      <c r="R135" s="107">
        <v>143.30000000000001</v>
      </c>
      <c r="S135" s="107">
        <v>3618.6</v>
      </c>
      <c r="T135" s="107"/>
      <c r="U135" s="106"/>
      <c r="V135" s="107"/>
      <c r="W135" s="107"/>
      <c r="X135" s="107"/>
      <c r="Y135" s="107"/>
      <c r="Z135" s="107"/>
      <c r="AA135" s="104">
        <v>822.46500000000003</v>
      </c>
      <c r="AB135" s="105">
        <f t="shared" si="10"/>
        <v>136.39400000000001</v>
      </c>
      <c r="AC135" s="105">
        <v>41.911000000000001</v>
      </c>
      <c r="AD135" s="105">
        <v>94.483000000000004</v>
      </c>
      <c r="AE135" s="105">
        <v>686.07100000000003</v>
      </c>
      <c r="AF135" s="105"/>
      <c r="AG135" s="104">
        <v>36374.913027347997</v>
      </c>
      <c r="AH135" s="105">
        <v>5974.8360273480002</v>
      </c>
      <c r="AI135" s="105">
        <v>5974.8360273480002</v>
      </c>
      <c r="AJ135" s="105"/>
      <c r="AK135" s="105">
        <v>30400.077000000001</v>
      </c>
      <c r="AL135" s="105"/>
      <c r="AM135" s="104"/>
      <c r="AN135" s="105"/>
      <c r="AO135" s="105"/>
      <c r="AP135" s="105"/>
      <c r="AQ135" s="105"/>
      <c r="AR135" s="105"/>
      <c r="AS135" s="104">
        <v>26249000</v>
      </c>
      <c r="AT135" s="105">
        <f t="shared" si="5"/>
        <v>2551000</v>
      </c>
      <c r="AU135" s="105">
        <v>2551000</v>
      </c>
      <c r="AV135" s="105"/>
      <c r="AW135" s="105">
        <v>26874000</v>
      </c>
      <c r="AX135" s="105">
        <v>-3176000</v>
      </c>
      <c r="AY135" s="104">
        <v>63147446.370522991</v>
      </c>
      <c r="AZ135" s="105">
        <v>16440329.73952299</v>
      </c>
      <c r="BA135" s="105">
        <v>10062358.586301999</v>
      </c>
      <c r="BB135" s="105">
        <v>6377971.1532209916</v>
      </c>
      <c r="BC135" s="105">
        <v>46707116.631000005</v>
      </c>
      <c r="BD135" s="105"/>
      <c r="BE135" s="104"/>
      <c r="BF135" s="105"/>
      <c r="BG135" s="105"/>
      <c r="BH135" s="105"/>
      <c r="BI135" s="105"/>
      <c r="BJ135" s="105"/>
      <c r="BK135" s="104">
        <v>534.16700000000003</v>
      </c>
      <c r="BL135" s="105">
        <v>73.846999999999994</v>
      </c>
      <c r="BM135" s="105">
        <v>69.253</v>
      </c>
      <c r="BN135" s="105">
        <v>4.5940000000000003</v>
      </c>
      <c r="BO135" s="105">
        <v>460.31900000000002</v>
      </c>
      <c r="BP135" s="105"/>
      <c r="BQ135" s="104"/>
      <c r="BR135" s="105"/>
      <c r="BS135" s="105"/>
      <c r="BT135" s="105"/>
      <c r="BU135" s="105">
        <v>4953.3</v>
      </c>
      <c r="BV135" s="105"/>
      <c r="BW135" s="104"/>
      <c r="BX135" s="105"/>
      <c r="BY135" s="105"/>
      <c r="BZ135" s="105"/>
      <c r="CA135" s="105"/>
      <c r="CB135" s="105"/>
      <c r="CC135" s="104">
        <v>949.76700000000005</v>
      </c>
      <c r="CD135" s="105">
        <v>39.872</v>
      </c>
      <c r="CE135" s="105">
        <v>59.811</v>
      </c>
      <c r="CF135" s="105">
        <v>-19.939</v>
      </c>
      <c r="CG135" s="105">
        <v>909.89499999999998</v>
      </c>
      <c r="CH135" s="105"/>
      <c r="CI135" s="104"/>
      <c r="CJ135" s="105"/>
      <c r="CK135" s="105"/>
      <c r="CL135" s="105"/>
      <c r="CM135" s="105"/>
      <c r="CN135" s="105"/>
      <c r="CO135" s="104">
        <v>25006.400000000001</v>
      </c>
      <c r="CP135" s="105">
        <v>-25848.3</v>
      </c>
      <c r="CQ135" s="105">
        <v>-20421</v>
      </c>
      <c r="CR135" s="105">
        <v>-5427.2999999999993</v>
      </c>
      <c r="CS135" s="105">
        <v>58341</v>
      </c>
      <c r="CT135" s="105">
        <v>-7486.2</v>
      </c>
      <c r="CU135" s="104">
        <f t="shared" si="11"/>
        <v>22733.532660000004</v>
      </c>
      <c r="CV135" s="105">
        <v>10342.170970000001</v>
      </c>
      <c r="CW135" s="105">
        <v>10484.0249</v>
      </c>
      <c r="CX135" s="105">
        <v>-141.85392999999999</v>
      </c>
      <c r="CY135" s="105">
        <v>12391.361690000002</v>
      </c>
      <c r="CZ135" s="105"/>
      <c r="DA135" s="104"/>
      <c r="DB135" s="105"/>
      <c r="DC135" s="105"/>
      <c r="DD135" s="105"/>
      <c r="DE135" s="105"/>
      <c r="DF135" s="105"/>
      <c r="DG135" s="104">
        <v>132934</v>
      </c>
      <c r="DH135" s="105">
        <v>111007.3</v>
      </c>
      <c r="DI135" s="105"/>
      <c r="DJ135" s="105"/>
      <c r="DK135" s="105">
        <v>29106.7</v>
      </c>
      <c r="DL135" s="105">
        <v>-7180</v>
      </c>
      <c r="DM135" s="104"/>
      <c r="DN135" s="105"/>
      <c r="DO135" s="105"/>
      <c r="DP135" s="105"/>
      <c r="DQ135" s="105"/>
      <c r="DR135" s="105"/>
      <c r="DS135" s="104"/>
      <c r="DT135" s="105"/>
      <c r="DU135" s="105"/>
      <c r="DV135" s="105"/>
      <c r="DW135" s="105"/>
      <c r="DX135" s="105"/>
      <c r="DY135" s="104">
        <v>5864.9662500000004</v>
      </c>
      <c r="DZ135" s="105">
        <f t="shared" si="8"/>
        <v>-102.90674999999999</v>
      </c>
      <c r="EA135" s="105">
        <v>643.49445300000002</v>
      </c>
      <c r="EB135" s="105">
        <v>-746.40120300000001</v>
      </c>
      <c r="EC135" s="105">
        <v>5967.8729999999996</v>
      </c>
      <c r="ED135" s="105"/>
      <c r="EE135" s="104"/>
      <c r="EF135" s="105"/>
      <c r="EG135" s="105"/>
      <c r="EH135" s="105"/>
      <c r="EI135" s="105"/>
      <c r="EJ135" s="105"/>
      <c r="EK135" s="104">
        <v>6580714.4129999997</v>
      </c>
      <c r="EL135" s="105">
        <f t="shared" si="9"/>
        <v>-105731.40900000036</v>
      </c>
      <c r="EM135" s="105">
        <v>-209416.71800000034</v>
      </c>
      <c r="EN135" s="105">
        <v>103685.30899999998</v>
      </c>
      <c r="EO135" s="105">
        <v>6564830.943</v>
      </c>
      <c r="EP135" s="105">
        <v>121614.87899999999</v>
      </c>
      <c r="EQ135" s="104"/>
      <c r="ER135" s="105"/>
      <c r="ES135" s="105"/>
      <c r="ET135" s="105"/>
      <c r="EU135" s="105"/>
      <c r="EV135" s="105"/>
      <c r="EW135" s="104"/>
      <c r="EX135" s="105"/>
      <c r="EY135" s="105"/>
      <c r="EZ135" s="105"/>
      <c r="FA135" s="105"/>
      <c r="FB135" s="105"/>
      <c r="FC135" s="104">
        <v>823.00598300000001</v>
      </c>
      <c r="FD135" s="105">
        <f t="shared" si="7"/>
        <v>121.20198299999996</v>
      </c>
      <c r="FE135" s="105">
        <v>271.96817499999997</v>
      </c>
      <c r="FF135" s="105">
        <v>-150.76619200000002</v>
      </c>
      <c r="FG135" s="105">
        <v>701.80399999999997</v>
      </c>
      <c r="FH135" s="105"/>
      <c r="FI135" s="104">
        <v>524.20000000000005</v>
      </c>
      <c r="FJ135" s="105">
        <v>-78.594999999999999</v>
      </c>
      <c r="FK135" s="105">
        <v>62.161000000000001</v>
      </c>
      <c r="FL135" s="105">
        <v>-140.756</v>
      </c>
      <c r="FM135" s="105">
        <v>602.79600000000005</v>
      </c>
      <c r="FN135" s="103"/>
      <c r="FO135" s="104">
        <v>1252.693</v>
      </c>
      <c r="FP135" s="105">
        <v>-259.67700000000002</v>
      </c>
      <c r="FQ135" s="105">
        <v>-85.774000000000001</v>
      </c>
      <c r="FR135" s="105">
        <v>-173.90299999999999</v>
      </c>
      <c r="FS135" s="105">
        <v>1512.37</v>
      </c>
      <c r="FT135" s="103"/>
      <c r="FU135" s="104"/>
      <c r="FV135" s="105"/>
      <c r="FW135" s="105"/>
      <c r="FX135" s="105"/>
      <c r="FY135" s="105"/>
      <c r="FZ135" s="105"/>
      <c r="GA135" s="104">
        <v>14475.6</v>
      </c>
      <c r="GB135" s="105">
        <f t="shared" si="12"/>
        <v>-531.59999999999991</v>
      </c>
      <c r="GC135" s="105">
        <v>-2069</v>
      </c>
      <c r="GD135" s="105">
        <v>1537.4</v>
      </c>
      <c r="GE135" s="105">
        <v>15007.2</v>
      </c>
      <c r="GF135" s="105"/>
      <c r="GG135" s="104"/>
      <c r="GH135" s="105"/>
      <c r="GI135" s="105"/>
      <c r="GJ135" s="105"/>
      <c r="GK135" s="105"/>
      <c r="GL135" s="105"/>
      <c r="GM135" s="104">
        <v>12438.2607726029</v>
      </c>
      <c r="GN135" s="105">
        <v>2656.9264415663997</v>
      </c>
      <c r="GO135" s="105">
        <v>2511.1601389880998</v>
      </c>
      <c r="GP135" s="105">
        <v>145.76630257829976</v>
      </c>
      <c r="GQ135" s="105">
        <v>8350.9681508840004</v>
      </c>
      <c r="GR135" s="103">
        <v>1430.3661801525</v>
      </c>
      <c r="GS135" s="88"/>
      <c r="GT135" s="87"/>
      <c r="GU135" s="87"/>
      <c r="GV135" s="87"/>
      <c r="GW135" s="87"/>
      <c r="GX135" s="87"/>
      <c r="GY135" s="87"/>
      <c r="GZ135" s="88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8"/>
      <c r="HM135" s="87"/>
      <c r="HN135" s="87"/>
      <c r="HO135" s="87"/>
      <c r="HP135" s="87"/>
      <c r="HQ135" s="87"/>
      <c r="HR135" s="87"/>
      <c r="HS135" s="87"/>
    </row>
    <row r="136" spans="1:227">
      <c r="A136" s="86">
        <v>2001</v>
      </c>
      <c r="B136" s="87" t="s">
        <v>489</v>
      </c>
      <c r="C136" s="88"/>
      <c r="D136" s="87"/>
      <c r="E136" s="87"/>
      <c r="F136" s="87"/>
      <c r="G136" s="87"/>
      <c r="H136" s="87"/>
      <c r="I136" s="88">
        <v>92628.117999999988</v>
      </c>
      <c r="J136" s="89">
        <v>39884.546999999999</v>
      </c>
      <c r="K136" s="89"/>
      <c r="L136" s="89"/>
      <c r="M136" s="89">
        <v>66787.945999999996</v>
      </c>
      <c r="N136" s="89">
        <v>-14044.375</v>
      </c>
      <c r="O136" s="90"/>
      <c r="P136" s="91"/>
      <c r="Q136" s="91"/>
      <c r="R136" s="91"/>
      <c r="S136" s="91"/>
      <c r="T136" s="91"/>
      <c r="U136" s="90"/>
      <c r="V136" s="91"/>
      <c r="W136" s="91"/>
      <c r="X136" s="91"/>
      <c r="Y136" s="91"/>
      <c r="Z136" s="91"/>
      <c r="AA136" s="88">
        <v>821.46799999999996</v>
      </c>
      <c r="AB136" s="89">
        <f t="shared" si="10"/>
        <v>138.82900000000001</v>
      </c>
      <c r="AC136" s="89">
        <v>44.624000000000002</v>
      </c>
      <c r="AD136" s="89">
        <v>94.204999999999998</v>
      </c>
      <c r="AE136" s="89">
        <v>682.63900000000001</v>
      </c>
      <c r="AF136" s="89"/>
      <c r="AG136" s="88">
        <v>36278.344469686002</v>
      </c>
      <c r="AH136" s="89">
        <v>6343.2534696859993</v>
      </c>
      <c r="AI136" s="89">
        <v>6343.2534696859993</v>
      </c>
      <c r="AJ136" s="89"/>
      <c r="AK136" s="89">
        <v>29935.091</v>
      </c>
      <c r="AL136" s="89"/>
      <c r="AM136" s="88"/>
      <c r="AN136" s="89"/>
      <c r="AO136" s="89"/>
      <c r="AP136" s="89"/>
      <c r="AQ136" s="89"/>
      <c r="AR136" s="89"/>
      <c r="AS136" s="88">
        <v>26076000</v>
      </c>
      <c r="AT136" s="89">
        <f t="shared" si="5"/>
        <v>2420000</v>
      </c>
      <c r="AU136" s="89">
        <v>2420000</v>
      </c>
      <c r="AV136" s="89"/>
      <c r="AW136" s="89">
        <v>26773000</v>
      </c>
      <c r="AX136" s="89">
        <v>-3117000</v>
      </c>
      <c r="AY136" s="88"/>
      <c r="AZ136" s="89"/>
      <c r="BA136" s="89"/>
      <c r="BB136" s="89"/>
      <c r="BC136" s="89"/>
      <c r="BD136" s="89"/>
      <c r="BE136" s="88"/>
      <c r="BF136" s="89"/>
      <c r="BG136" s="89"/>
      <c r="BH136" s="89"/>
      <c r="BI136" s="89"/>
      <c r="BJ136" s="89"/>
      <c r="BK136" s="88"/>
      <c r="BL136" s="89"/>
      <c r="BM136" s="89"/>
      <c r="BN136" s="89"/>
      <c r="BO136" s="89"/>
      <c r="BP136" s="89"/>
      <c r="BQ136" s="88"/>
      <c r="BR136" s="89"/>
      <c r="BS136" s="89"/>
      <c r="BT136" s="89"/>
      <c r="BU136" s="89"/>
      <c r="BV136" s="89"/>
      <c r="BW136" s="88"/>
      <c r="BX136" s="89"/>
      <c r="BY136" s="89"/>
      <c r="BZ136" s="89"/>
      <c r="CA136" s="89"/>
      <c r="CB136" s="89"/>
      <c r="CC136" s="88"/>
      <c r="CD136" s="89"/>
      <c r="CE136" s="89"/>
      <c r="CF136" s="89"/>
      <c r="CG136" s="89"/>
      <c r="CH136" s="89"/>
      <c r="CI136" s="88"/>
      <c r="CJ136" s="89"/>
      <c r="CK136" s="89"/>
      <c r="CL136" s="89"/>
      <c r="CM136" s="89"/>
      <c r="CN136" s="89"/>
      <c r="CO136" s="88"/>
      <c r="CP136" s="89"/>
      <c r="CQ136" s="89"/>
      <c r="CR136" s="89"/>
      <c r="CS136" s="89"/>
      <c r="CT136" s="89"/>
      <c r="CU136" s="88">
        <f t="shared" si="11"/>
        <v>23037.210910000002</v>
      </c>
      <c r="CV136" s="89">
        <v>10532.372450000001</v>
      </c>
      <c r="CW136" s="89">
        <v>10660.96112</v>
      </c>
      <c r="CX136" s="89">
        <v>-128.58867000000001</v>
      </c>
      <c r="CY136" s="89">
        <v>12504.838460000003</v>
      </c>
      <c r="CZ136" s="89"/>
      <c r="DA136" s="88"/>
      <c r="DB136" s="89"/>
      <c r="DC136" s="89"/>
      <c r="DD136" s="89"/>
      <c r="DE136" s="89"/>
      <c r="DF136" s="89"/>
      <c r="DG136" s="88">
        <v>136746</v>
      </c>
      <c r="DH136" s="89">
        <v>115509.9</v>
      </c>
      <c r="DI136" s="89"/>
      <c r="DJ136" s="89"/>
      <c r="DK136" s="89">
        <v>28407.7</v>
      </c>
      <c r="DL136" s="89">
        <v>-7171.6</v>
      </c>
      <c r="DM136" s="88"/>
      <c r="DN136" s="89"/>
      <c r="DO136" s="89"/>
      <c r="DP136" s="89"/>
      <c r="DQ136" s="89"/>
      <c r="DR136" s="89"/>
      <c r="DS136" s="88"/>
      <c r="DT136" s="89"/>
      <c r="DU136" s="89"/>
      <c r="DV136" s="89"/>
      <c r="DW136" s="89"/>
      <c r="DX136" s="89"/>
      <c r="DY136" s="88">
        <v>5789.8226169999998</v>
      </c>
      <c r="DZ136" s="89">
        <f t="shared" si="8"/>
        <v>-183.84638300000006</v>
      </c>
      <c r="EA136" s="89">
        <v>593.49129099999993</v>
      </c>
      <c r="EB136" s="89">
        <v>-777.33767399999999</v>
      </c>
      <c r="EC136" s="89">
        <v>5973.6689999999999</v>
      </c>
      <c r="ED136" s="89"/>
      <c r="EE136" s="88"/>
      <c r="EF136" s="89"/>
      <c r="EG136" s="89"/>
      <c r="EH136" s="89"/>
      <c r="EI136" s="89"/>
      <c r="EJ136" s="89"/>
      <c r="EK136" s="88">
        <v>6748312.3669999996</v>
      </c>
      <c r="EL136" s="89">
        <f t="shared" si="9"/>
        <v>-42136.460000000297</v>
      </c>
      <c r="EM136" s="89">
        <v>-158910.06000000029</v>
      </c>
      <c r="EN136" s="89">
        <v>116773.59999999999</v>
      </c>
      <c r="EO136" s="89">
        <v>6659862.2369999997</v>
      </c>
      <c r="EP136" s="89">
        <v>130586.59</v>
      </c>
      <c r="EQ136" s="88">
        <v>26024.365656690003</v>
      </c>
      <c r="ER136" s="89">
        <v>-11407.690968110001</v>
      </c>
      <c r="ES136" s="89"/>
      <c r="ET136" s="89"/>
      <c r="EU136" s="89">
        <v>55276.414563779996</v>
      </c>
      <c r="EV136" s="89">
        <v>-17844.357938979992</v>
      </c>
      <c r="EW136" s="88"/>
      <c r="EX136" s="89"/>
      <c r="EY136" s="89"/>
      <c r="EZ136" s="89"/>
      <c r="FA136" s="89"/>
      <c r="FB136" s="89"/>
      <c r="FC136" s="88">
        <v>784.90965599999993</v>
      </c>
      <c r="FD136" s="89">
        <f t="shared" si="7"/>
        <v>87.455656000000033</v>
      </c>
      <c r="FE136" s="89">
        <v>239.67367000000002</v>
      </c>
      <c r="FF136" s="89">
        <v>-152.21801399999998</v>
      </c>
      <c r="FG136" s="89">
        <v>697.45399999999995</v>
      </c>
      <c r="FH136" s="89"/>
      <c r="FI136" s="88"/>
      <c r="FJ136" s="89"/>
      <c r="FK136" s="89"/>
      <c r="FL136" s="89"/>
      <c r="FM136" s="89"/>
      <c r="FN136" s="89"/>
      <c r="FO136" s="88"/>
      <c r="FP136" s="89"/>
      <c r="FQ136" s="89"/>
      <c r="FR136" s="89"/>
      <c r="FS136" s="89"/>
      <c r="FT136" s="89"/>
      <c r="FU136" s="88"/>
      <c r="FV136" s="89"/>
      <c r="FW136" s="89"/>
      <c r="FX136" s="89"/>
      <c r="FY136" s="89"/>
      <c r="FZ136" s="89"/>
      <c r="GA136" s="120">
        <v>13704.2</v>
      </c>
      <c r="GB136" s="121">
        <f t="shared" si="12"/>
        <v>-1171</v>
      </c>
      <c r="GC136" s="121">
        <v>-2735.6</v>
      </c>
      <c r="GD136" s="121">
        <v>1564.6</v>
      </c>
      <c r="GE136" s="121">
        <v>14875.2</v>
      </c>
      <c r="GF136" s="89"/>
      <c r="GG136" s="88"/>
      <c r="GH136" s="89"/>
      <c r="GI136" s="89"/>
      <c r="GJ136" s="89"/>
      <c r="GK136" s="89"/>
      <c r="GL136" s="89"/>
      <c r="GM136" s="88">
        <v>12285.4891096391</v>
      </c>
      <c r="GN136" s="89">
        <v>2752.4007586099001</v>
      </c>
      <c r="GO136" s="89">
        <v>2734.6948492938</v>
      </c>
      <c r="GP136" s="89">
        <v>67.705909316100175</v>
      </c>
      <c r="GQ136" s="89">
        <v>8235.112923343102</v>
      </c>
      <c r="GR136" s="89">
        <v>1297.9754276860999</v>
      </c>
      <c r="GS136" s="88"/>
      <c r="GT136" s="87"/>
      <c r="GU136" s="87"/>
      <c r="GV136" s="87"/>
      <c r="GW136" s="87"/>
      <c r="GX136" s="87"/>
      <c r="GY136" s="87"/>
      <c r="GZ136" s="88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8"/>
      <c r="HM136" s="87"/>
      <c r="HN136" s="87"/>
      <c r="HO136" s="87"/>
      <c r="HP136" s="87"/>
      <c r="HQ136" s="87"/>
      <c r="HR136" s="87"/>
      <c r="HS136" s="87"/>
    </row>
    <row r="137" spans="1:227">
      <c r="A137" s="69"/>
      <c r="B137" s="87" t="s">
        <v>490</v>
      </c>
      <c r="C137" s="88"/>
      <c r="D137" s="87"/>
      <c r="E137" s="87"/>
      <c r="F137" s="87"/>
      <c r="G137" s="87"/>
      <c r="H137" s="87"/>
      <c r="I137" s="88">
        <v>94457.775000000009</v>
      </c>
      <c r="J137" s="89">
        <v>42023.523999999998</v>
      </c>
      <c r="K137" s="89"/>
      <c r="L137" s="89"/>
      <c r="M137" s="89">
        <v>66555.27</v>
      </c>
      <c r="N137" s="89">
        <v>-14121.018</v>
      </c>
      <c r="O137" s="90"/>
      <c r="P137" s="91"/>
      <c r="Q137" s="91"/>
      <c r="R137" s="91"/>
      <c r="S137" s="91"/>
      <c r="T137" s="91"/>
      <c r="U137" s="90"/>
      <c r="V137" s="91"/>
      <c r="W137" s="91"/>
      <c r="X137" s="91"/>
      <c r="Y137" s="91"/>
      <c r="Z137" s="91"/>
      <c r="AA137" s="88">
        <v>830.11800000000005</v>
      </c>
      <c r="AB137" s="89">
        <f t="shared" si="10"/>
        <v>143.00800000000001</v>
      </c>
      <c r="AC137" s="89">
        <v>48.573</v>
      </c>
      <c r="AD137" s="89">
        <v>94.435000000000002</v>
      </c>
      <c r="AE137" s="89">
        <v>687.11</v>
      </c>
      <c r="AF137" s="89"/>
      <c r="AG137" s="88">
        <v>36273.355158177998</v>
      </c>
      <c r="AH137" s="89">
        <v>6419.4411581779996</v>
      </c>
      <c r="AI137" s="89">
        <v>6419.4411581779996</v>
      </c>
      <c r="AJ137" s="89"/>
      <c r="AK137" s="89">
        <v>29851.914000000001</v>
      </c>
      <c r="AL137" s="89"/>
      <c r="AM137" s="88"/>
      <c r="AN137" s="89"/>
      <c r="AO137" s="89"/>
      <c r="AP137" s="89"/>
      <c r="AQ137" s="89"/>
      <c r="AR137" s="89"/>
      <c r="AS137" s="88">
        <v>26193000</v>
      </c>
      <c r="AT137" s="89">
        <f t="shared" si="5"/>
        <v>2521000</v>
      </c>
      <c r="AU137" s="89">
        <v>2521000</v>
      </c>
      <c r="AV137" s="89"/>
      <c r="AW137" s="89">
        <v>26945000</v>
      </c>
      <c r="AX137" s="89">
        <v>-3273000</v>
      </c>
      <c r="AY137" s="88"/>
      <c r="AZ137" s="89"/>
      <c r="BA137" s="89"/>
      <c r="BB137" s="89"/>
      <c r="BC137" s="89"/>
      <c r="BD137" s="89"/>
      <c r="BE137" s="88"/>
      <c r="BF137" s="89"/>
      <c r="BG137" s="89"/>
      <c r="BH137" s="89"/>
      <c r="BI137" s="89"/>
      <c r="BJ137" s="89"/>
      <c r="BK137" s="88"/>
      <c r="BL137" s="89"/>
      <c r="BM137" s="89"/>
      <c r="BN137" s="89"/>
      <c r="BO137" s="89"/>
      <c r="BP137" s="89"/>
      <c r="BQ137" s="88"/>
      <c r="BR137" s="89"/>
      <c r="BS137" s="89"/>
      <c r="BT137" s="89"/>
      <c r="BU137" s="89"/>
      <c r="BV137" s="89"/>
      <c r="BW137" s="88"/>
      <c r="BX137" s="89"/>
      <c r="BY137" s="89"/>
      <c r="BZ137" s="89"/>
      <c r="CA137" s="89"/>
      <c r="CB137" s="89"/>
      <c r="CC137" s="88"/>
      <c r="CD137" s="89"/>
      <c r="CE137" s="89"/>
      <c r="CF137" s="89"/>
      <c r="CG137" s="89"/>
      <c r="CH137" s="89"/>
      <c r="CI137" s="88"/>
      <c r="CJ137" s="89"/>
      <c r="CK137" s="89"/>
      <c r="CL137" s="89"/>
      <c r="CM137" s="89"/>
      <c r="CN137" s="89"/>
      <c r="CO137" s="88"/>
      <c r="CP137" s="89"/>
      <c r="CQ137" s="89"/>
      <c r="CR137" s="89"/>
      <c r="CS137" s="89"/>
      <c r="CT137" s="89"/>
      <c r="CU137" s="88">
        <f t="shared" si="11"/>
        <v>23511.88092</v>
      </c>
      <c r="CV137" s="89">
        <v>10914.01376</v>
      </c>
      <c r="CW137" s="89">
        <v>10950.95227</v>
      </c>
      <c r="CX137" s="89">
        <v>-36.938510000000008</v>
      </c>
      <c r="CY137" s="89">
        <v>12597.86716</v>
      </c>
      <c r="CZ137" s="89"/>
      <c r="DA137" s="88"/>
      <c r="DB137" s="89"/>
      <c r="DC137" s="89"/>
      <c r="DD137" s="89"/>
      <c r="DE137" s="89"/>
      <c r="DF137" s="89"/>
      <c r="DG137" s="88">
        <v>138094.29999999999</v>
      </c>
      <c r="DH137" s="89">
        <v>116963.2</v>
      </c>
      <c r="DI137" s="89"/>
      <c r="DJ137" s="89"/>
      <c r="DK137" s="89">
        <v>29023</v>
      </c>
      <c r="DL137" s="89">
        <v>-7891.9</v>
      </c>
      <c r="DM137" s="88"/>
      <c r="DN137" s="89"/>
      <c r="DO137" s="89"/>
      <c r="DP137" s="89"/>
      <c r="DQ137" s="89"/>
      <c r="DR137" s="89"/>
      <c r="DS137" s="88"/>
      <c r="DT137" s="89"/>
      <c r="DU137" s="89"/>
      <c r="DV137" s="89"/>
      <c r="DW137" s="89"/>
      <c r="DX137" s="89"/>
      <c r="DY137" s="88">
        <v>5828.1090979999999</v>
      </c>
      <c r="DZ137" s="89">
        <f t="shared" si="8"/>
        <v>-141.99090199999989</v>
      </c>
      <c r="EA137" s="89">
        <v>628.37196200000005</v>
      </c>
      <c r="EB137" s="89">
        <v>-770.36286399999995</v>
      </c>
      <c r="EC137" s="89">
        <v>5970.1</v>
      </c>
      <c r="ED137" s="89"/>
      <c r="EE137" s="88"/>
      <c r="EF137" s="89"/>
      <c r="EG137" s="89"/>
      <c r="EH137" s="89"/>
      <c r="EI137" s="89"/>
      <c r="EJ137" s="89"/>
      <c r="EK137" s="88">
        <v>6870895.4390000002</v>
      </c>
      <c r="EL137" s="89">
        <f t="shared" si="9"/>
        <v>-91797.511000000144</v>
      </c>
      <c r="EM137" s="89">
        <v>-142537.97400000016</v>
      </c>
      <c r="EN137" s="89">
        <v>50740.463000000018</v>
      </c>
      <c r="EO137" s="89">
        <v>6825895.7650000006</v>
      </c>
      <c r="EP137" s="89">
        <v>136797.185</v>
      </c>
      <c r="EQ137" s="88">
        <v>26235.948357739995</v>
      </c>
      <c r="ER137" s="89">
        <v>-11319.580916989999</v>
      </c>
      <c r="ES137" s="89"/>
      <c r="ET137" s="89"/>
      <c r="EU137" s="89">
        <v>55347.186992460003</v>
      </c>
      <c r="EV137" s="89">
        <v>-17791.657717730006</v>
      </c>
      <c r="EW137" s="88"/>
      <c r="EX137" s="89"/>
      <c r="EY137" s="89"/>
      <c r="EZ137" s="89"/>
      <c r="FA137" s="89"/>
      <c r="FB137" s="89"/>
      <c r="FC137" s="88">
        <v>801.482618</v>
      </c>
      <c r="FD137" s="89">
        <f t="shared" si="7"/>
        <v>100.52861799999999</v>
      </c>
      <c r="FE137" s="89">
        <v>247.43270100000001</v>
      </c>
      <c r="FF137" s="89">
        <v>-146.90408300000001</v>
      </c>
      <c r="FG137" s="89">
        <v>700.95399999999995</v>
      </c>
      <c r="FH137" s="89"/>
      <c r="FI137" s="88"/>
      <c r="FJ137" s="89"/>
      <c r="FK137" s="89"/>
      <c r="FL137" s="89"/>
      <c r="FM137" s="89"/>
      <c r="FN137" s="89"/>
      <c r="FO137" s="88"/>
      <c r="FP137" s="89"/>
      <c r="FQ137" s="89"/>
      <c r="FR137" s="89"/>
      <c r="FS137" s="89"/>
      <c r="FT137" s="89"/>
      <c r="FU137" s="88"/>
      <c r="FV137" s="89"/>
      <c r="FW137" s="89"/>
      <c r="FX137" s="89"/>
      <c r="FY137" s="89"/>
      <c r="FZ137" s="89"/>
      <c r="GA137" s="120">
        <v>14157.2</v>
      </c>
      <c r="GB137" s="121">
        <f t="shared" si="12"/>
        <v>-814.40000000000009</v>
      </c>
      <c r="GC137" s="121">
        <v>-2649.8</v>
      </c>
      <c r="GD137" s="121">
        <v>1835.4</v>
      </c>
      <c r="GE137" s="121">
        <v>14971.6</v>
      </c>
      <c r="GF137" s="89"/>
      <c r="GG137" s="88"/>
      <c r="GH137" s="89"/>
      <c r="GI137" s="89"/>
      <c r="GJ137" s="89"/>
      <c r="GK137" s="89"/>
      <c r="GL137" s="89"/>
      <c r="GM137" s="88">
        <v>12838.821132524301</v>
      </c>
      <c r="GN137" s="89">
        <v>3115.0819704584001</v>
      </c>
      <c r="GO137" s="89">
        <v>3034.7912991967</v>
      </c>
      <c r="GP137" s="89">
        <v>80.29067126169987</v>
      </c>
      <c r="GQ137" s="89">
        <v>8439.7941189717003</v>
      </c>
      <c r="GR137" s="89">
        <v>1283.9450430942002</v>
      </c>
      <c r="GS137" s="88"/>
      <c r="GT137" s="87"/>
      <c r="GU137" s="87"/>
      <c r="GV137" s="87"/>
      <c r="GW137" s="87"/>
      <c r="GX137" s="87"/>
      <c r="GY137" s="87"/>
      <c r="GZ137" s="88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8"/>
      <c r="HM137" s="87"/>
      <c r="HN137" s="87"/>
      <c r="HO137" s="87"/>
      <c r="HP137" s="87"/>
      <c r="HQ137" s="87"/>
      <c r="HR137" s="87"/>
      <c r="HS137" s="87"/>
    </row>
    <row r="138" spans="1:227">
      <c r="A138" s="69"/>
      <c r="B138" s="87" t="s">
        <v>491</v>
      </c>
      <c r="C138" s="88"/>
      <c r="D138" s="87"/>
      <c r="E138" s="87"/>
      <c r="F138" s="87"/>
      <c r="G138" s="87"/>
      <c r="H138" s="87"/>
      <c r="I138" s="88">
        <v>88832.838000000003</v>
      </c>
      <c r="J138" s="89">
        <v>38962.529000000002</v>
      </c>
      <c r="K138" s="89"/>
      <c r="L138" s="89"/>
      <c r="M138" s="89">
        <v>63511.482000000004</v>
      </c>
      <c r="N138" s="89">
        <v>-13641.173000000001</v>
      </c>
      <c r="O138" s="90"/>
      <c r="P138" s="91"/>
      <c r="Q138" s="91"/>
      <c r="R138" s="91"/>
      <c r="S138" s="91"/>
      <c r="T138" s="91"/>
      <c r="U138" s="90"/>
      <c r="V138" s="91"/>
      <c r="W138" s="91"/>
      <c r="X138" s="91"/>
      <c r="Y138" s="91"/>
      <c r="Z138" s="91"/>
      <c r="AA138" s="88">
        <v>793.33</v>
      </c>
      <c r="AB138" s="89">
        <f t="shared" si="10"/>
        <v>114.96599999999999</v>
      </c>
      <c r="AC138" s="89">
        <v>10.91</v>
      </c>
      <c r="AD138" s="89">
        <v>104.056</v>
      </c>
      <c r="AE138" s="89">
        <v>678.36400000000003</v>
      </c>
      <c r="AF138" s="89"/>
      <c r="AG138" s="88">
        <v>36121.457882162002</v>
      </c>
      <c r="AH138" s="89">
        <v>6527.810882161999</v>
      </c>
      <c r="AI138" s="89">
        <v>6527.810882161999</v>
      </c>
      <c r="AJ138" s="89"/>
      <c r="AK138" s="89">
        <v>29593.647000000001</v>
      </c>
      <c r="AL138" s="89"/>
      <c r="AM138" s="88"/>
      <c r="AN138" s="89"/>
      <c r="AO138" s="89"/>
      <c r="AP138" s="89"/>
      <c r="AQ138" s="89"/>
      <c r="AR138" s="89"/>
      <c r="AS138" s="88">
        <v>26243000</v>
      </c>
      <c r="AT138" s="89">
        <f t="shared" si="5"/>
        <v>2616000</v>
      </c>
      <c r="AU138" s="89">
        <v>2616000</v>
      </c>
      <c r="AV138" s="89"/>
      <c r="AW138" s="89">
        <v>27377000</v>
      </c>
      <c r="AX138" s="89">
        <v>-3550000</v>
      </c>
      <c r="AY138" s="88"/>
      <c r="AZ138" s="89"/>
      <c r="BA138" s="89"/>
      <c r="BB138" s="89"/>
      <c r="BC138" s="89"/>
      <c r="BD138" s="89"/>
      <c r="BE138" s="88"/>
      <c r="BF138" s="89"/>
      <c r="BG138" s="89"/>
      <c r="BH138" s="89"/>
      <c r="BI138" s="89"/>
      <c r="BJ138" s="89"/>
      <c r="BK138" s="88"/>
      <c r="BL138" s="89"/>
      <c r="BM138" s="89"/>
      <c r="BN138" s="89"/>
      <c r="BO138" s="89"/>
      <c r="BP138" s="89"/>
      <c r="BQ138" s="88"/>
      <c r="BR138" s="89"/>
      <c r="BS138" s="89"/>
      <c r="BT138" s="89"/>
      <c r="BU138" s="89"/>
      <c r="BV138" s="89"/>
      <c r="BW138" s="88"/>
      <c r="BX138" s="89"/>
      <c r="BY138" s="89"/>
      <c r="BZ138" s="89"/>
      <c r="CA138" s="89"/>
      <c r="CB138" s="89"/>
      <c r="CC138" s="88"/>
      <c r="CD138" s="89"/>
      <c r="CE138" s="89"/>
      <c r="CF138" s="89"/>
      <c r="CG138" s="89"/>
      <c r="CH138" s="89"/>
      <c r="CI138" s="88"/>
      <c r="CJ138" s="89"/>
      <c r="CK138" s="89"/>
      <c r="CL138" s="89"/>
      <c r="CM138" s="89"/>
      <c r="CN138" s="89"/>
      <c r="CO138" s="88">
        <v>29242.400000000001</v>
      </c>
      <c r="CP138" s="89">
        <v>-21540.1</v>
      </c>
      <c r="CQ138" s="89">
        <v>-18102.099999999999</v>
      </c>
      <c r="CR138" s="89">
        <v>-3438</v>
      </c>
      <c r="CS138" s="89">
        <v>58274.6</v>
      </c>
      <c r="CT138" s="89">
        <v>-7492.1</v>
      </c>
      <c r="CU138" s="88">
        <f t="shared" si="11"/>
        <v>23559.577920000003</v>
      </c>
      <c r="CV138" s="89">
        <v>11135.571500000002</v>
      </c>
      <c r="CW138" s="89">
        <v>11146.246130000001</v>
      </c>
      <c r="CX138" s="89">
        <v>-10.674629999999993</v>
      </c>
      <c r="CY138" s="89">
        <v>12424.00642</v>
      </c>
      <c r="CZ138" s="89"/>
      <c r="DA138" s="88"/>
      <c r="DB138" s="89"/>
      <c r="DC138" s="89"/>
      <c r="DD138" s="89"/>
      <c r="DE138" s="89"/>
      <c r="DF138" s="89"/>
      <c r="DG138" s="88">
        <v>137997.1</v>
      </c>
      <c r="DH138" s="89">
        <v>115932.9</v>
      </c>
      <c r="DI138" s="89"/>
      <c r="DJ138" s="89"/>
      <c r="DK138" s="89">
        <v>29096.400000000001</v>
      </c>
      <c r="DL138" s="89">
        <v>-7032.2</v>
      </c>
      <c r="DM138" s="88"/>
      <c r="DN138" s="89"/>
      <c r="DO138" s="89"/>
      <c r="DP138" s="89"/>
      <c r="DQ138" s="89"/>
      <c r="DR138" s="89"/>
      <c r="DS138" s="88"/>
      <c r="DT138" s="89"/>
      <c r="DU138" s="89"/>
      <c r="DV138" s="89"/>
      <c r="DW138" s="89"/>
      <c r="DX138" s="89"/>
      <c r="DY138" s="88">
        <v>5833.9935779999996</v>
      </c>
      <c r="DZ138" s="89">
        <f t="shared" si="8"/>
        <v>-143.55342199999996</v>
      </c>
      <c r="EA138" s="89">
        <v>638.256438</v>
      </c>
      <c r="EB138" s="89">
        <v>-781.80985999999996</v>
      </c>
      <c r="EC138" s="89">
        <v>5977.5469999999996</v>
      </c>
      <c r="ED138" s="89"/>
      <c r="EE138" s="88"/>
      <c r="EF138" s="89"/>
      <c r="EG138" s="89"/>
      <c r="EH138" s="89"/>
      <c r="EI138" s="89"/>
      <c r="EJ138" s="89"/>
      <c r="EK138" s="88">
        <v>6950728.9980000006</v>
      </c>
      <c r="EL138" s="89">
        <f t="shared" si="9"/>
        <v>-34046.353000000512</v>
      </c>
      <c r="EM138" s="89">
        <v>-48219.62200000044</v>
      </c>
      <c r="EN138" s="89">
        <v>14173.268999999924</v>
      </c>
      <c r="EO138" s="89">
        <v>6840404.1640000008</v>
      </c>
      <c r="EP138" s="89">
        <v>144371.18700000001</v>
      </c>
      <c r="EQ138" s="88">
        <v>26919.48661684</v>
      </c>
      <c r="ER138" s="89">
        <v>-11107.67021844</v>
      </c>
      <c r="ES138" s="89"/>
      <c r="ET138" s="89"/>
      <c r="EU138" s="89">
        <v>55518.178141719996</v>
      </c>
      <c r="EV138" s="89">
        <v>-17491.021306439994</v>
      </c>
      <c r="EW138" s="88"/>
      <c r="EX138" s="89"/>
      <c r="EY138" s="89"/>
      <c r="EZ138" s="89"/>
      <c r="FA138" s="89"/>
      <c r="FB138" s="89"/>
      <c r="FC138" s="88">
        <v>810.87980600000003</v>
      </c>
      <c r="FD138" s="89">
        <f t="shared" si="7"/>
        <v>106.927806</v>
      </c>
      <c r="FE138" s="89">
        <v>259.61850299999998</v>
      </c>
      <c r="FF138" s="89">
        <v>-152.69069699999997</v>
      </c>
      <c r="FG138" s="89">
        <v>703.952</v>
      </c>
      <c r="FH138" s="89"/>
      <c r="FI138" s="88"/>
      <c r="FJ138" s="89"/>
      <c r="FK138" s="89"/>
      <c r="FL138" s="89"/>
      <c r="FM138" s="89"/>
      <c r="FN138" s="89"/>
      <c r="FO138" s="88"/>
      <c r="FP138" s="89"/>
      <c r="FQ138" s="89"/>
      <c r="FR138" s="89"/>
      <c r="FS138" s="89"/>
      <c r="FT138" s="89"/>
      <c r="FU138" s="88"/>
      <c r="FV138" s="89"/>
      <c r="FW138" s="89"/>
      <c r="FX138" s="89"/>
      <c r="FY138" s="89"/>
      <c r="FZ138" s="89"/>
      <c r="GA138" s="120">
        <v>13962.3</v>
      </c>
      <c r="GB138" s="121">
        <f t="shared" si="12"/>
        <v>-858.19999999999982</v>
      </c>
      <c r="GC138" s="121">
        <v>-2739.1</v>
      </c>
      <c r="GD138" s="121">
        <v>1880.9</v>
      </c>
      <c r="GE138" s="121">
        <v>14800.5</v>
      </c>
      <c r="GF138" s="89"/>
      <c r="GG138" s="88"/>
      <c r="GH138" s="89"/>
      <c r="GI138" s="89"/>
      <c r="GJ138" s="89"/>
      <c r="GK138" s="89"/>
      <c r="GL138" s="89"/>
      <c r="GM138" s="88">
        <v>12832.8783687343</v>
      </c>
      <c r="GN138" s="89">
        <v>3066.0203539870995</v>
      </c>
      <c r="GO138" s="89">
        <v>3036.9763151129996</v>
      </c>
      <c r="GP138" s="89">
        <v>29.044038874099961</v>
      </c>
      <c r="GQ138" s="89">
        <v>8667.2587849352003</v>
      </c>
      <c r="GR138" s="89">
        <v>1099.599229812</v>
      </c>
      <c r="GS138" s="88"/>
      <c r="GT138" s="87"/>
      <c r="GU138" s="87"/>
      <c r="GV138" s="87"/>
      <c r="GW138" s="87"/>
      <c r="GX138" s="87"/>
      <c r="GY138" s="87"/>
      <c r="GZ138" s="88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8"/>
      <c r="HM138" s="87"/>
      <c r="HN138" s="87"/>
      <c r="HO138" s="87"/>
      <c r="HP138" s="87"/>
      <c r="HQ138" s="87"/>
      <c r="HR138" s="87"/>
      <c r="HS138" s="87"/>
    </row>
    <row r="139" spans="1:227">
      <c r="A139" s="69"/>
      <c r="B139" s="87" t="s">
        <v>492</v>
      </c>
      <c r="C139" s="88"/>
      <c r="D139" s="87"/>
      <c r="E139" s="87"/>
      <c r="F139" s="87"/>
      <c r="G139" s="87"/>
      <c r="H139" s="87"/>
      <c r="I139" s="88">
        <v>90618.90400000001</v>
      </c>
      <c r="J139" s="89">
        <v>41850.523000000001</v>
      </c>
      <c r="K139" s="89"/>
      <c r="L139" s="89"/>
      <c r="M139" s="89">
        <v>63163.634000000005</v>
      </c>
      <c r="N139" s="89">
        <v>-14395.253000000001</v>
      </c>
      <c r="O139" s="90"/>
      <c r="P139" s="91"/>
      <c r="Q139" s="91"/>
      <c r="R139" s="91"/>
      <c r="S139" s="91"/>
      <c r="T139" s="91"/>
      <c r="U139" s="90"/>
      <c r="V139" s="91"/>
      <c r="W139" s="91"/>
      <c r="X139" s="91"/>
      <c r="Y139" s="91"/>
      <c r="Z139" s="91"/>
      <c r="AA139" s="88">
        <v>820.21199999999999</v>
      </c>
      <c r="AB139" s="89">
        <f t="shared" si="10"/>
        <v>129.226</v>
      </c>
      <c r="AC139" s="89">
        <v>21.606999999999999</v>
      </c>
      <c r="AD139" s="89">
        <v>107.619</v>
      </c>
      <c r="AE139" s="89">
        <v>690.98599999999999</v>
      </c>
      <c r="AF139" s="89"/>
      <c r="AG139" s="88">
        <v>36060.489822899995</v>
      </c>
      <c r="AH139" s="89">
        <v>6594.7458229000003</v>
      </c>
      <c r="AI139" s="89">
        <v>6594.7458229000003</v>
      </c>
      <c r="AJ139" s="89"/>
      <c r="AK139" s="89">
        <v>29465.743999999999</v>
      </c>
      <c r="AL139" s="89"/>
      <c r="AM139" s="88"/>
      <c r="AN139" s="89"/>
      <c r="AO139" s="89"/>
      <c r="AP139" s="89"/>
      <c r="AQ139" s="89"/>
      <c r="AR139" s="89"/>
      <c r="AS139" s="88">
        <v>26277000</v>
      </c>
      <c r="AT139" s="89">
        <f t="shared" si="5"/>
        <v>2461000</v>
      </c>
      <c r="AU139" s="89">
        <v>2461000</v>
      </c>
      <c r="AV139" s="89"/>
      <c r="AW139" s="89">
        <v>27500000</v>
      </c>
      <c r="AX139" s="89">
        <v>-3684000</v>
      </c>
      <c r="AY139" s="88"/>
      <c r="AZ139" s="89"/>
      <c r="BA139" s="89"/>
      <c r="BB139" s="89"/>
      <c r="BC139" s="89"/>
      <c r="BD139" s="89"/>
      <c r="BE139" s="88"/>
      <c r="BF139" s="89"/>
      <c r="BG139" s="89"/>
      <c r="BH139" s="89"/>
      <c r="BI139" s="89"/>
      <c r="BJ139" s="89"/>
      <c r="BK139" s="88"/>
      <c r="BL139" s="89"/>
      <c r="BM139" s="89"/>
      <c r="BN139" s="89"/>
      <c r="BO139" s="89"/>
      <c r="BP139" s="89"/>
      <c r="BQ139" s="88"/>
      <c r="BR139" s="89"/>
      <c r="BS139" s="89"/>
      <c r="BT139" s="89"/>
      <c r="BU139" s="89"/>
      <c r="BV139" s="89"/>
      <c r="BW139" s="88"/>
      <c r="BX139" s="89"/>
      <c r="BY139" s="89"/>
      <c r="BZ139" s="89"/>
      <c r="CA139" s="89"/>
      <c r="CB139" s="89"/>
      <c r="CC139" s="88"/>
      <c r="CD139" s="89"/>
      <c r="CE139" s="89"/>
      <c r="CF139" s="89"/>
      <c r="CG139" s="89"/>
      <c r="CH139" s="89"/>
      <c r="CI139" s="88"/>
      <c r="CJ139" s="89"/>
      <c r="CK139" s="89"/>
      <c r="CL139" s="89"/>
      <c r="CM139" s="89"/>
      <c r="CN139" s="89"/>
      <c r="CO139" s="88"/>
      <c r="CP139" s="89"/>
      <c r="CQ139" s="89"/>
      <c r="CR139" s="89"/>
      <c r="CS139" s="89"/>
      <c r="CT139" s="89"/>
      <c r="CU139" s="88">
        <f t="shared" si="11"/>
        <v>23375.701880000001</v>
      </c>
      <c r="CV139" s="89">
        <v>11067.498250000002</v>
      </c>
      <c r="CW139" s="89">
        <v>11183.552700000002</v>
      </c>
      <c r="CX139" s="89">
        <v>-116.05445</v>
      </c>
      <c r="CY139" s="89">
        <v>12308.20363</v>
      </c>
      <c r="CZ139" s="89"/>
      <c r="DA139" s="88"/>
      <c r="DB139" s="89"/>
      <c r="DC139" s="89"/>
      <c r="DD139" s="89"/>
      <c r="DE139" s="89"/>
      <c r="DF139" s="89"/>
      <c r="DG139" s="88">
        <v>145986.5</v>
      </c>
      <c r="DH139" s="89">
        <v>124544.2</v>
      </c>
      <c r="DI139" s="89"/>
      <c r="DJ139" s="89"/>
      <c r="DK139" s="89">
        <v>28873.599999999999</v>
      </c>
      <c r="DL139" s="89">
        <v>-7431.3</v>
      </c>
      <c r="DM139" s="88"/>
      <c r="DN139" s="89"/>
      <c r="DO139" s="89"/>
      <c r="DP139" s="89"/>
      <c r="DQ139" s="89"/>
      <c r="DR139" s="89"/>
      <c r="DS139" s="88"/>
      <c r="DT139" s="89"/>
      <c r="DU139" s="89"/>
      <c r="DV139" s="89"/>
      <c r="DW139" s="89"/>
      <c r="DX139" s="89"/>
      <c r="DY139" s="88">
        <v>5820.3351960000009</v>
      </c>
      <c r="DZ139" s="89">
        <f t="shared" si="8"/>
        <v>-144.48680400000001</v>
      </c>
      <c r="EA139" s="89">
        <v>653.53094700000008</v>
      </c>
      <c r="EB139" s="89">
        <v>-798.01775100000009</v>
      </c>
      <c r="EC139" s="89">
        <v>5964.8220000000001</v>
      </c>
      <c r="ED139" s="89"/>
      <c r="EE139" s="88"/>
      <c r="EF139" s="89"/>
      <c r="EG139" s="89"/>
      <c r="EH139" s="89"/>
      <c r="EI139" s="89"/>
      <c r="EJ139" s="89"/>
      <c r="EK139" s="88">
        <v>6950656.596979171</v>
      </c>
      <c r="EL139" s="89">
        <f t="shared" si="9"/>
        <v>-72470.074270500045</v>
      </c>
      <c r="EM139" s="89">
        <v>-62803.101410500007</v>
      </c>
      <c r="EN139" s="89">
        <v>-9666.9728600000381</v>
      </c>
      <c r="EO139" s="89">
        <v>6867415.2200206704</v>
      </c>
      <c r="EP139" s="89">
        <v>155711.451229</v>
      </c>
      <c r="EQ139" s="88">
        <v>26971.055215579992</v>
      </c>
      <c r="ER139" s="89">
        <v>-10529.45081792</v>
      </c>
      <c r="ES139" s="89"/>
      <c r="ET139" s="89"/>
      <c r="EU139" s="89">
        <v>56147.180208939993</v>
      </c>
      <c r="EV139" s="89">
        <v>-18646.674175439999</v>
      </c>
      <c r="EW139" s="88"/>
      <c r="EX139" s="89"/>
      <c r="EY139" s="89"/>
      <c r="EZ139" s="89"/>
      <c r="FA139" s="89"/>
      <c r="FB139" s="89"/>
      <c r="FC139" s="88">
        <v>806.525577</v>
      </c>
      <c r="FD139" s="89">
        <f t="shared" si="7"/>
        <v>108.25057699999999</v>
      </c>
      <c r="FE139" s="89">
        <v>261.89010300000001</v>
      </c>
      <c r="FF139" s="89">
        <v>-153.63952600000002</v>
      </c>
      <c r="FG139" s="89">
        <v>698.27499999999998</v>
      </c>
      <c r="FH139" s="89"/>
      <c r="FI139" s="88"/>
      <c r="FJ139" s="89"/>
      <c r="FK139" s="89"/>
      <c r="FL139" s="89"/>
      <c r="FM139" s="89"/>
      <c r="FN139" s="89"/>
      <c r="FO139" s="88"/>
      <c r="FP139" s="89"/>
      <c r="FQ139" s="89"/>
      <c r="FR139" s="89"/>
      <c r="FS139" s="89"/>
      <c r="FT139" s="89"/>
      <c r="FU139" s="88"/>
      <c r="FV139" s="89"/>
      <c r="FW139" s="89"/>
      <c r="FX139" s="89"/>
      <c r="FY139" s="89"/>
      <c r="FZ139" s="89"/>
      <c r="GA139" s="120">
        <v>13484.5</v>
      </c>
      <c r="GB139" s="121">
        <f t="shared" si="12"/>
        <v>-1608.4</v>
      </c>
      <c r="GC139" s="121">
        <v>-3379.4</v>
      </c>
      <c r="GD139" s="121">
        <v>1771</v>
      </c>
      <c r="GE139" s="121">
        <v>15093</v>
      </c>
      <c r="GF139" s="89"/>
      <c r="GG139" s="88"/>
      <c r="GH139" s="89"/>
      <c r="GI139" s="89"/>
      <c r="GJ139" s="89"/>
      <c r="GK139" s="89"/>
      <c r="GL139" s="89"/>
      <c r="GM139" s="88">
        <v>12737.171829500299</v>
      </c>
      <c r="GN139" s="89">
        <v>3032.9921017008</v>
      </c>
      <c r="GO139" s="89">
        <v>3008.5082751946002</v>
      </c>
      <c r="GP139" s="89">
        <v>24.48382650619978</v>
      </c>
      <c r="GQ139" s="89">
        <v>8639.239750991399</v>
      </c>
      <c r="GR139" s="89">
        <v>1024.9399768081</v>
      </c>
      <c r="GS139" s="88"/>
      <c r="GT139" s="87"/>
      <c r="GU139" s="87"/>
      <c r="GV139" s="87"/>
      <c r="GW139" s="87"/>
      <c r="GX139" s="87"/>
      <c r="GY139" s="87"/>
      <c r="GZ139" s="88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8"/>
      <c r="HM139" s="87"/>
      <c r="HN139" s="87"/>
      <c r="HO139" s="87"/>
      <c r="HP139" s="87"/>
      <c r="HQ139" s="87"/>
      <c r="HR139" s="87"/>
      <c r="HS139" s="87"/>
    </row>
    <row r="140" spans="1:227">
      <c r="A140" s="69"/>
      <c r="B140" s="87" t="s">
        <v>493</v>
      </c>
      <c r="C140" s="88"/>
      <c r="D140" s="87"/>
      <c r="E140" s="87"/>
      <c r="F140" s="87"/>
      <c r="G140" s="87"/>
      <c r="H140" s="87"/>
      <c r="I140" s="88">
        <v>93235.964999999997</v>
      </c>
      <c r="J140" s="89">
        <v>44427.654000000002</v>
      </c>
      <c r="K140" s="89"/>
      <c r="L140" s="89"/>
      <c r="M140" s="89">
        <v>62720.813000000002</v>
      </c>
      <c r="N140" s="89">
        <v>-13912.502</v>
      </c>
      <c r="O140" s="90"/>
      <c r="P140" s="91"/>
      <c r="Q140" s="91"/>
      <c r="R140" s="91"/>
      <c r="S140" s="91"/>
      <c r="T140" s="91"/>
      <c r="U140" s="90"/>
      <c r="V140" s="91"/>
      <c r="W140" s="91"/>
      <c r="X140" s="91"/>
      <c r="Y140" s="91"/>
      <c r="Z140" s="91"/>
      <c r="AA140" s="88">
        <v>838.77800000000002</v>
      </c>
      <c r="AB140" s="89">
        <f t="shared" si="10"/>
        <v>140.72800000000001</v>
      </c>
      <c r="AC140" s="89">
        <v>32.594999999999999</v>
      </c>
      <c r="AD140" s="89">
        <v>108.133</v>
      </c>
      <c r="AE140" s="89">
        <v>698.05</v>
      </c>
      <c r="AF140" s="89"/>
      <c r="AG140" s="88">
        <v>36097.907280129999</v>
      </c>
      <c r="AH140" s="89">
        <v>6591.49728013</v>
      </c>
      <c r="AI140" s="89">
        <v>6591.49728013</v>
      </c>
      <c r="AJ140" s="89"/>
      <c r="AK140" s="89">
        <v>29506.41</v>
      </c>
      <c r="AL140" s="89"/>
      <c r="AM140" s="88"/>
      <c r="AN140" s="89"/>
      <c r="AO140" s="89"/>
      <c r="AP140" s="89"/>
      <c r="AQ140" s="89"/>
      <c r="AR140" s="89"/>
      <c r="AS140" s="88">
        <v>26468000</v>
      </c>
      <c r="AT140" s="89">
        <f t="shared" si="5"/>
        <v>2568000</v>
      </c>
      <c r="AU140" s="89">
        <v>2568000</v>
      </c>
      <c r="AV140" s="89"/>
      <c r="AW140" s="89">
        <v>27690000</v>
      </c>
      <c r="AX140" s="89">
        <v>-3790000</v>
      </c>
      <c r="AY140" s="88"/>
      <c r="AZ140" s="89"/>
      <c r="BA140" s="89"/>
      <c r="BB140" s="89"/>
      <c r="BC140" s="89"/>
      <c r="BD140" s="89"/>
      <c r="BE140" s="88"/>
      <c r="BF140" s="89"/>
      <c r="BG140" s="89"/>
      <c r="BH140" s="89"/>
      <c r="BI140" s="89"/>
      <c r="BJ140" s="89"/>
      <c r="BK140" s="88"/>
      <c r="BL140" s="89"/>
      <c r="BM140" s="89"/>
      <c r="BN140" s="89"/>
      <c r="BO140" s="89"/>
      <c r="BP140" s="89"/>
      <c r="BQ140" s="88"/>
      <c r="BR140" s="89"/>
      <c r="BS140" s="89"/>
      <c r="BT140" s="89"/>
      <c r="BU140" s="89"/>
      <c r="BV140" s="89"/>
      <c r="BW140" s="88"/>
      <c r="BX140" s="89"/>
      <c r="BY140" s="89"/>
      <c r="BZ140" s="89"/>
      <c r="CA140" s="89"/>
      <c r="CB140" s="89"/>
      <c r="CC140" s="88"/>
      <c r="CD140" s="89"/>
      <c r="CE140" s="89"/>
      <c r="CF140" s="89"/>
      <c r="CG140" s="89"/>
      <c r="CH140" s="89"/>
      <c r="CI140" s="88"/>
      <c r="CJ140" s="89"/>
      <c r="CK140" s="89"/>
      <c r="CL140" s="89"/>
      <c r="CM140" s="89"/>
      <c r="CN140" s="89"/>
      <c r="CO140" s="88"/>
      <c r="CP140" s="89"/>
      <c r="CQ140" s="89"/>
      <c r="CR140" s="89"/>
      <c r="CS140" s="89"/>
      <c r="CT140" s="89"/>
      <c r="CU140" s="88">
        <f t="shared" si="11"/>
        <v>23649.913519999998</v>
      </c>
      <c r="CV140" s="89">
        <v>11349.521119999998</v>
      </c>
      <c r="CW140" s="89">
        <v>11475.125219999998</v>
      </c>
      <c r="CX140" s="89">
        <v>-125.6041</v>
      </c>
      <c r="CY140" s="89">
        <v>12300.392400000001</v>
      </c>
      <c r="CZ140" s="89"/>
      <c r="DA140" s="88"/>
      <c r="DB140" s="89"/>
      <c r="DC140" s="89"/>
      <c r="DD140" s="89"/>
      <c r="DE140" s="89"/>
      <c r="DF140" s="89"/>
      <c r="DG140" s="88">
        <v>148083.79999999999</v>
      </c>
      <c r="DH140" s="89">
        <v>126642.1</v>
      </c>
      <c r="DI140" s="89"/>
      <c r="DJ140" s="89"/>
      <c r="DK140" s="89">
        <v>29135</v>
      </c>
      <c r="DL140" s="89">
        <v>-7693.3</v>
      </c>
      <c r="DM140" s="88"/>
      <c r="DN140" s="89"/>
      <c r="DO140" s="89"/>
      <c r="DP140" s="89"/>
      <c r="DQ140" s="89"/>
      <c r="DR140" s="89"/>
      <c r="DS140" s="88"/>
      <c r="DT140" s="89"/>
      <c r="DU140" s="89"/>
      <c r="DV140" s="89"/>
      <c r="DW140" s="89"/>
      <c r="DX140" s="89"/>
      <c r="DY140" s="88">
        <v>5842.9734159999998</v>
      </c>
      <c r="DZ140" s="89">
        <f t="shared" si="8"/>
        <v>-145.24258399999997</v>
      </c>
      <c r="EA140" s="89">
        <v>667.45641499999999</v>
      </c>
      <c r="EB140" s="89">
        <v>-812.69899899999996</v>
      </c>
      <c r="EC140" s="89">
        <v>5988.2160000000003</v>
      </c>
      <c r="ED140" s="89"/>
      <c r="EE140" s="88"/>
      <c r="EF140" s="89"/>
      <c r="EG140" s="89"/>
      <c r="EH140" s="89"/>
      <c r="EI140" s="89"/>
      <c r="EJ140" s="89"/>
      <c r="EK140" s="88">
        <v>6827393.5458043003</v>
      </c>
      <c r="EL140" s="89">
        <f t="shared" si="9"/>
        <v>-173685.22770241974</v>
      </c>
      <c r="EM140" s="89">
        <v>-150272.96878811973</v>
      </c>
      <c r="EN140" s="89">
        <v>-23412.258914299997</v>
      </c>
      <c r="EO140" s="89">
        <v>6847007.79233116</v>
      </c>
      <c r="EP140" s="89">
        <v>154070.98117556001</v>
      </c>
      <c r="EQ140" s="88">
        <v>26856.617812739998</v>
      </c>
      <c r="ER140" s="89">
        <v>-10567.693487100001</v>
      </c>
      <c r="ES140" s="89"/>
      <c r="ET140" s="89"/>
      <c r="EU140" s="89">
        <v>57017.276319320001</v>
      </c>
      <c r="EV140" s="89">
        <v>-19592.965019479998</v>
      </c>
      <c r="EW140" s="88"/>
      <c r="EX140" s="89"/>
      <c r="EY140" s="89"/>
      <c r="EZ140" s="89"/>
      <c r="FA140" s="89"/>
      <c r="FB140" s="89"/>
      <c r="FC140" s="88">
        <v>799.337354</v>
      </c>
      <c r="FD140" s="89">
        <f t="shared" si="7"/>
        <v>105.22235400000002</v>
      </c>
      <c r="FE140" s="89">
        <v>265.03189800000001</v>
      </c>
      <c r="FF140" s="89">
        <v>-159.80954399999999</v>
      </c>
      <c r="FG140" s="89">
        <v>694.11500000000001</v>
      </c>
      <c r="FH140" s="89"/>
      <c r="FI140" s="88"/>
      <c r="FJ140" s="89"/>
      <c r="FK140" s="89"/>
      <c r="FL140" s="89"/>
      <c r="FM140" s="89"/>
      <c r="FN140" s="89"/>
      <c r="FO140" s="88"/>
      <c r="FP140" s="89"/>
      <c r="FQ140" s="89"/>
      <c r="FR140" s="89"/>
      <c r="FS140" s="89"/>
      <c r="FT140" s="89"/>
      <c r="FU140" s="88"/>
      <c r="FV140" s="89"/>
      <c r="FW140" s="89"/>
      <c r="FX140" s="89"/>
      <c r="FY140" s="89"/>
      <c r="FZ140" s="89"/>
      <c r="GA140" s="120">
        <v>13474.9</v>
      </c>
      <c r="GB140" s="121">
        <f t="shared" si="12"/>
        <v>-1721.8999999999999</v>
      </c>
      <c r="GC140" s="121">
        <v>-3598.1</v>
      </c>
      <c r="GD140" s="121">
        <v>1876.2</v>
      </c>
      <c r="GE140" s="121">
        <v>15196.7</v>
      </c>
      <c r="GF140" s="89"/>
      <c r="GG140" s="88"/>
      <c r="GH140" s="89"/>
      <c r="GI140" s="89"/>
      <c r="GJ140" s="89"/>
      <c r="GK140" s="89"/>
      <c r="GL140" s="89"/>
      <c r="GM140" s="88">
        <v>12375.238720166401</v>
      </c>
      <c r="GN140" s="89">
        <v>2630.7104747055</v>
      </c>
      <c r="GO140" s="89">
        <v>2593.2341369668998</v>
      </c>
      <c r="GP140" s="89">
        <v>37.476337738600094</v>
      </c>
      <c r="GQ140" s="89">
        <v>8745.5597169392004</v>
      </c>
      <c r="GR140" s="89">
        <v>998.96852852170002</v>
      </c>
      <c r="GS140" s="88"/>
      <c r="GT140" s="87"/>
      <c r="GU140" s="87"/>
      <c r="GV140" s="87"/>
      <c r="GW140" s="87"/>
      <c r="GX140" s="87"/>
      <c r="GY140" s="87"/>
      <c r="GZ140" s="88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8"/>
      <c r="HM140" s="87"/>
      <c r="HN140" s="87"/>
      <c r="HO140" s="87"/>
      <c r="HP140" s="87"/>
      <c r="HQ140" s="87"/>
      <c r="HR140" s="87"/>
      <c r="HS140" s="87"/>
    </row>
    <row r="141" spans="1:227">
      <c r="A141" s="69"/>
      <c r="B141" s="87" t="s">
        <v>494</v>
      </c>
      <c r="C141" s="88"/>
      <c r="D141" s="87"/>
      <c r="E141" s="87"/>
      <c r="F141" s="87"/>
      <c r="G141" s="87"/>
      <c r="H141" s="87"/>
      <c r="I141" s="88">
        <v>85811.266999999993</v>
      </c>
      <c r="J141" s="89">
        <v>42075.245999999999</v>
      </c>
      <c r="K141" s="89"/>
      <c r="L141" s="89"/>
      <c r="M141" s="89">
        <v>62667.076000000001</v>
      </c>
      <c r="N141" s="89">
        <v>-18931.055</v>
      </c>
      <c r="O141" s="90"/>
      <c r="P141" s="91"/>
      <c r="Q141" s="91"/>
      <c r="R141" s="91"/>
      <c r="S141" s="91"/>
      <c r="T141" s="91"/>
      <c r="U141" s="90"/>
      <c r="V141" s="91"/>
      <c r="W141" s="91"/>
      <c r="X141" s="91"/>
      <c r="Y141" s="91"/>
      <c r="Z141" s="91"/>
      <c r="AA141" s="88">
        <v>879.71900000000005</v>
      </c>
      <c r="AB141" s="89">
        <f t="shared" si="10"/>
        <v>164.505</v>
      </c>
      <c r="AC141" s="89">
        <v>56.511000000000003</v>
      </c>
      <c r="AD141" s="89">
        <v>107.994</v>
      </c>
      <c r="AE141" s="89">
        <v>715.21400000000006</v>
      </c>
      <c r="AF141" s="89"/>
      <c r="AG141" s="88">
        <v>36020.570905868</v>
      </c>
      <c r="AH141" s="89">
        <v>6617.3273058679997</v>
      </c>
      <c r="AI141" s="89">
        <v>6617.3273058679997</v>
      </c>
      <c r="AJ141" s="89"/>
      <c r="AK141" s="89">
        <v>29403.243999999999</v>
      </c>
      <c r="AL141" s="89"/>
      <c r="AM141" s="88"/>
      <c r="AN141" s="89"/>
      <c r="AO141" s="89"/>
      <c r="AP141" s="89"/>
      <c r="AQ141" s="89"/>
      <c r="AR141" s="89"/>
      <c r="AS141" s="88">
        <v>26877000</v>
      </c>
      <c r="AT141" s="89">
        <f t="shared" si="5"/>
        <v>2883000</v>
      </c>
      <c r="AU141" s="89">
        <v>2883000</v>
      </c>
      <c r="AV141" s="89"/>
      <c r="AW141" s="89">
        <v>27874000</v>
      </c>
      <c r="AX141" s="89">
        <v>-3880000</v>
      </c>
      <c r="AY141" s="88"/>
      <c r="AZ141" s="89"/>
      <c r="BA141" s="89"/>
      <c r="BB141" s="89"/>
      <c r="BC141" s="89"/>
      <c r="BD141" s="89"/>
      <c r="BE141" s="88"/>
      <c r="BF141" s="89"/>
      <c r="BG141" s="89"/>
      <c r="BH141" s="89"/>
      <c r="BI141" s="89"/>
      <c r="BJ141" s="89"/>
      <c r="BK141" s="88"/>
      <c r="BL141" s="89"/>
      <c r="BM141" s="89"/>
      <c r="BN141" s="89"/>
      <c r="BO141" s="89"/>
      <c r="BP141" s="89"/>
      <c r="BQ141" s="88"/>
      <c r="BR141" s="89"/>
      <c r="BS141" s="89"/>
      <c r="BT141" s="89"/>
      <c r="BU141" s="89"/>
      <c r="BV141" s="89"/>
      <c r="BW141" s="88"/>
      <c r="BX141" s="89"/>
      <c r="BY141" s="89"/>
      <c r="BZ141" s="89"/>
      <c r="CA141" s="89"/>
      <c r="CB141" s="89"/>
      <c r="CC141" s="88"/>
      <c r="CD141" s="89"/>
      <c r="CE141" s="89"/>
      <c r="CF141" s="89"/>
      <c r="CG141" s="89"/>
      <c r="CH141" s="89"/>
      <c r="CI141" s="88"/>
      <c r="CJ141" s="89"/>
      <c r="CK141" s="89"/>
      <c r="CL141" s="89"/>
      <c r="CM141" s="89"/>
      <c r="CN141" s="89"/>
      <c r="CO141" s="88">
        <v>27333.4</v>
      </c>
      <c r="CP141" s="89">
        <v>-22276.3</v>
      </c>
      <c r="CQ141" s="89">
        <v>-19546.099999999999</v>
      </c>
      <c r="CR141" s="89">
        <v>-2730.2000000000007</v>
      </c>
      <c r="CS141" s="89">
        <v>57922.6</v>
      </c>
      <c r="CT141" s="89">
        <v>-8612.7999999999993</v>
      </c>
      <c r="CU141" s="88">
        <f t="shared" si="11"/>
        <v>23921.668420000002</v>
      </c>
      <c r="CV141" s="89">
        <v>11519.523520000001</v>
      </c>
      <c r="CW141" s="89">
        <v>11603.92892</v>
      </c>
      <c r="CX141" s="89">
        <v>-84.405400000000014</v>
      </c>
      <c r="CY141" s="89">
        <v>12402.144899999999</v>
      </c>
      <c r="CZ141" s="89"/>
      <c r="DA141" s="88"/>
      <c r="DB141" s="89"/>
      <c r="DC141" s="89"/>
      <c r="DD141" s="89"/>
      <c r="DE141" s="89"/>
      <c r="DF141" s="89"/>
      <c r="DG141" s="88">
        <v>151865.70000000001</v>
      </c>
      <c r="DH141" s="89">
        <v>130100</v>
      </c>
      <c r="DI141" s="89"/>
      <c r="DJ141" s="89"/>
      <c r="DK141" s="89">
        <v>29093.200000000001</v>
      </c>
      <c r="DL141" s="89">
        <v>-7327.5</v>
      </c>
      <c r="DM141" s="88"/>
      <c r="DN141" s="89"/>
      <c r="DO141" s="89"/>
      <c r="DP141" s="89"/>
      <c r="DQ141" s="89"/>
      <c r="DR141" s="89"/>
      <c r="DS141" s="88"/>
      <c r="DT141" s="89"/>
      <c r="DU141" s="89"/>
      <c r="DV141" s="89"/>
      <c r="DW141" s="89"/>
      <c r="DX141" s="89"/>
      <c r="DY141" s="88">
        <v>5845.6130190000003</v>
      </c>
      <c r="DZ141" s="89">
        <f t="shared" si="8"/>
        <v>-145.19498099999987</v>
      </c>
      <c r="EA141" s="89">
        <v>615.29280000000006</v>
      </c>
      <c r="EB141" s="89">
        <v>-760.48778099999993</v>
      </c>
      <c r="EC141" s="89">
        <v>5990.808</v>
      </c>
      <c r="ED141" s="89"/>
      <c r="EE141" s="88"/>
      <c r="EF141" s="89"/>
      <c r="EG141" s="89"/>
      <c r="EH141" s="89"/>
      <c r="EI141" s="89"/>
      <c r="EJ141" s="89"/>
      <c r="EK141" s="88">
        <v>7105631.7999999998</v>
      </c>
      <c r="EL141" s="89">
        <f t="shared" si="9"/>
        <v>586.25099999975646</v>
      </c>
      <c r="EM141" s="89">
        <v>-105152.27300000028</v>
      </c>
      <c r="EN141" s="89">
        <v>105738.52400000003</v>
      </c>
      <c r="EO141" s="89">
        <v>6957024.1789999995</v>
      </c>
      <c r="EP141" s="89">
        <v>148021.37000000002</v>
      </c>
      <c r="EQ141" s="88">
        <v>27345.208498440003</v>
      </c>
      <c r="ER141" s="89">
        <v>-10242.289585679999</v>
      </c>
      <c r="ES141" s="89"/>
      <c r="ET141" s="89"/>
      <c r="EU141" s="89">
        <v>55876.191585239998</v>
      </c>
      <c r="EV141" s="89">
        <v>-18288.693501119997</v>
      </c>
      <c r="EW141" s="88"/>
      <c r="EX141" s="89"/>
      <c r="EY141" s="89"/>
      <c r="EZ141" s="89"/>
      <c r="FA141" s="89"/>
      <c r="FB141" s="89"/>
      <c r="FC141" s="88">
        <v>780.74202600000001</v>
      </c>
      <c r="FD141" s="89">
        <f t="shared" si="7"/>
        <v>82.759026000000006</v>
      </c>
      <c r="FE141" s="89">
        <v>238.38816299999999</v>
      </c>
      <c r="FF141" s="89">
        <v>-155.62913699999999</v>
      </c>
      <c r="FG141" s="89">
        <v>697.98299999999995</v>
      </c>
      <c r="FH141" s="89"/>
      <c r="FI141" s="88"/>
      <c r="FJ141" s="89"/>
      <c r="FK141" s="89"/>
      <c r="FL141" s="89"/>
      <c r="FM141" s="89"/>
      <c r="FN141" s="89"/>
      <c r="FO141" s="88"/>
      <c r="FP141" s="89"/>
      <c r="FQ141" s="89"/>
      <c r="FR141" s="89"/>
      <c r="FS141" s="89"/>
      <c r="FT141" s="89"/>
      <c r="FU141" s="88"/>
      <c r="FV141" s="89"/>
      <c r="FW141" s="89"/>
      <c r="FX141" s="89"/>
      <c r="FY141" s="89"/>
      <c r="FZ141" s="89"/>
      <c r="GA141" s="120">
        <v>13052.5</v>
      </c>
      <c r="GB141" s="121">
        <f t="shared" si="12"/>
        <v>-2390.9</v>
      </c>
      <c r="GC141" s="121">
        <v>-4323.3</v>
      </c>
      <c r="GD141" s="121">
        <v>1932.4</v>
      </c>
      <c r="GE141" s="121">
        <v>15443.4</v>
      </c>
      <c r="GF141" s="89"/>
      <c r="GG141" s="88"/>
      <c r="GH141" s="89"/>
      <c r="GI141" s="89"/>
      <c r="GJ141" s="89"/>
      <c r="GK141" s="89"/>
      <c r="GL141" s="89"/>
      <c r="GM141" s="88">
        <v>12379.705998409298</v>
      </c>
      <c r="GN141" s="89">
        <v>2739.1611793368002</v>
      </c>
      <c r="GO141" s="89">
        <v>2649.018793408</v>
      </c>
      <c r="GP141" s="89">
        <v>40.14238592880033</v>
      </c>
      <c r="GQ141" s="89">
        <v>8880.3097322209978</v>
      </c>
      <c r="GR141" s="89">
        <v>810.23508685150011</v>
      </c>
      <c r="GS141" s="88"/>
      <c r="GT141" s="87"/>
      <c r="GU141" s="87"/>
      <c r="GV141" s="87"/>
      <c r="GW141" s="87"/>
      <c r="GX141" s="87"/>
      <c r="GY141" s="87"/>
      <c r="GZ141" s="88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8"/>
      <c r="HM141" s="87"/>
      <c r="HN141" s="87"/>
      <c r="HO141" s="87"/>
      <c r="HP141" s="87"/>
      <c r="HQ141" s="87"/>
      <c r="HR141" s="87"/>
      <c r="HS141" s="87"/>
    </row>
    <row r="142" spans="1:227">
      <c r="A142" s="69"/>
      <c r="B142" s="87" t="s">
        <v>495</v>
      </c>
      <c r="C142" s="88"/>
      <c r="D142" s="87"/>
      <c r="E142" s="87"/>
      <c r="F142" s="87"/>
      <c r="G142" s="87"/>
      <c r="H142" s="87"/>
      <c r="I142" s="88">
        <v>85328.02399999999</v>
      </c>
      <c r="J142" s="89">
        <v>42409.648999999998</v>
      </c>
      <c r="K142" s="89"/>
      <c r="L142" s="89"/>
      <c r="M142" s="89">
        <v>60980.218999999997</v>
      </c>
      <c r="N142" s="89">
        <v>-18061.844000000001</v>
      </c>
      <c r="O142" s="90"/>
      <c r="P142" s="91"/>
      <c r="Q142" s="91"/>
      <c r="R142" s="91"/>
      <c r="S142" s="91"/>
      <c r="T142" s="91"/>
      <c r="U142" s="90"/>
      <c r="V142" s="91"/>
      <c r="W142" s="91"/>
      <c r="X142" s="91"/>
      <c r="Y142" s="91"/>
      <c r="Z142" s="91"/>
      <c r="AA142" s="88">
        <v>904.19100000000003</v>
      </c>
      <c r="AB142" s="89">
        <f t="shared" si="10"/>
        <v>172.959</v>
      </c>
      <c r="AC142" s="89">
        <v>64.980999999999995</v>
      </c>
      <c r="AD142" s="89">
        <v>107.97799999999999</v>
      </c>
      <c r="AE142" s="89">
        <v>731.23199999999997</v>
      </c>
      <c r="AF142" s="89"/>
      <c r="AG142" s="88">
        <v>36176.852887344001</v>
      </c>
      <c r="AH142" s="89">
        <v>6811.4198873440009</v>
      </c>
      <c r="AI142" s="89">
        <v>6811.4198873440009</v>
      </c>
      <c r="AJ142" s="89"/>
      <c r="AK142" s="89">
        <v>29365.433000000001</v>
      </c>
      <c r="AL142" s="89"/>
      <c r="AM142" s="88"/>
      <c r="AN142" s="89"/>
      <c r="AO142" s="89"/>
      <c r="AP142" s="89"/>
      <c r="AQ142" s="89"/>
      <c r="AR142" s="89"/>
      <c r="AS142" s="88">
        <v>26464000</v>
      </c>
      <c r="AT142" s="89">
        <f t="shared" si="5"/>
        <v>3142000</v>
      </c>
      <c r="AU142" s="89">
        <v>3142000</v>
      </c>
      <c r="AV142" s="89"/>
      <c r="AW142" s="89">
        <v>28064000</v>
      </c>
      <c r="AX142" s="89">
        <v>-4742000</v>
      </c>
      <c r="AY142" s="88"/>
      <c r="AZ142" s="89"/>
      <c r="BA142" s="89"/>
      <c r="BB142" s="89"/>
      <c r="BC142" s="89"/>
      <c r="BD142" s="89"/>
      <c r="BE142" s="88"/>
      <c r="BF142" s="89"/>
      <c r="BG142" s="89"/>
      <c r="BH142" s="89"/>
      <c r="BI142" s="89"/>
      <c r="BJ142" s="89"/>
      <c r="BK142" s="88"/>
      <c r="BL142" s="89"/>
      <c r="BM142" s="89"/>
      <c r="BN142" s="89"/>
      <c r="BO142" s="89"/>
      <c r="BP142" s="89"/>
      <c r="BQ142" s="88"/>
      <c r="BR142" s="89"/>
      <c r="BS142" s="89"/>
      <c r="BT142" s="89"/>
      <c r="BU142" s="89"/>
      <c r="BV142" s="89"/>
      <c r="BW142" s="88"/>
      <c r="BX142" s="89"/>
      <c r="BY142" s="89"/>
      <c r="BZ142" s="89"/>
      <c r="CA142" s="89"/>
      <c r="CB142" s="89"/>
      <c r="CC142" s="88"/>
      <c r="CD142" s="89"/>
      <c r="CE142" s="89"/>
      <c r="CF142" s="89"/>
      <c r="CG142" s="89"/>
      <c r="CH142" s="89"/>
      <c r="CI142" s="88"/>
      <c r="CJ142" s="89"/>
      <c r="CK142" s="89"/>
      <c r="CL142" s="89"/>
      <c r="CM142" s="89"/>
      <c r="CN142" s="89"/>
      <c r="CO142" s="88"/>
      <c r="CP142" s="89"/>
      <c r="CQ142" s="89"/>
      <c r="CR142" s="89"/>
      <c r="CS142" s="89"/>
      <c r="CT142" s="89"/>
      <c r="CU142" s="88">
        <f t="shared" si="11"/>
        <v>24089.1967</v>
      </c>
      <c r="CV142" s="89">
        <v>11695.264300000001</v>
      </c>
      <c r="CW142" s="89">
        <v>11797.226700000001</v>
      </c>
      <c r="CX142" s="89">
        <v>-101.9624</v>
      </c>
      <c r="CY142" s="89">
        <v>12393.932400000002</v>
      </c>
      <c r="CZ142" s="89"/>
      <c r="DA142" s="88"/>
      <c r="DB142" s="89"/>
      <c r="DC142" s="89"/>
      <c r="DD142" s="89"/>
      <c r="DE142" s="89"/>
      <c r="DF142" s="89"/>
      <c r="DG142" s="88">
        <v>152317.5</v>
      </c>
      <c r="DH142" s="89">
        <v>129658.6</v>
      </c>
      <c r="DI142" s="89"/>
      <c r="DJ142" s="89"/>
      <c r="DK142" s="89">
        <v>29967.5</v>
      </c>
      <c r="DL142" s="89">
        <v>-7308.6</v>
      </c>
      <c r="DM142" s="88"/>
      <c r="DN142" s="89"/>
      <c r="DO142" s="89"/>
      <c r="DP142" s="89"/>
      <c r="DQ142" s="89"/>
      <c r="DR142" s="89"/>
      <c r="DS142" s="88"/>
      <c r="DT142" s="89"/>
      <c r="DU142" s="89"/>
      <c r="DV142" s="89"/>
      <c r="DW142" s="89"/>
      <c r="DX142" s="89"/>
      <c r="DY142" s="88">
        <v>6021.8697759999995</v>
      </c>
      <c r="DZ142" s="89">
        <f t="shared" si="8"/>
        <v>-169.0732240000001</v>
      </c>
      <c r="EA142" s="89">
        <v>574.96313399999997</v>
      </c>
      <c r="EB142" s="89">
        <v>-744.03635800000006</v>
      </c>
      <c r="EC142" s="89">
        <v>6190.9430000000002</v>
      </c>
      <c r="ED142" s="89"/>
      <c r="EE142" s="88"/>
      <c r="EF142" s="89"/>
      <c r="EG142" s="89"/>
      <c r="EH142" s="89"/>
      <c r="EI142" s="89"/>
      <c r="EJ142" s="89"/>
      <c r="EK142" s="88">
        <v>7281364.9000000013</v>
      </c>
      <c r="EL142" s="89">
        <f t="shared" si="9"/>
        <v>108641.18200000009</v>
      </c>
      <c r="EM142" s="89">
        <v>2600.5150000001304</v>
      </c>
      <c r="EN142" s="89">
        <v>106040.66699999996</v>
      </c>
      <c r="EO142" s="89">
        <v>7008500.9570000013</v>
      </c>
      <c r="EP142" s="89">
        <v>164222.761</v>
      </c>
      <c r="EQ142" s="88">
        <v>26780.724756689993</v>
      </c>
      <c r="ER142" s="89">
        <v>-9695.3318804800019</v>
      </c>
      <c r="ES142" s="89"/>
      <c r="ET142" s="89"/>
      <c r="EU142" s="89">
        <v>55191.988933180008</v>
      </c>
      <c r="EV142" s="89">
        <v>-18715.932296010011</v>
      </c>
      <c r="EW142" s="88"/>
      <c r="EX142" s="89"/>
      <c r="EY142" s="89"/>
      <c r="EZ142" s="89"/>
      <c r="FA142" s="89"/>
      <c r="FB142" s="89"/>
      <c r="FC142" s="88">
        <v>778.05009999999993</v>
      </c>
      <c r="FD142" s="89">
        <f t="shared" si="7"/>
        <v>80.103100000000012</v>
      </c>
      <c r="FE142" s="89">
        <v>232.35819599999999</v>
      </c>
      <c r="FF142" s="89">
        <v>-152.25509599999998</v>
      </c>
      <c r="FG142" s="89">
        <v>697.947</v>
      </c>
      <c r="FH142" s="89"/>
      <c r="FI142" s="88"/>
      <c r="FJ142" s="89"/>
      <c r="FK142" s="89"/>
      <c r="FL142" s="89"/>
      <c r="FM142" s="89"/>
      <c r="FN142" s="89"/>
      <c r="FO142" s="88"/>
      <c r="FP142" s="89"/>
      <c r="FQ142" s="89"/>
      <c r="FR142" s="89"/>
      <c r="FS142" s="89"/>
      <c r="FT142" s="89"/>
      <c r="FU142" s="88"/>
      <c r="FV142" s="89"/>
      <c r="FW142" s="89"/>
      <c r="FX142" s="89"/>
      <c r="FY142" s="89"/>
      <c r="FZ142" s="89"/>
      <c r="GA142" s="120">
        <v>13354.3</v>
      </c>
      <c r="GB142" s="121">
        <f t="shared" si="12"/>
        <v>-2155.1</v>
      </c>
      <c r="GC142" s="121">
        <v>-4153</v>
      </c>
      <c r="GD142" s="121">
        <v>1997.9</v>
      </c>
      <c r="GE142" s="121">
        <v>15509.4</v>
      </c>
      <c r="GF142" s="89"/>
      <c r="GG142" s="88"/>
      <c r="GH142" s="89"/>
      <c r="GI142" s="89"/>
      <c r="GJ142" s="89"/>
      <c r="GK142" s="89"/>
      <c r="GL142" s="89"/>
      <c r="GM142" s="88">
        <v>12295.745829275702</v>
      </c>
      <c r="GN142" s="89">
        <v>2737.2882057275001</v>
      </c>
      <c r="GO142" s="89">
        <v>2641.3694688406999</v>
      </c>
      <c r="GP142" s="89">
        <v>45.918736886799799</v>
      </c>
      <c r="GQ142" s="89">
        <v>8818.091419802402</v>
      </c>
      <c r="GR142" s="89">
        <v>790.36620374580002</v>
      </c>
      <c r="GS142" s="88"/>
      <c r="GT142" s="87"/>
      <c r="GU142" s="87"/>
      <c r="GV142" s="87"/>
      <c r="GW142" s="87"/>
      <c r="GX142" s="87"/>
      <c r="GY142" s="87"/>
      <c r="GZ142" s="88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8"/>
      <c r="HM142" s="87"/>
      <c r="HN142" s="87"/>
      <c r="HO142" s="87"/>
      <c r="HP142" s="87"/>
      <c r="HQ142" s="87"/>
      <c r="HR142" s="87"/>
      <c r="HS142" s="87"/>
    </row>
    <row r="143" spans="1:227">
      <c r="A143" s="69"/>
      <c r="B143" s="87" t="s">
        <v>496</v>
      </c>
      <c r="C143" s="88"/>
      <c r="D143" s="87"/>
      <c r="E143" s="87"/>
      <c r="F143" s="87"/>
      <c r="G143" s="87"/>
      <c r="H143" s="87"/>
      <c r="I143" s="88">
        <v>85217.572000000015</v>
      </c>
      <c r="J143" s="89">
        <v>45153.152000000002</v>
      </c>
      <c r="K143" s="89"/>
      <c r="L143" s="89"/>
      <c r="M143" s="89">
        <v>59470.312000000005</v>
      </c>
      <c r="N143" s="89">
        <v>-19405.892</v>
      </c>
      <c r="O143" s="90"/>
      <c r="P143" s="91"/>
      <c r="Q143" s="91"/>
      <c r="R143" s="91"/>
      <c r="S143" s="91"/>
      <c r="T143" s="91"/>
      <c r="U143" s="90"/>
      <c r="V143" s="91"/>
      <c r="W143" s="91"/>
      <c r="X143" s="91"/>
      <c r="Y143" s="91"/>
      <c r="Z143" s="91"/>
      <c r="AA143" s="88">
        <v>925.84</v>
      </c>
      <c r="AB143" s="89">
        <f t="shared" si="10"/>
        <v>186.68</v>
      </c>
      <c r="AC143" s="89">
        <v>79.875</v>
      </c>
      <c r="AD143" s="89">
        <v>106.80500000000001</v>
      </c>
      <c r="AE143" s="89">
        <v>739.16</v>
      </c>
      <c r="AF143" s="89"/>
      <c r="AG143" s="88">
        <v>35920.171837328002</v>
      </c>
      <c r="AH143" s="89">
        <v>6760.6668373279999</v>
      </c>
      <c r="AI143" s="89">
        <v>6760.6668373279999</v>
      </c>
      <c r="AJ143" s="89"/>
      <c r="AK143" s="89">
        <v>29159.505000000001</v>
      </c>
      <c r="AL143" s="89"/>
      <c r="AM143" s="88"/>
      <c r="AN143" s="89"/>
      <c r="AO143" s="89"/>
      <c r="AP143" s="89"/>
      <c r="AQ143" s="89"/>
      <c r="AR143" s="89"/>
      <c r="AS143" s="88">
        <v>26901000</v>
      </c>
      <c r="AT143" s="89">
        <f t="shared" si="5"/>
        <v>3088000</v>
      </c>
      <c r="AU143" s="89">
        <v>3088000</v>
      </c>
      <c r="AV143" s="89"/>
      <c r="AW143" s="89">
        <v>28267000</v>
      </c>
      <c r="AX143" s="89">
        <v>-4454000</v>
      </c>
      <c r="AY143" s="88"/>
      <c r="AZ143" s="89"/>
      <c r="BA143" s="89"/>
      <c r="BB143" s="89"/>
      <c r="BC143" s="89"/>
      <c r="BD143" s="89"/>
      <c r="BE143" s="88"/>
      <c r="BF143" s="89"/>
      <c r="BG143" s="89"/>
      <c r="BH143" s="89"/>
      <c r="BI143" s="89"/>
      <c r="BJ143" s="89"/>
      <c r="BK143" s="88"/>
      <c r="BL143" s="89"/>
      <c r="BM143" s="89"/>
      <c r="BN143" s="89"/>
      <c r="BO143" s="89"/>
      <c r="BP143" s="89"/>
      <c r="BQ143" s="88"/>
      <c r="BR143" s="89"/>
      <c r="BS143" s="89"/>
      <c r="BT143" s="89"/>
      <c r="BU143" s="89"/>
      <c r="BV143" s="89"/>
      <c r="BW143" s="88"/>
      <c r="BX143" s="89"/>
      <c r="BY143" s="89"/>
      <c r="BZ143" s="89"/>
      <c r="CA143" s="89"/>
      <c r="CB143" s="89"/>
      <c r="CC143" s="88"/>
      <c r="CD143" s="89"/>
      <c r="CE143" s="89"/>
      <c r="CF143" s="89"/>
      <c r="CG143" s="89"/>
      <c r="CH143" s="89"/>
      <c r="CI143" s="88"/>
      <c r="CJ143" s="89"/>
      <c r="CK143" s="89"/>
      <c r="CL143" s="89"/>
      <c r="CM143" s="89"/>
      <c r="CN143" s="89"/>
      <c r="CO143" s="88"/>
      <c r="CP143" s="89"/>
      <c r="CQ143" s="89"/>
      <c r="CR143" s="89"/>
      <c r="CS143" s="89"/>
      <c r="CT143" s="89"/>
      <c r="CU143" s="88">
        <f t="shared" si="11"/>
        <v>24201.515179999995</v>
      </c>
      <c r="CV143" s="89">
        <v>11789.742499999998</v>
      </c>
      <c r="CW143" s="89">
        <v>11905.064199999999</v>
      </c>
      <c r="CX143" s="89">
        <v>-115.32169999999999</v>
      </c>
      <c r="CY143" s="89">
        <v>12411.772679999998</v>
      </c>
      <c r="CZ143" s="89"/>
      <c r="DA143" s="88"/>
      <c r="DB143" s="89"/>
      <c r="DC143" s="89"/>
      <c r="DD143" s="89"/>
      <c r="DE143" s="89"/>
      <c r="DF143" s="89"/>
      <c r="DG143" s="88">
        <v>155135.20000000001</v>
      </c>
      <c r="DH143" s="89">
        <v>131552.70000000001</v>
      </c>
      <c r="DI143" s="89"/>
      <c r="DJ143" s="89"/>
      <c r="DK143" s="89">
        <v>30998.400000000001</v>
      </c>
      <c r="DL143" s="89">
        <v>-7415.9</v>
      </c>
      <c r="DM143" s="88"/>
      <c r="DN143" s="89"/>
      <c r="DO143" s="89"/>
      <c r="DP143" s="89"/>
      <c r="DQ143" s="89"/>
      <c r="DR143" s="89"/>
      <c r="DS143" s="88"/>
      <c r="DT143" s="89"/>
      <c r="DU143" s="89"/>
      <c r="DV143" s="89"/>
      <c r="DW143" s="89"/>
      <c r="DX143" s="89"/>
      <c r="DY143" s="88">
        <v>5932.2774680000002</v>
      </c>
      <c r="DZ143" s="89">
        <f t="shared" si="8"/>
        <v>-147.3325319999999</v>
      </c>
      <c r="EA143" s="89">
        <v>603.54508200000009</v>
      </c>
      <c r="EB143" s="89">
        <v>-750.87761399999999</v>
      </c>
      <c r="EC143" s="89">
        <v>6079.61</v>
      </c>
      <c r="ED143" s="89"/>
      <c r="EE143" s="88"/>
      <c r="EF143" s="89"/>
      <c r="EG143" s="89"/>
      <c r="EH143" s="89"/>
      <c r="EI143" s="89"/>
      <c r="EJ143" s="89"/>
      <c r="EK143" s="88">
        <v>7356331.8610000005</v>
      </c>
      <c r="EL143" s="89">
        <f t="shared" si="9"/>
        <v>179097.74</v>
      </c>
      <c r="EM143" s="89">
        <v>54680.648999999976</v>
      </c>
      <c r="EN143" s="89">
        <v>124417.09100000003</v>
      </c>
      <c r="EO143" s="89">
        <v>7000295.6069999998</v>
      </c>
      <c r="EP143" s="89">
        <v>176938.51400000002</v>
      </c>
      <c r="EQ143" s="88">
        <v>26860.270475050002</v>
      </c>
      <c r="ER143" s="89">
        <v>-9613.9220997900011</v>
      </c>
      <c r="ES143" s="89"/>
      <c r="ET143" s="89"/>
      <c r="EU143" s="89">
        <v>54670.712254790007</v>
      </c>
      <c r="EV143" s="89">
        <v>-18196.519679950005</v>
      </c>
      <c r="EW143" s="88"/>
      <c r="EX143" s="89"/>
      <c r="EY143" s="89"/>
      <c r="EZ143" s="89"/>
      <c r="FA143" s="89"/>
      <c r="FB143" s="89"/>
      <c r="FC143" s="88">
        <v>797.52144900000008</v>
      </c>
      <c r="FD143" s="89">
        <f t="shared" si="7"/>
        <v>98.303449000000029</v>
      </c>
      <c r="FE143" s="89">
        <v>249.12528700000001</v>
      </c>
      <c r="FF143" s="89">
        <v>-150.82183799999999</v>
      </c>
      <c r="FG143" s="89">
        <v>699.21799999999996</v>
      </c>
      <c r="FH143" s="89"/>
      <c r="FI143" s="88"/>
      <c r="FJ143" s="89"/>
      <c r="FK143" s="89"/>
      <c r="FL143" s="89"/>
      <c r="FM143" s="89"/>
      <c r="FN143" s="89"/>
      <c r="FO143" s="88"/>
      <c r="FP143" s="89"/>
      <c r="FQ143" s="89"/>
      <c r="FR143" s="89"/>
      <c r="FS143" s="89"/>
      <c r="FT143" s="89"/>
      <c r="FU143" s="88"/>
      <c r="FV143" s="89"/>
      <c r="FW143" s="89"/>
      <c r="FX143" s="89"/>
      <c r="FY143" s="89"/>
      <c r="FZ143" s="89"/>
      <c r="GA143" s="120">
        <v>13929.3</v>
      </c>
      <c r="GB143" s="121">
        <f t="shared" si="12"/>
        <v>-1957.8000000000002</v>
      </c>
      <c r="GC143" s="121">
        <v>-3882.4</v>
      </c>
      <c r="GD143" s="121">
        <v>1924.6</v>
      </c>
      <c r="GE143" s="121">
        <v>15887.1</v>
      </c>
      <c r="GF143" s="89"/>
      <c r="GG143" s="88"/>
      <c r="GH143" s="89"/>
      <c r="GI143" s="89"/>
      <c r="GJ143" s="89"/>
      <c r="GK143" s="89"/>
      <c r="GL143" s="89"/>
      <c r="GM143" s="88">
        <v>12242.892467346599</v>
      </c>
      <c r="GN143" s="89">
        <v>2468.2234486036996</v>
      </c>
      <c r="GO143" s="89">
        <v>2425.7868690825999</v>
      </c>
      <c r="GP143" s="89">
        <v>42.436579521099574</v>
      </c>
      <c r="GQ143" s="89">
        <v>8971.1542565903001</v>
      </c>
      <c r="GR143" s="89">
        <v>803.51476215260016</v>
      </c>
      <c r="GS143" s="88"/>
      <c r="GT143" s="87"/>
      <c r="GU143" s="87"/>
      <c r="GV143" s="87"/>
      <c r="GW143" s="87"/>
      <c r="GX143" s="87"/>
      <c r="GY143" s="87"/>
      <c r="GZ143" s="88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8"/>
      <c r="HM143" s="87"/>
      <c r="HN143" s="87"/>
      <c r="HO143" s="87"/>
      <c r="HP143" s="87"/>
      <c r="HQ143" s="87"/>
      <c r="HR143" s="87"/>
      <c r="HS143" s="87"/>
    </row>
    <row r="144" spans="1:227">
      <c r="A144" s="69"/>
      <c r="B144" s="87" t="s">
        <v>497</v>
      </c>
      <c r="C144" s="88"/>
      <c r="D144" s="87"/>
      <c r="E144" s="87"/>
      <c r="F144" s="87"/>
      <c r="G144" s="87"/>
      <c r="H144" s="87"/>
      <c r="I144" s="88">
        <v>88487.51</v>
      </c>
      <c r="J144" s="89">
        <v>48453.737000000001</v>
      </c>
      <c r="K144" s="89"/>
      <c r="L144" s="89"/>
      <c r="M144" s="89">
        <v>59123.453999999998</v>
      </c>
      <c r="N144" s="89">
        <v>-19089.681</v>
      </c>
      <c r="O144" s="90"/>
      <c r="P144" s="91"/>
      <c r="Q144" s="91"/>
      <c r="R144" s="91"/>
      <c r="S144" s="91"/>
      <c r="T144" s="91"/>
      <c r="U144" s="90"/>
      <c r="V144" s="91"/>
      <c r="W144" s="91"/>
      <c r="X144" s="91"/>
      <c r="Y144" s="91"/>
      <c r="Z144" s="91"/>
      <c r="AA144" s="88">
        <v>923.18399999999997</v>
      </c>
      <c r="AB144" s="89">
        <f t="shared" si="10"/>
        <v>166.05099999999999</v>
      </c>
      <c r="AC144" s="89">
        <v>58.963999999999999</v>
      </c>
      <c r="AD144" s="89">
        <v>107.087</v>
      </c>
      <c r="AE144" s="89">
        <v>757.13300000000004</v>
      </c>
      <c r="AF144" s="89"/>
      <c r="AG144" s="88">
        <v>35923.585150311999</v>
      </c>
      <c r="AH144" s="89">
        <v>6850.9391503119996</v>
      </c>
      <c r="AI144" s="89">
        <v>6850.9391503119996</v>
      </c>
      <c r="AJ144" s="89"/>
      <c r="AK144" s="89">
        <v>29072.646000000001</v>
      </c>
      <c r="AL144" s="89"/>
      <c r="AM144" s="88"/>
      <c r="AN144" s="89"/>
      <c r="AO144" s="89"/>
      <c r="AP144" s="89"/>
      <c r="AQ144" s="89"/>
      <c r="AR144" s="89"/>
      <c r="AS144" s="88">
        <v>26892000</v>
      </c>
      <c r="AT144" s="89">
        <f t="shared" si="5"/>
        <v>3197000</v>
      </c>
      <c r="AU144" s="89">
        <v>3197000</v>
      </c>
      <c r="AV144" s="89"/>
      <c r="AW144" s="89">
        <v>28777000</v>
      </c>
      <c r="AX144" s="89">
        <v>-5082000</v>
      </c>
      <c r="AY144" s="88"/>
      <c r="AZ144" s="89"/>
      <c r="BA144" s="89"/>
      <c r="BB144" s="89"/>
      <c r="BC144" s="89"/>
      <c r="BD144" s="89"/>
      <c r="BE144" s="88"/>
      <c r="BF144" s="89"/>
      <c r="BG144" s="89"/>
      <c r="BH144" s="89"/>
      <c r="BI144" s="89"/>
      <c r="BJ144" s="89"/>
      <c r="BK144" s="88"/>
      <c r="BL144" s="89"/>
      <c r="BM144" s="89"/>
      <c r="BN144" s="89"/>
      <c r="BO144" s="89"/>
      <c r="BP144" s="89"/>
      <c r="BQ144" s="88"/>
      <c r="BR144" s="89"/>
      <c r="BS144" s="89"/>
      <c r="BT144" s="89"/>
      <c r="BU144" s="89"/>
      <c r="BV144" s="89"/>
      <c r="BW144" s="88"/>
      <c r="BX144" s="89"/>
      <c r="BY144" s="89"/>
      <c r="BZ144" s="89"/>
      <c r="CA144" s="89"/>
      <c r="CB144" s="89"/>
      <c r="CC144" s="88"/>
      <c r="CD144" s="89"/>
      <c r="CE144" s="89"/>
      <c r="CF144" s="89"/>
      <c r="CG144" s="89"/>
      <c r="CH144" s="89"/>
      <c r="CI144" s="88"/>
      <c r="CJ144" s="89"/>
      <c r="CK144" s="89"/>
      <c r="CL144" s="89"/>
      <c r="CM144" s="89"/>
      <c r="CN144" s="89"/>
      <c r="CO144" s="88">
        <v>28111.3</v>
      </c>
      <c r="CP144" s="89">
        <v>-21764.6</v>
      </c>
      <c r="CQ144" s="89">
        <v>-17870.7</v>
      </c>
      <c r="CR144" s="89">
        <v>-3893.8999999999978</v>
      </c>
      <c r="CS144" s="89">
        <v>57378.2</v>
      </c>
      <c r="CT144" s="89">
        <v>-7502.4</v>
      </c>
      <c r="CU144" s="88">
        <f t="shared" si="11"/>
        <v>24662.943826410607</v>
      </c>
      <c r="CV144" s="89">
        <v>12078.560833170608</v>
      </c>
      <c r="CW144" s="89">
        <v>12111.792936830359</v>
      </c>
      <c r="CX144" s="89">
        <v>-33.232103659751161</v>
      </c>
      <c r="CY144" s="89">
        <v>12584.38299324</v>
      </c>
      <c r="CZ144" s="89"/>
      <c r="DA144" s="88"/>
      <c r="DB144" s="89"/>
      <c r="DC144" s="89"/>
      <c r="DD144" s="89"/>
      <c r="DE144" s="89"/>
      <c r="DF144" s="89"/>
      <c r="DG144" s="88">
        <v>143348.1</v>
      </c>
      <c r="DH144" s="89">
        <v>120534.6</v>
      </c>
      <c r="DI144" s="89"/>
      <c r="DJ144" s="89"/>
      <c r="DK144" s="89">
        <v>31910.2</v>
      </c>
      <c r="DL144" s="89">
        <v>-9096.7000000000007</v>
      </c>
      <c r="DM144" s="88"/>
      <c r="DN144" s="89"/>
      <c r="DO144" s="89"/>
      <c r="DP144" s="89"/>
      <c r="DQ144" s="89"/>
      <c r="DR144" s="89"/>
      <c r="DS144" s="88"/>
      <c r="DT144" s="89"/>
      <c r="DU144" s="89"/>
      <c r="DV144" s="89"/>
      <c r="DW144" s="89"/>
      <c r="DX144" s="89"/>
      <c r="DY144" s="88">
        <v>5941.2734380000002</v>
      </c>
      <c r="DZ144" s="89">
        <f t="shared" si="8"/>
        <v>-144.10856200000001</v>
      </c>
      <c r="EA144" s="89">
        <v>607.71271999999999</v>
      </c>
      <c r="EB144" s="89">
        <v>-751.821282</v>
      </c>
      <c r="EC144" s="89">
        <v>6085.3819999999996</v>
      </c>
      <c r="ED144" s="89"/>
      <c r="EE144" s="88"/>
      <c r="EF144" s="89"/>
      <c r="EG144" s="89"/>
      <c r="EH144" s="89"/>
      <c r="EI144" s="89"/>
      <c r="EJ144" s="89"/>
      <c r="EK144" s="88">
        <v>7435520.3489999985</v>
      </c>
      <c r="EL144" s="89">
        <f t="shared" si="9"/>
        <v>148654.43599999961</v>
      </c>
      <c r="EM144" s="89">
        <v>-21479.282000000356</v>
      </c>
      <c r="EN144" s="89">
        <v>170133.71799999996</v>
      </c>
      <c r="EO144" s="89">
        <v>7150919.9269999992</v>
      </c>
      <c r="EP144" s="89">
        <v>135945.986</v>
      </c>
      <c r="EQ144" s="88">
        <v>25629.104551720007</v>
      </c>
      <c r="ER144" s="89">
        <v>-9401.5562010400008</v>
      </c>
      <c r="ES144" s="89"/>
      <c r="ET144" s="89"/>
      <c r="EU144" s="89">
        <v>53843.792280199996</v>
      </c>
      <c r="EV144" s="89">
        <v>-18813.131527439989</v>
      </c>
      <c r="EW144" s="88"/>
      <c r="EX144" s="89"/>
      <c r="EY144" s="89"/>
      <c r="EZ144" s="89"/>
      <c r="FA144" s="89"/>
      <c r="FB144" s="89"/>
      <c r="FC144" s="88">
        <v>807.69988499999999</v>
      </c>
      <c r="FD144" s="89">
        <f t="shared" si="7"/>
        <v>110.54788499999998</v>
      </c>
      <c r="FE144" s="89">
        <v>259.05573099999998</v>
      </c>
      <c r="FF144" s="89">
        <v>-148.507846</v>
      </c>
      <c r="FG144" s="89">
        <v>697.15200000000004</v>
      </c>
      <c r="FH144" s="89"/>
      <c r="FI144" s="88"/>
      <c r="FJ144" s="89"/>
      <c r="FK144" s="89"/>
      <c r="FL144" s="89"/>
      <c r="FM144" s="89"/>
      <c r="FN144" s="89"/>
      <c r="FO144" s="88"/>
      <c r="FP144" s="89"/>
      <c r="FQ144" s="89"/>
      <c r="FR144" s="89"/>
      <c r="FS144" s="89"/>
      <c r="FT144" s="89"/>
      <c r="FU144" s="88"/>
      <c r="FV144" s="89"/>
      <c r="FW144" s="89"/>
      <c r="FX144" s="89"/>
      <c r="FY144" s="89"/>
      <c r="FZ144" s="89"/>
      <c r="GA144" s="120">
        <v>12979.8</v>
      </c>
      <c r="GB144" s="121">
        <f t="shared" si="12"/>
        <v>-2461.6999999999998</v>
      </c>
      <c r="GC144" s="121">
        <v>-4692.3999999999996</v>
      </c>
      <c r="GD144" s="121">
        <v>2230.6999999999998</v>
      </c>
      <c r="GE144" s="121">
        <v>15441.5</v>
      </c>
      <c r="GF144" s="89"/>
      <c r="GG144" s="88"/>
      <c r="GH144" s="89"/>
      <c r="GI144" s="89"/>
      <c r="GJ144" s="89"/>
      <c r="GK144" s="89"/>
      <c r="GL144" s="89"/>
      <c r="GM144" s="88">
        <v>12278.082637098903</v>
      </c>
      <c r="GN144" s="89">
        <v>2446.3570212862001</v>
      </c>
      <c r="GO144" s="89">
        <v>2407.7372069023995</v>
      </c>
      <c r="GP144" s="89">
        <v>38.619814383800609</v>
      </c>
      <c r="GQ144" s="89">
        <v>9043.2955276632038</v>
      </c>
      <c r="GR144" s="89">
        <v>788.43008814949997</v>
      </c>
      <c r="GS144" s="88"/>
      <c r="GT144" s="87"/>
      <c r="GU144" s="87"/>
      <c r="GV144" s="87"/>
      <c r="GW144" s="87"/>
      <c r="GX144" s="87"/>
      <c r="GY144" s="87"/>
      <c r="GZ144" s="88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8"/>
      <c r="HM144" s="87"/>
      <c r="HN144" s="87"/>
      <c r="HO144" s="87"/>
      <c r="HP144" s="87"/>
      <c r="HQ144" s="87"/>
      <c r="HR144" s="87"/>
      <c r="HS144" s="87"/>
    </row>
    <row r="145" spans="1:227">
      <c r="A145" s="69"/>
      <c r="B145" s="87" t="s">
        <v>498</v>
      </c>
      <c r="C145" s="88"/>
      <c r="D145" s="87"/>
      <c r="E145" s="87"/>
      <c r="F145" s="87"/>
      <c r="G145" s="87"/>
      <c r="H145" s="87"/>
      <c r="I145" s="88">
        <v>87679.035000000003</v>
      </c>
      <c r="J145" s="89">
        <v>48226.315999999999</v>
      </c>
      <c r="K145" s="89"/>
      <c r="L145" s="89"/>
      <c r="M145" s="89">
        <v>58110.161999999997</v>
      </c>
      <c r="N145" s="89">
        <v>-18657.442999999999</v>
      </c>
      <c r="O145" s="90"/>
      <c r="P145" s="91"/>
      <c r="Q145" s="91"/>
      <c r="R145" s="91"/>
      <c r="S145" s="91"/>
      <c r="T145" s="91"/>
      <c r="U145" s="90"/>
      <c r="V145" s="91"/>
      <c r="W145" s="91"/>
      <c r="X145" s="91"/>
      <c r="Y145" s="91"/>
      <c r="Z145" s="91"/>
      <c r="AA145" s="88">
        <v>947.38</v>
      </c>
      <c r="AB145" s="89">
        <f t="shared" si="10"/>
        <v>186.56200000000001</v>
      </c>
      <c r="AC145" s="89">
        <v>79.063999999999993</v>
      </c>
      <c r="AD145" s="89">
        <v>107.498</v>
      </c>
      <c r="AE145" s="89">
        <v>760.81799999999998</v>
      </c>
      <c r="AF145" s="89"/>
      <c r="AG145" s="88">
        <v>36174.683717925996</v>
      </c>
      <c r="AH145" s="89">
        <v>7082.620717926</v>
      </c>
      <c r="AI145" s="89">
        <v>7082.620717926</v>
      </c>
      <c r="AJ145" s="89"/>
      <c r="AK145" s="89">
        <v>29092.062999999998</v>
      </c>
      <c r="AL145" s="89"/>
      <c r="AM145" s="88"/>
      <c r="AN145" s="89"/>
      <c r="AO145" s="89"/>
      <c r="AP145" s="89"/>
      <c r="AQ145" s="89"/>
      <c r="AR145" s="89"/>
      <c r="AS145" s="88">
        <v>26753000</v>
      </c>
      <c r="AT145" s="89">
        <f t="shared" si="5"/>
        <v>2990000</v>
      </c>
      <c r="AU145" s="89">
        <v>2990000</v>
      </c>
      <c r="AV145" s="89"/>
      <c r="AW145" s="89">
        <v>28964000</v>
      </c>
      <c r="AX145" s="89">
        <v>-5201000</v>
      </c>
      <c r="AY145" s="88"/>
      <c r="AZ145" s="89"/>
      <c r="BA145" s="89"/>
      <c r="BB145" s="89"/>
      <c r="BC145" s="89"/>
      <c r="BD145" s="89"/>
      <c r="BE145" s="88"/>
      <c r="BF145" s="89"/>
      <c r="BG145" s="89"/>
      <c r="BH145" s="89"/>
      <c r="BI145" s="89"/>
      <c r="BJ145" s="89"/>
      <c r="BK145" s="88"/>
      <c r="BL145" s="89"/>
      <c r="BM145" s="89"/>
      <c r="BN145" s="89"/>
      <c r="BO145" s="89"/>
      <c r="BP145" s="89"/>
      <c r="BQ145" s="88"/>
      <c r="BR145" s="89"/>
      <c r="BS145" s="89"/>
      <c r="BT145" s="89"/>
      <c r="BU145" s="89"/>
      <c r="BV145" s="89"/>
      <c r="BW145" s="88"/>
      <c r="BX145" s="89"/>
      <c r="BY145" s="89"/>
      <c r="BZ145" s="89"/>
      <c r="CA145" s="89"/>
      <c r="CB145" s="89"/>
      <c r="CC145" s="88"/>
      <c r="CD145" s="89"/>
      <c r="CE145" s="89"/>
      <c r="CF145" s="89"/>
      <c r="CG145" s="89"/>
      <c r="CH145" s="89"/>
      <c r="CI145" s="88"/>
      <c r="CJ145" s="89"/>
      <c r="CK145" s="89"/>
      <c r="CL145" s="89"/>
      <c r="CM145" s="89"/>
      <c r="CN145" s="89"/>
      <c r="CO145" s="88"/>
      <c r="CP145" s="89"/>
      <c r="CQ145" s="89"/>
      <c r="CR145" s="89"/>
      <c r="CS145" s="89"/>
      <c r="CT145" s="89"/>
      <c r="CU145" s="88">
        <f t="shared" si="11"/>
        <v>24766.323214159998</v>
      </c>
      <c r="CV145" s="89">
        <v>12024.138095539998</v>
      </c>
      <c r="CW145" s="89">
        <v>12093.577924329998</v>
      </c>
      <c r="CX145" s="89">
        <v>-69.439828790000178</v>
      </c>
      <c r="CY145" s="89">
        <v>12742.18511862</v>
      </c>
      <c r="CZ145" s="89"/>
      <c r="DA145" s="88"/>
      <c r="DB145" s="89"/>
      <c r="DC145" s="89"/>
      <c r="DD145" s="89"/>
      <c r="DE145" s="89"/>
      <c r="DF145" s="89"/>
      <c r="DG145" s="88">
        <v>149331.20000000001</v>
      </c>
      <c r="DH145" s="89">
        <v>124544.6</v>
      </c>
      <c r="DI145" s="89"/>
      <c r="DJ145" s="89"/>
      <c r="DK145" s="89">
        <v>32538.6</v>
      </c>
      <c r="DL145" s="89">
        <v>-7752</v>
      </c>
      <c r="DM145" s="88"/>
      <c r="DN145" s="89"/>
      <c r="DO145" s="89"/>
      <c r="DP145" s="89"/>
      <c r="DQ145" s="89"/>
      <c r="DR145" s="89"/>
      <c r="DS145" s="88"/>
      <c r="DT145" s="89"/>
      <c r="DU145" s="89"/>
      <c r="DV145" s="89"/>
      <c r="DW145" s="89"/>
      <c r="DX145" s="89"/>
      <c r="DY145" s="88">
        <v>6013.603204</v>
      </c>
      <c r="DZ145" s="89">
        <f t="shared" si="8"/>
        <v>-104.87879599999997</v>
      </c>
      <c r="EA145" s="89">
        <v>645.9459250000001</v>
      </c>
      <c r="EB145" s="89">
        <v>-750.82472100000007</v>
      </c>
      <c r="EC145" s="89">
        <v>6118.482</v>
      </c>
      <c r="ED145" s="89"/>
      <c r="EE145" s="88"/>
      <c r="EF145" s="89"/>
      <c r="EG145" s="89"/>
      <c r="EH145" s="89"/>
      <c r="EI145" s="89"/>
      <c r="EJ145" s="89"/>
      <c r="EK145" s="88">
        <v>7664075.4570000023</v>
      </c>
      <c r="EL145" s="89">
        <f t="shared" si="9"/>
        <v>181488.12000000017</v>
      </c>
      <c r="EM145" s="89">
        <v>14035.728000000119</v>
      </c>
      <c r="EN145" s="89">
        <v>167452.39200000005</v>
      </c>
      <c r="EO145" s="89">
        <v>7346874.2610000018</v>
      </c>
      <c r="EP145" s="89">
        <v>135713.076</v>
      </c>
      <c r="EQ145" s="88">
        <v>25771.251367880002</v>
      </c>
      <c r="ER145" s="89">
        <v>-9216.1529024800002</v>
      </c>
      <c r="ES145" s="89"/>
      <c r="ET145" s="89"/>
      <c r="EU145" s="89">
        <v>53595.763847639995</v>
      </c>
      <c r="EV145" s="89">
        <v>-18608.359577279996</v>
      </c>
      <c r="EW145" s="88"/>
      <c r="EX145" s="89"/>
      <c r="EY145" s="89"/>
      <c r="EZ145" s="89"/>
      <c r="FA145" s="89"/>
      <c r="FB145" s="89"/>
      <c r="FC145" s="88">
        <v>823.918409</v>
      </c>
      <c r="FD145" s="89">
        <f t="shared" si="7"/>
        <v>131.63440900000001</v>
      </c>
      <c r="FE145" s="89">
        <v>280.77793600000001</v>
      </c>
      <c r="FF145" s="89">
        <v>-149.14352700000001</v>
      </c>
      <c r="FG145" s="89">
        <v>692.28399999999999</v>
      </c>
      <c r="FH145" s="89"/>
      <c r="FI145" s="88"/>
      <c r="FJ145" s="89"/>
      <c r="FK145" s="89"/>
      <c r="FL145" s="89"/>
      <c r="FM145" s="89"/>
      <c r="FN145" s="89"/>
      <c r="FO145" s="88"/>
      <c r="FP145" s="89"/>
      <c r="FQ145" s="89"/>
      <c r="FR145" s="89"/>
      <c r="FS145" s="89"/>
      <c r="FT145" s="89"/>
      <c r="FU145" s="88"/>
      <c r="FV145" s="89"/>
      <c r="FW145" s="89"/>
      <c r="FX145" s="89"/>
      <c r="FY145" s="89"/>
      <c r="FZ145" s="89"/>
      <c r="GA145" s="120">
        <v>13656.9</v>
      </c>
      <c r="GB145" s="121">
        <f t="shared" si="12"/>
        <v>-923.80000000000018</v>
      </c>
      <c r="GC145" s="121">
        <v>-3660.9</v>
      </c>
      <c r="GD145" s="121">
        <v>2737.1</v>
      </c>
      <c r="GE145" s="121">
        <v>14610.6</v>
      </c>
      <c r="GF145" s="89"/>
      <c r="GG145" s="88"/>
      <c r="GH145" s="89"/>
      <c r="GI145" s="89"/>
      <c r="GJ145" s="89"/>
      <c r="GK145" s="89"/>
      <c r="GL145" s="89"/>
      <c r="GM145" s="88">
        <v>12590.550112655501</v>
      </c>
      <c r="GN145" s="89">
        <v>2617.6387139612007</v>
      </c>
      <c r="GO145" s="89">
        <v>2575.9214371436001</v>
      </c>
      <c r="GP145" s="89">
        <v>41.717276817600705</v>
      </c>
      <c r="GQ145" s="89">
        <v>9263.5415632363001</v>
      </c>
      <c r="GR145" s="89">
        <v>709.36983545800024</v>
      </c>
      <c r="GS145" s="88"/>
      <c r="GT145" s="87"/>
      <c r="GU145" s="87"/>
      <c r="GV145" s="87"/>
      <c r="GW145" s="87"/>
      <c r="GX145" s="87"/>
      <c r="GY145" s="87"/>
      <c r="GZ145" s="88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8"/>
      <c r="HM145" s="87"/>
      <c r="HN145" s="87"/>
      <c r="HO145" s="87"/>
      <c r="HP145" s="87"/>
      <c r="HQ145" s="87"/>
      <c r="HR145" s="87"/>
      <c r="HS145" s="87"/>
    </row>
    <row r="146" spans="1:227">
      <c r="A146" s="69"/>
      <c r="B146" s="87" t="s">
        <v>499</v>
      </c>
      <c r="C146" s="88">
        <v>1447.529</v>
      </c>
      <c r="D146" s="89">
        <v>75.409999999999968</v>
      </c>
      <c r="E146" s="89">
        <v>289.27</v>
      </c>
      <c r="F146" s="89">
        <v>-213.858</v>
      </c>
      <c r="G146" s="89">
        <v>1372.1179999999999</v>
      </c>
      <c r="H146" s="89"/>
      <c r="I146" s="88">
        <v>88714.609999999986</v>
      </c>
      <c r="J146" s="89">
        <v>49723.913</v>
      </c>
      <c r="K146" s="89"/>
      <c r="L146" s="89"/>
      <c r="M146" s="89">
        <v>56834.834999999999</v>
      </c>
      <c r="N146" s="89">
        <v>-17844.137999999999</v>
      </c>
      <c r="O146" s="90"/>
      <c r="P146" s="91"/>
      <c r="Q146" s="91"/>
      <c r="R146" s="91"/>
      <c r="S146" s="91"/>
      <c r="T146" s="91"/>
      <c r="U146" s="90"/>
      <c r="V146" s="91"/>
      <c r="W146" s="91"/>
      <c r="X146" s="91"/>
      <c r="Y146" s="91"/>
      <c r="Z146" s="91"/>
      <c r="AA146" s="88">
        <v>977.83900000000006</v>
      </c>
      <c r="AB146" s="89">
        <f t="shared" si="10"/>
        <v>206.98899999999998</v>
      </c>
      <c r="AC146" s="89">
        <v>99.82</v>
      </c>
      <c r="AD146" s="89">
        <v>107.169</v>
      </c>
      <c r="AE146" s="89">
        <v>770.85</v>
      </c>
      <c r="AF146" s="89"/>
      <c r="AG146" s="88">
        <v>36273.174101876997</v>
      </c>
      <c r="AH146" s="89">
        <v>7300.8901018770002</v>
      </c>
      <c r="AI146" s="89">
        <v>7300.8901018770002</v>
      </c>
      <c r="AJ146" s="89"/>
      <c r="AK146" s="89">
        <v>28967.284</v>
      </c>
      <c r="AL146" s="89"/>
      <c r="AM146" s="88"/>
      <c r="AN146" s="89"/>
      <c r="AO146" s="89"/>
      <c r="AP146" s="89"/>
      <c r="AQ146" s="89"/>
      <c r="AR146" s="89"/>
      <c r="AS146" s="88">
        <v>27873000</v>
      </c>
      <c r="AT146" s="89">
        <f t="shared" si="5"/>
        <v>3081000</v>
      </c>
      <c r="AU146" s="89">
        <v>3081000</v>
      </c>
      <c r="AV146" s="89"/>
      <c r="AW146" s="89">
        <v>29142000</v>
      </c>
      <c r="AX146" s="89">
        <v>-4350000</v>
      </c>
      <c r="AY146" s="88"/>
      <c r="AZ146" s="89"/>
      <c r="BA146" s="89"/>
      <c r="BB146" s="89"/>
      <c r="BC146" s="89"/>
      <c r="BD146" s="89"/>
      <c r="BE146" s="88"/>
      <c r="BF146" s="89"/>
      <c r="BG146" s="89"/>
      <c r="BH146" s="89"/>
      <c r="BI146" s="89"/>
      <c r="BJ146" s="89"/>
      <c r="BK146" s="88"/>
      <c r="BL146" s="89"/>
      <c r="BM146" s="89"/>
      <c r="BN146" s="89"/>
      <c r="BO146" s="89"/>
      <c r="BP146" s="89"/>
      <c r="BQ146" s="88"/>
      <c r="BR146" s="89"/>
      <c r="BS146" s="89"/>
      <c r="BT146" s="89"/>
      <c r="BU146" s="89"/>
      <c r="BV146" s="89"/>
      <c r="BW146" s="88"/>
      <c r="BX146" s="89"/>
      <c r="BY146" s="89"/>
      <c r="BZ146" s="89"/>
      <c r="CA146" s="89"/>
      <c r="CB146" s="89"/>
      <c r="CC146" s="88"/>
      <c r="CD146" s="89"/>
      <c r="CE146" s="89"/>
      <c r="CF146" s="89"/>
      <c r="CG146" s="89"/>
      <c r="CH146" s="89"/>
      <c r="CI146" s="88"/>
      <c r="CJ146" s="89"/>
      <c r="CK146" s="89"/>
      <c r="CL146" s="89"/>
      <c r="CM146" s="89"/>
      <c r="CN146" s="89"/>
      <c r="CO146" s="88"/>
      <c r="CP146" s="89"/>
      <c r="CQ146" s="89"/>
      <c r="CR146" s="89"/>
      <c r="CS146" s="89"/>
      <c r="CT146" s="89"/>
      <c r="CU146" s="88">
        <f t="shared" si="11"/>
        <v>25111.058204219997</v>
      </c>
      <c r="CV146" s="89">
        <v>12084.921287629999</v>
      </c>
      <c r="CW146" s="89">
        <v>12191.85173579</v>
      </c>
      <c r="CX146" s="89">
        <v>-106.93044816000014</v>
      </c>
      <c r="CY146" s="89">
        <v>13026.13691659</v>
      </c>
      <c r="CZ146" s="89"/>
      <c r="DA146" s="88"/>
      <c r="DB146" s="89"/>
      <c r="DC146" s="89"/>
      <c r="DD146" s="89"/>
      <c r="DE146" s="89"/>
      <c r="DF146" s="89"/>
      <c r="DG146" s="88">
        <v>152447.20000000001</v>
      </c>
      <c r="DH146" s="89">
        <v>126494.9</v>
      </c>
      <c r="DI146" s="89"/>
      <c r="DJ146" s="89"/>
      <c r="DK146" s="89">
        <v>34276.800000000003</v>
      </c>
      <c r="DL146" s="89">
        <v>-8324.5</v>
      </c>
      <c r="DM146" s="88"/>
      <c r="DN146" s="89"/>
      <c r="DO146" s="89"/>
      <c r="DP146" s="89"/>
      <c r="DQ146" s="89"/>
      <c r="DR146" s="89"/>
      <c r="DS146" s="88"/>
      <c r="DT146" s="89"/>
      <c r="DU146" s="89"/>
      <c r="DV146" s="89"/>
      <c r="DW146" s="89"/>
      <c r="DX146" s="89"/>
      <c r="DY146" s="88">
        <v>6160.7877309999994</v>
      </c>
      <c r="DZ146" s="89">
        <f t="shared" si="8"/>
        <v>-124.12026900000001</v>
      </c>
      <c r="EA146" s="89">
        <v>622.746397</v>
      </c>
      <c r="EB146" s="89">
        <v>-746.86666600000001</v>
      </c>
      <c r="EC146" s="89">
        <v>6284.9080000000004</v>
      </c>
      <c r="ED146" s="89"/>
      <c r="EE146" s="88"/>
      <c r="EF146" s="89"/>
      <c r="EG146" s="89"/>
      <c r="EH146" s="89"/>
      <c r="EI146" s="89"/>
      <c r="EJ146" s="89"/>
      <c r="EK146" s="88">
        <v>7822767.0169999972</v>
      </c>
      <c r="EL146" s="89">
        <f t="shared" si="9"/>
        <v>197766.0970000001</v>
      </c>
      <c r="EM146" s="89">
        <v>-35640.632999999914</v>
      </c>
      <c r="EN146" s="89">
        <v>233406.73</v>
      </c>
      <c r="EO146" s="89">
        <v>7496070.5299999975</v>
      </c>
      <c r="EP146" s="89">
        <v>128930.39</v>
      </c>
      <c r="EQ146" s="88">
        <v>25307.607730919997</v>
      </c>
      <c r="ER146" s="89">
        <v>-8551.9451805200006</v>
      </c>
      <c r="ES146" s="89"/>
      <c r="ET146" s="89"/>
      <c r="EU146" s="89">
        <v>53581.645372679995</v>
      </c>
      <c r="EV146" s="89">
        <v>-19722.092461239998</v>
      </c>
      <c r="EW146" s="88"/>
      <c r="EX146" s="89"/>
      <c r="EY146" s="89"/>
      <c r="EZ146" s="89"/>
      <c r="FA146" s="89"/>
      <c r="FB146" s="89"/>
      <c r="FC146" s="88">
        <v>813.66930400000001</v>
      </c>
      <c r="FD146" s="89">
        <f t="shared" si="7"/>
        <v>117.41730400000006</v>
      </c>
      <c r="FE146" s="89">
        <v>271.33688900000004</v>
      </c>
      <c r="FF146" s="89">
        <v>-153.91958499999998</v>
      </c>
      <c r="FG146" s="89">
        <v>696.25199999999995</v>
      </c>
      <c r="FH146" s="89"/>
      <c r="FI146" s="88"/>
      <c r="FJ146" s="89"/>
      <c r="FK146" s="89"/>
      <c r="FL146" s="89"/>
      <c r="FM146" s="89"/>
      <c r="FN146" s="89"/>
      <c r="FO146" s="88"/>
      <c r="FP146" s="89"/>
      <c r="FQ146" s="89"/>
      <c r="FR146" s="89"/>
      <c r="FS146" s="89"/>
      <c r="FT146" s="89"/>
      <c r="FU146" s="88"/>
      <c r="FV146" s="89"/>
      <c r="FW146" s="89"/>
      <c r="FX146" s="89"/>
      <c r="FY146" s="89"/>
      <c r="FZ146" s="89"/>
      <c r="GA146" s="120">
        <v>13928.4</v>
      </c>
      <c r="GB146" s="121">
        <f t="shared" si="12"/>
        <v>-984.5</v>
      </c>
      <c r="GC146" s="121">
        <v>-3829.3</v>
      </c>
      <c r="GD146" s="121">
        <v>2844.8</v>
      </c>
      <c r="GE146" s="121">
        <v>14912.9</v>
      </c>
      <c r="GF146" s="89"/>
      <c r="GG146" s="88"/>
      <c r="GH146" s="89"/>
      <c r="GI146" s="89"/>
      <c r="GJ146" s="89"/>
      <c r="GK146" s="89"/>
      <c r="GL146" s="89"/>
      <c r="GM146" s="88">
        <v>13724.1122771641</v>
      </c>
      <c r="GN146" s="89">
        <v>3094.5567037791998</v>
      </c>
      <c r="GO146" s="89">
        <v>3051.2439437309995</v>
      </c>
      <c r="GP146" s="89">
        <v>43.312760048199912</v>
      </c>
      <c r="GQ146" s="89">
        <v>9873.6519436276994</v>
      </c>
      <c r="GR146" s="101">
        <v>755.90362975720006</v>
      </c>
      <c r="GS146" s="88"/>
      <c r="GT146" s="87"/>
      <c r="GU146" s="87"/>
      <c r="GV146" s="87"/>
      <c r="GW146" s="87"/>
      <c r="GX146" s="87"/>
      <c r="GY146" s="87"/>
      <c r="GZ146" s="88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8"/>
      <c r="HM146" s="87"/>
      <c r="HN146" s="87"/>
      <c r="HO146" s="87"/>
      <c r="HP146" s="87"/>
      <c r="HQ146" s="87"/>
      <c r="HR146" s="87"/>
      <c r="HS146" s="87"/>
    </row>
    <row r="147" spans="1:227">
      <c r="A147" s="102"/>
      <c r="B147" s="126" t="s">
        <v>500</v>
      </c>
      <c r="C147" s="104"/>
      <c r="D147" s="105"/>
      <c r="E147" s="105"/>
      <c r="F147" s="105"/>
      <c r="G147" s="105"/>
      <c r="H147" s="105"/>
      <c r="I147" s="104">
        <v>87610.880999999994</v>
      </c>
      <c r="J147" s="105">
        <v>50608.951999999997</v>
      </c>
      <c r="K147" s="105"/>
      <c r="L147" s="105"/>
      <c r="M147" s="105">
        <v>55979.138000000006</v>
      </c>
      <c r="N147" s="105">
        <v>-18977.208999999999</v>
      </c>
      <c r="O147" s="104">
        <v>4676.8999999999996</v>
      </c>
      <c r="P147" s="105">
        <v>774.8</v>
      </c>
      <c r="Q147" s="105">
        <v>626</v>
      </c>
      <c r="R147" s="105">
        <v>148.80000000000001</v>
      </c>
      <c r="S147" s="105">
        <v>3902.1</v>
      </c>
      <c r="T147" s="105"/>
      <c r="U147" s="104"/>
      <c r="V147" s="105"/>
      <c r="W147" s="105"/>
      <c r="X147" s="105"/>
      <c r="Y147" s="105"/>
      <c r="Z147" s="105"/>
      <c r="AA147" s="104">
        <v>996.44299999999998</v>
      </c>
      <c r="AB147" s="105">
        <v>218.03100000000001</v>
      </c>
      <c r="AC147" s="105">
        <v>121.15</v>
      </c>
      <c r="AD147" s="105">
        <v>96.881</v>
      </c>
      <c r="AE147" s="105">
        <v>778.41200000000003</v>
      </c>
      <c r="AF147" s="105"/>
      <c r="AG147" s="104">
        <v>36253.876638258</v>
      </c>
      <c r="AH147" s="105">
        <v>7632.1496382579999</v>
      </c>
      <c r="AI147" s="105">
        <v>7632.1496382579999</v>
      </c>
      <c r="AJ147" s="105"/>
      <c r="AK147" s="105">
        <v>28621.726999999999</v>
      </c>
      <c r="AL147" s="105"/>
      <c r="AM147" s="104"/>
      <c r="AN147" s="105"/>
      <c r="AO147" s="105"/>
      <c r="AP147" s="105"/>
      <c r="AQ147" s="105"/>
      <c r="AR147" s="105"/>
      <c r="AS147" s="104">
        <v>28222000</v>
      </c>
      <c r="AT147" s="105">
        <v>3006000</v>
      </c>
      <c r="AU147" s="105">
        <v>3006000</v>
      </c>
      <c r="AV147" s="105"/>
      <c r="AW147" s="105">
        <v>28691000</v>
      </c>
      <c r="AX147" s="105">
        <v>-3475000</v>
      </c>
      <c r="AY147" s="104">
        <v>66972385.11023999</v>
      </c>
      <c r="AZ147" s="105">
        <f>BA147+BB147</f>
        <v>19313061.787240002</v>
      </c>
      <c r="BA147" s="105">
        <v>12946870.227000002</v>
      </c>
      <c r="BB147" s="105">
        <v>6366191.5602400005</v>
      </c>
      <c r="BC147" s="105">
        <v>47659323.322999999</v>
      </c>
      <c r="BD147" s="105"/>
      <c r="BE147" s="104">
        <v>2176780.0019057398</v>
      </c>
      <c r="BF147" s="105">
        <v>216807.04426046999</v>
      </c>
      <c r="BG147" s="105">
        <v>201131.48018292</v>
      </c>
      <c r="BH147" s="105">
        <v>15675.56407755</v>
      </c>
      <c r="BI147" s="105">
        <v>1496056.3190582502</v>
      </c>
      <c r="BJ147" s="105">
        <v>463916.63858701999</v>
      </c>
      <c r="BK147" s="104">
        <v>546.67499999999995</v>
      </c>
      <c r="BL147" s="105">
        <v>99.274000000000001</v>
      </c>
      <c r="BM147" s="105">
        <v>90.14</v>
      </c>
      <c r="BN147" s="105">
        <v>9.1340000000000003</v>
      </c>
      <c r="BO147" s="105">
        <v>447.40100000000001</v>
      </c>
      <c r="BP147" s="105"/>
      <c r="BQ147" s="104">
        <v>5633.8</v>
      </c>
      <c r="BR147" s="105">
        <v>-19.600000000000023</v>
      </c>
      <c r="BS147" s="105">
        <v>294</v>
      </c>
      <c r="BT147" s="105">
        <v>-313.60000000000002</v>
      </c>
      <c r="BU147" s="105">
        <v>5653.5</v>
      </c>
      <c r="BV147" s="105"/>
      <c r="BW147" s="104">
        <v>5066.7357531828566</v>
      </c>
      <c r="BX147" s="105">
        <v>706.75178657857168</v>
      </c>
      <c r="BY147" s="105">
        <v>678.03887371857172</v>
      </c>
      <c r="BZ147" s="105">
        <v>28.712912859999996</v>
      </c>
      <c r="CA147" s="105">
        <v>5639.2640400571427</v>
      </c>
      <c r="CB147" s="105">
        <v>-1070.7789039857148</v>
      </c>
      <c r="CC147" s="104">
        <v>1014.804</v>
      </c>
      <c r="CD147" s="105">
        <v>89.102000000000004</v>
      </c>
      <c r="CE147" s="105">
        <v>94.707999999999998</v>
      </c>
      <c r="CF147" s="105">
        <v>-5.6059999999999999</v>
      </c>
      <c r="CG147" s="105">
        <v>925.70799999999997</v>
      </c>
      <c r="CH147" s="105"/>
      <c r="CI147" s="104">
        <v>39155.699999999997</v>
      </c>
      <c r="CJ147" s="105">
        <v>7168.7999999999993</v>
      </c>
      <c r="CK147" s="105">
        <v>7081.9</v>
      </c>
      <c r="CL147" s="105">
        <v>86.9</v>
      </c>
      <c r="CM147" s="105">
        <v>32929.599999999999</v>
      </c>
      <c r="CN147" s="105">
        <v>-942.7</v>
      </c>
      <c r="CO147" s="104">
        <v>26052.6</v>
      </c>
      <c r="CP147" s="105">
        <v>-24212.6</v>
      </c>
      <c r="CQ147" s="105">
        <v>-18287.5</v>
      </c>
      <c r="CR147" s="105">
        <v>-5925.0999999999985</v>
      </c>
      <c r="CS147" s="105">
        <v>57810</v>
      </c>
      <c r="CT147" s="105">
        <v>-7544.9</v>
      </c>
      <c r="CU147" s="104">
        <v>25817.3005833075</v>
      </c>
      <c r="CV147" s="105">
        <v>12482.076427427501</v>
      </c>
      <c r="CW147" s="105">
        <v>12594.852319347501</v>
      </c>
      <c r="CX147" s="105">
        <v>-112.77589192000025</v>
      </c>
      <c r="CY147" s="105">
        <v>13335.22415588</v>
      </c>
      <c r="CZ147" s="103"/>
      <c r="DA147" s="104">
        <v>26251.427933957617</v>
      </c>
      <c r="DB147" s="105">
        <v>-2606.7601230200003</v>
      </c>
      <c r="DC147" s="105">
        <v>-2824.3697047900005</v>
      </c>
      <c r="DD147" s="105">
        <v>217.60958177000003</v>
      </c>
      <c r="DE147" s="105">
        <v>43439.101707488</v>
      </c>
      <c r="DF147" s="105">
        <v>-14580.913650510383</v>
      </c>
      <c r="DG147" s="104">
        <v>149077.29999999999</v>
      </c>
      <c r="DH147" s="105">
        <v>122908.7</v>
      </c>
      <c r="DI147" s="105"/>
      <c r="DJ147" s="105"/>
      <c r="DK147" s="105">
        <v>34661.300000000003</v>
      </c>
      <c r="DL147" s="105">
        <v>-8492.7000000000007</v>
      </c>
      <c r="DM147" s="104">
        <v>1926553.8653654</v>
      </c>
      <c r="DN147" s="105">
        <v>1016179.2100000001</v>
      </c>
      <c r="DO147" s="105">
        <v>960651.19200000004</v>
      </c>
      <c r="DP147" s="105">
        <v>55528.018000000004</v>
      </c>
      <c r="DQ147" s="105">
        <v>910374.65500000003</v>
      </c>
      <c r="DR147" s="105"/>
      <c r="DS147" s="104">
        <v>40721.430277345862</v>
      </c>
      <c r="DT147" s="105">
        <v>41867.63101297</v>
      </c>
      <c r="DU147" s="105">
        <v>41626.078669969997</v>
      </c>
      <c r="DV147" s="105">
        <v>241.55234299999998</v>
      </c>
      <c r="DW147" s="105">
        <v>9816.9389975599988</v>
      </c>
      <c r="DX147" s="105">
        <v>-10963.139733184133</v>
      </c>
      <c r="DY147" s="104">
        <v>6204.8621380000004</v>
      </c>
      <c r="DZ147" s="105">
        <f t="shared" si="8"/>
        <v>-71.0428619999999</v>
      </c>
      <c r="EA147" s="105">
        <v>653.67890399999999</v>
      </c>
      <c r="EB147" s="105">
        <v>-724.72176599999989</v>
      </c>
      <c r="EC147" s="105">
        <v>6275.9049999999997</v>
      </c>
      <c r="ED147" s="105"/>
      <c r="EE147" s="104"/>
      <c r="EF147" s="105"/>
      <c r="EG147" s="105"/>
      <c r="EH147" s="105"/>
      <c r="EI147" s="105"/>
      <c r="EJ147" s="105"/>
      <c r="EK147" s="104">
        <v>7785335.6689999998</v>
      </c>
      <c r="EL147" s="105">
        <v>146236.3179999995</v>
      </c>
      <c r="EM147" s="105">
        <v>104606.35499999952</v>
      </c>
      <c r="EN147" s="105">
        <v>41629.962999999989</v>
      </c>
      <c r="EO147" s="105">
        <v>7485883.7129999995</v>
      </c>
      <c r="EP147" s="105">
        <v>153215.63799999998</v>
      </c>
      <c r="EQ147" s="104">
        <v>26598.053002520002</v>
      </c>
      <c r="ER147" s="105">
        <v>-8154.9611261199989</v>
      </c>
      <c r="ES147" s="105"/>
      <c r="ET147" s="105"/>
      <c r="EU147" s="105">
        <v>54391.511483320006</v>
      </c>
      <c r="EV147" s="105">
        <v>-19638.497354680003</v>
      </c>
      <c r="EW147" s="104">
        <v>155748.51923133849</v>
      </c>
      <c r="EX147" s="105">
        <f>EY147+EZ147</f>
        <v>4272.1015760000009</v>
      </c>
      <c r="EY147" s="105">
        <v>-1502.7923069999997</v>
      </c>
      <c r="EZ147" s="105">
        <v>5774.8938830000006</v>
      </c>
      <c r="FA147" s="105">
        <v>135772.566956</v>
      </c>
      <c r="FB147" s="105">
        <v>15703.850699338509</v>
      </c>
      <c r="FC147" s="104">
        <v>823.21299999999997</v>
      </c>
      <c r="FD147" s="105">
        <v>128.83799999999997</v>
      </c>
      <c r="FE147" s="105">
        <v>283.50099999999998</v>
      </c>
      <c r="FF147" s="105">
        <v>-154.66300000000001</v>
      </c>
      <c r="FG147" s="105">
        <v>694.375</v>
      </c>
      <c r="FH147" s="105"/>
      <c r="FI147" s="104">
        <v>537.89700000000005</v>
      </c>
      <c r="FJ147" s="105">
        <v>-76.960000000000008</v>
      </c>
      <c r="FK147" s="105">
        <v>43.98</v>
      </c>
      <c r="FL147" s="105">
        <v>-120.94</v>
      </c>
      <c r="FM147" s="105">
        <v>614.85699999999997</v>
      </c>
      <c r="FN147" s="105"/>
      <c r="FO147" s="104">
        <v>1452.38</v>
      </c>
      <c r="FP147" s="105">
        <v>-281.63400000000001</v>
      </c>
      <c r="FQ147" s="105">
        <v>-113.068</v>
      </c>
      <c r="FR147" s="105">
        <v>-168.566</v>
      </c>
      <c r="FS147" s="105">
        <v>1734.0139999999999</v>
      </c>
      <c r="FT147" s="105"/>
      <c r="FU147" s="104"/>
      <c r="FV147" s="105"/>
      <c r="FW147" s="105"/>
      <c r="FX147" s="105"/>
      <c r="FY147" s="105"/>
      <c r="FZ147" s="105"/>
      <c r="GA147" s="104">
        <v>15095.8</v>
      </c>
      <c r="GB147" s="105">
        <v>-456.59999999999991</v>
      </c>
      <c r="GC147" s="105">
        <v>-3427.1</v>
      </c>
      <c r="GD147" s="105">
        <v>2970.5</v>
      </c>
      <c r="GE147" s="105">
        <v>15552.4</v>
      </c>
      <c r="GF147" s="105"/>
      <c r="GG147" s="104"/>
      <c r="GH147" s="105"/>
      <c r="GI147" s="105"/>
      <c r="GJ147" s="105"/>
      <c r="GK147" s="105"/>
      <c r="GL147" s="105"/>
      <c r="GM147" s="104">
        <v>14107.0591063499</v>
      </c>
      <c r="GN147" s="105">
        <v>2914.9991188647996</v>
      </c>
      <c r="GO147" s="105">
        <v>2879.7336154530999</v>
      </c>
      <c r="GP147" s="105">
        <v>35.265503411699555</v>
      </c>
      <c r="GQ147" s="105">
        <v>10310.0415735599</v>
      </c>
      <c r="GR147" s="103">
        <v>882.01841392519987</v>
      </c>
    </row>
    <row r="148" spans="1:227">
      <c r="A148" s="86">
        <v>2002</v>
      </c>
      <c r="B148" s="87" t="s">
        <v>489</v>
      </c>
      <c r="C148" s="88"/>
      <c r="D148" s="87"/>
      <c r="E148" s="87"/>
      <c r="F148" s="87"/>
      <c r="G148" s="87"/>
      <c r="H148" s="87"/>
      <c r="I148" s="88">
        <v>106388.84</v>
      </c>
      <c r="J148" s="89">
        <v>84958.403000000006</v>
      </c>
      <c r="K148" s="89"/>
      <c r="L148" s="89"/>
      <c r="M148" s="89">
        <v>53234.228000000003</v>
      </c>
      <c r="N148" s="89">
        <v>-31803.791000000001</v>
      </c>
      <c r="O148" s="90"/>
      <c r="P148" s="91"/>
      <c r="Q148" s="91"/>
      <c r="R148" s="91"/>
      <c r="S148" s="91"/>
      <c r="T148" s="91"/>
      <c r="U148" s="90"/>
      <c r="V148" s="91"/>
      <c r="W148" s="91"/>
      <c r="X148" s="91"/>
      <c r="Y148" s="91"/>
      <c r="Z148" s="91"/>
      <c r="AA148" s="88">
        <v>968.06</v>
      </c>
      <c r="AB148" s="89">
        <v>182.00400000000002</v>
      </c>
      <c r="AC148" s="89">
        <v>86.15</v>
      </c>
      <c r="AD148" s="89">
        <v>95.853999999999999</v>
      </c>
      <c r="AE148" s="89">
        <v>786.05600000000004</v>
      </c>
      <c r="AF148" s="89"/>
      <c r="AG148" s="88">
        <v>36190.378151402001</v>
      </c>
      <c r="AH148" s="89">
        <v>7724.8921514020003</v>
      </c>
      <c r="AI148" s="89">
        <v>7724.8921514020003</v>
      </c>
      <c r="AJ148" s="89"/>
      <c r="AK148" s="89">
        <v>28465.486000000001</v>
      </c>
      <c r="AL148" s="89"/>
      <c r="AM148" s="88"/>
      <c r="AN148" s="89"/>
      <c r="AO148" s="89"/>
      <c r="AP148" s="89"/>
      <c r="AQ148" s="89"/>
      <c r="AR148" s="89"/>
      <c r="AS148" s="88">
        <v>27334000</v>
      </c>
      <c r="AT148" s="89">
        <v>3059000</v>
      </c>
      <c r="AU148" s="89">
        <v>3059000</v>
      </c>
      <c r="AV148" s="89"/>
      <c r="AW148" s="89">
        <v>28921000</v>
      </c>
      <c r="AX148" s="89">
        <v>-4646000</v>
      </c>
      <c r="AY148" s="88">
        <v>62602882.098865189</v>
      </c>
      <c r="AZ148" s="89">
        <f t="shared" ref="AZ148:AZ211" si="13">BA148+BB148</f>
        <v>17227103.829655178</v>
      </c>
      <c r="BA148" s="89">
        <v>10964145.18061533</v>
      </c>
      <c r="BB148" s="89">
        <v>6262958.6490398496</v>
      </c>
      <c r="BC148" s="89">
        <v>45375778.269210003</v>
      </c>
      <c r="BD148" s="89"/>
      <c r="BE148" s="88">
        <v>2209789.9165385799</v>
      </c>
      <c r="BF148" s="89">
        <v>249327.29477723001</v>
      </c>
      <c r="BG148" s="89">
        <v>232933.96369795001</v>
      </c>
      <c r="BH148" s="89">
        <v>16393.33107928</v>
      </c>
      <c r="BI148" s="89">
        <v>1525952.7162667001</v>
      </c>
      <c r="BJ148" s="89">
        <v>434509.90549465001</v>
      </c>
      <c r="BK148" s="88"/>
      <c r="BL148" s="89"/>
      <c r="BM148" s="89"/>
      <c r="BN148" s="89"/>
      <c r="BO148" s="89"/>
      <c r="BP148" s="89"/>
      <c r="BQ148" s="88"/>
      <c r="BR148" s="89"/>
      <c r="BS148" s="89"/>
      <c r="BT148" s="89"/>
      <c r="BU148" s="89"/>
      <c r="BV148" s="89"/>
      <c r="BW148" s="88">
        <v>5230.1007435928577</v>
      </c>
      <c r="BX148" s="89">
        <v>748.55885147857123</v>
      </c>
      <c r="BY148" s="89">
        <v>707.21593861857127</v>
      </c>
      <c r="BZ148" s="89">
        <v>41.342912859999998</v>
      </c>
      <c r="CA148" s="89">
        <v>5657.0247572971439</v>
      </c>
      <c r="CB148" s="89">
        <v>-1175.4828651828573</v>
      </c>
      <c r="CC148" s="88"/>
      <c r="CD148" s="89"/>
      <c r="CE148" s="89"/>
      <c r="CF148" s="89"/>
      <c r="CG148" s="116"/>
      <c r="CH148" s="116"/>
      <c r="CI148" s="88">
        <v>38907.199999999997</v>
      </c>
      <c r="CJ148" s="89">
        <v>7232.8</v>
      </c>
      <c r="CK148" s="89">
        <v>7166.7</v>
      </c>
      <c r="CL148" s="89">
        <v>66.099999999999994</v>
      </c>
      <c r="CM148" s="89">
        <v>32700.800000000003</v>
      </c>
      <c r="CN148" s="89">
        <v>-1026.4000000000001</v>
      </c>
      <c r="CO148" s="115"/>
      <c r="CP148" s="116"/>
      <c r="CQ148" s="116"/>
      <c r="CR148" s="116"/>
      <c r="CS148" s="89"/>
      <c r="CT148" s="89"/>
      <c r="CU148" s="88">
        <v>25980.920645060003</v>
      </c>
      <c r="CV148" s="89">
        <v>12688.931000920002</v>
      </c>
      <c r="CW148" s="89">
        <v>12789.992821880001</v>
      </c>
      <c r="CX148" s="89">
        <v>-101.06182096000023</v>
      </c>
      <c r="CY148" s="89">
        <v>13291.98964414</v>
      </c>
      <c r="CZ148" s="89"/>
      <c r="DA148" s="88">
        <v>26039.706324675346</v>
      </c>
      <c r="DB148" s="89">
        <v>-2349.9190076913656</v>
      </c>
      <c r="DC148" s="89">
        <v>-2516.8449282713655</v>
      </c>
      <c r="DD148" s="89">
        <v>166.92592058000002</v>
      </c>
      <c r="DE148" s="89">
        <v>43503.645870768058</v>
      </c>
      <c r="DF148" s="89">
        <v>-15114.020538401346</v>
      </c>
      <c r="DG148" s="88">
        <v>150627.9</v>
      </c>
      <c r="DH148" s="89">
        <v>124606.5</v>
      </c>
      <c r="DI148" s="89"/>
      <c r="DJ148" s="89"/>
      <c r="DK148" s="89">
        <v>34394.199999999997</v>
      </c>
      <c r="DL148" s="89">
        <v>-8372.7999999999993</v>
      </c>
      <c r="DM148" s="88">
        <v>1903752.2535950099</v>
      </c>
      <c r="DN148" s="89">
        <v>1020838.0049999999</v>
      </c>
      <c r="DO148" s="89">
        <v>966087.23899999994</v>
      </c>
      <c r="DP148" s="89">
        <v>54750.766000000003</v>
      </c>
      <c r="DQ148" s="89">
        <v>882914.24899999995</v>
      </c>
      <c r="DR148" s="89"/>
      <c r="DS148" s="88">
        <v>41045.056117740984</v>
      </c>
      <c r="DT148" s="89">
        <v>41958.977408579995</v>
      </c>
      <c r="DU148" s="89">
        <v>41706.113119579997</v>
      </c>
      <c r="DV148" s="89">
        <v>252.86428899999999</v>
      </c>
      <c r="DW148" s="89">
        <v>9993.6136055999996</v>
      </c>
      <c r="DX148" s="89">
        <v>-10907.534896439025</v>
      </c>
      <c r="DY148" s="88">
        <v>5635.6734729999998</v>
      </c>
      <c r="DZ148" s="89">
        <f t="shared" si="8"/>
        <v>-62.003423000000112</v>
      </c>
      <c r="EA148" s="89">
        <v>658.86168099999998</v>
      </c>
      <c r="EB148" s="89">
        <v>-720.86510400000009</v>
      </c>
      <c r="EC148" s="89">
        <v>5697.6768959999999</v>
      </c>
      <c r="ED148" s="89"/>
      <c r="EE148" s="88"/>
      <c r="EF148" s="89"/>
      <c r="EG148" s="89"/>
      <c r="EH148" s="89"/>
      <c r="EI148" s="89"/>
      <c r="EJ148" s="89"/>
      <c r="EK148" s="88">
        <v>8101363.2830000008</v>
      </c>
      <c r="EL148" s="89">
        <v>340861.35999999969</v>
      </c>
      <c r="EM148" s="89">
        <v>314819.66299999971</v>
      </c>
      <c r="EN148" s="89">
        <v>26041.696999999989</v>
      </c>
      <c r="EO148" s="89">
        <v>7599448.4670000011</v>
      </c>
      <c r="EP148" s="89">
        <v>161053.45600000003</v>
      </c>
      <c r="EQ148" s="88">
        <v>25958.170425280005</v>
      </c>
      <c r="ER148" s="89">
        <v>-8274.3034586000012</v>
      </c>
      <c r="ES148" s="89"/>
      <c r="ET148" s="89"/>
      <c r="EU148" s="89">
        <v>54608.919467960004</v>
      </c>
      <c r="EV148" s="89">
        <v>-20376.44558408</v>
      </c>
      <c r="EW148" s="88">
        <v>150445.37781770615</v>
      </c>
      <c r="EX148" s="89">
        <f t="shared" ref="EX148:EX211" si="14">EY148+EZ148</f>
        <v>-3541.2137379999976</v>
      </c>
      <c r="EY148" s="89">
        <v>-9320.7240529999981</v>
      </c>
      <c r="EZ148" s="89">
        <v>5779.5103150000004</v>
      </c>
      <c r="FA148" s="89">
        <v>137670.70009699999</v>
      </c>
      <c r="FB148" s="89">
        <v>16315.891458706134</v>
      </c>
      <c r="FC148" s="88"/>
      <c r="FD148" s="89"/>
      <c r="FE148" s="89"/>
      <c r="FF148" s="89"/>
      <c r="FG148" s="89"/>
      <c r="FH148" s="89"/>
      <c r="FI148" s="88"/>
      <c r="FJ148" s="89"/>
      <c r="FK148" s="89"/>
      <c r="FL148" s="89"/>
      <c r="FM148" s="89"/>
      <c r="FN148" s="89"/>
      <c r="FO148" s="88"/>
      <c r="FP148" s="89"/>
      <c r="FQ148" s="89"/>
      <c r="FR148" s="89"/>
      <c r="FS148" s="89"/>
      <c r="FT148" s="89"/>
      <c r="FU148" s="88"/>
      <c r="FV148" s="89"/>
      <c r="FW148" s="89"/>
      <c r="FX148" s="89"/>
      <c r="FY148" s="89"/>
      <c r="FZ148" s="89"/>
      <c r="GA148" s="120">
        <v>14004</v>
      </c>
      <c r="GB148" s="121">
        <v>-1298.1999999999998</v>
      </c>
      <c r="GC148" s="121">
        <v>-4196.8999999999996</v>
      </c>
      <c r="GD148" s="121">
        <v>2898.7</v>
      </c>
      <c r="GE148" s="121">
        <v>15302.2</v>
      </c>
      <c r="GF148" s="89"/>
      <c r="GG148" s="88"/>
      <c r="GH148" s="89"/>
      <c r="GI148" s="89"/>
      <c r="GJ148" s="89"/>
      <c r="GK148" s="89"/>
      <c r="GL148" s="89"/>
      <c r="GM148" s="88">
        <v>13859.775861377899</v>
      </c>
      <c r="GN148" s="89">
        <v>2884.6449841243993</v>
      </c>
      <c r="GO148" s="89">
        <v>2849.3889809623993</v>
      </c>
      <c r="GP148" s="89">
        <v>35.256003161999864</v>
      </c>
      <c r="GQ148" s="89">
        <v>10041.9674671905</v>
      </c>
      <c r="GR148" s="89">
        <v>933.16341006300001</v>
      </c>
      <c r="GS148" s="88"/>
      <c r="GT148" s="87"/>
      <c r="GU148" s="87"/>
      <c r="GV148" s="87"/>
      <c r="GW148" s="87"/>
      <c r="GX148" s="87"/>
      <c r="GY148" s="87"/>
      <c r="GZ148" s="88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8"/>
      <c r="HM148" s="87"/>
      <c r="HN148" s="87"/>
      <c r="HO148" s="87"/>
      <c r="HP148" s="87"/>
      <c r="HQ148" s="87"/>
      <c r="HR148" s="87"/>
      <c r="HS148" s="87"/>
    </row>
    <row r="149" spans="1:227">
      <c r="A149" s="69"/>
      <c r="B149" s="87" t="s">
        <v>490</v>
      </c>
      <c r="C149" s="88"/>
      <c r="D149" s="87"/>
      <c r="E149" s="87"/>
      <c r="F149" s="87"/>
      <c r="G149" s="87"/>
      <c r="H149" s="87"/>
      <c r="I149" s="88">
        <v>110616.78899999999</v>
      </c>
      <c r="J149" s="89">
        <v>98734.482999999993</v>
      </c>
      <c r="K149" s="89"/>
      <c r="L149" s="89"/>
      <c r="M149" s="89">
        <v>52486.319000000003</v>
      </c>
      <c r="N149" s="89">
        <v>-40604.012999999999</v>
      </c>
      <c r="O149" s="90"/>
      <c r="P149" s="91"/>
      <c r="Q149" s="91"/>
      <c r="R149" s="91"/>
      <c r="S149" s="91"/>
      <c r="T149" s="91"/>
      <c r="U149" s="90"/>
      <c r="V149" s="91"/>
      <c r="W149" s="91"/>
      <c r="X149" s="91"/>
      <c r="Y149" s="91"/>
      <c r="Z149" s="91"/>
      <c r="AA149" s="88">
        <v>976.50400000000002</v>
      </c>
      <c r="AB149" s="89">
        <v>183.78399999999999</v>
      </c>
      <c r="AC149" s="89">
        <v>90.594999999999999</v>
      </c>
      <c r="AD149" s="89">
        <v>93.188999999999993</v>
      </c>
      <c r="AE149" s="89">
        <v>792.72</v>
      </c>
      <c r="AF149" s="89"/>
      <c r="AG149" s="88">
        <v>36138.801839528001</v>
      </c>
      <c r="AH149" s="89">
        <v>7568.4938395280005</v>
      </c>
      <c r="AI149" s="89">
        <v>7568.4938395280005</v>
      </c>
      <c r="AJ149" s="89"/>
      <c r="AK149" s="89">
        <v>28570.308000000001</v>
      </c>
      <c r="AL149" s="89"/>
      <c r="AM149" s="88"/>
      <c r="AN149" s="89"/>
      <c r="AO149" s="89"/>
      <c r="AP149" s="89"/>
      <c r="AQ149" s="89"/>
      <c r="AR149" s="89"/>
      <c r="AS149" s="88">
        <v>27893000</v>
      </c>
      <c r="AT149" s="89">
        <v>3222000</v>
      </c>
      <c r="AU149" s="89">
        <v>3222000</v>
      </c>
      <c r="AV149" s="89"/>
      <c r="AW149" s="89">
        <v>29142000</v>
      </c>
      <c r="AX149" s="89">
        <v>-4471000</v>
      </c>
      <c r="AY149" s="88">
        <v>63077705.960540235</v>
      </c>
      <c r="AZ149" s="89">
        <f t="shared" si="13"/>
        <v>15455417.380251788</v>
      </c>
      <c r="BA149" s="89">
        <v>9274061.946127601</v>
      </c>
      <c r="BB149" s="89">
        <v>6181355.4341241876</v>
      </c>
      <c r="BC149" s="89">
        <v>47622288.58028844</v>
      </c>
      <c r="BD149" s="89"/>
      <c r="BE149" s="88">
        <v>2212929.9543602802</v>
      </c>
      <c r="BF149" s="89">
        <v>185341.61657125002</v>
      </c>
      <c r="BG149" s="89">
        <v>169788.82603694001</v>
      </c>
      <c r="BH149" s="89">
        <v>15552.790534309999</v>
      </c>
      <c r="BI149" s="89">
        <v>1540779.35781424</v>
      </c>
      <c r="BJ149" s="89">
        <v>486808.97997479001</v>
      </c>
      <c r="BK149" s="88"/>
      <c r="BL149" s="89"/>
      <c r="BM149" s="89"/>
      <c r="BN149" s="89"/>
      <c r="BO149" s="89"/>
      <c r="BP149" s="89"/>
      <c r="BQ149" s="88"/>
      <c r="BR149" s="89"/>
      <c r="BS149" s="89"/>
      <c r="BT149" s="89"/>
      <c r="BU149" s="89"/>
      <c r="BV149" s="89"/>
      <c r="BW149" s="88">
        <v>5228.6923766528153</v>
      </c>
      <c r="BX149" s="89">
        <v>771.37190324857136</v>
      </c>
      <c r="BY149" s="89">
        <v>728.72799038857136</v>
      </c>
      <c r="BZ149" s="89">
        <v>42.64391286</v>
      </c>
      <c r="CA149" s="89">
        <v>5683.4978091871444</v>
      </c>
      <c r="CB149" s="89">
        <v>-1226.1773357829006</v>
      </c>
      <c r="CC149" s="88"/>
      <c r="CD149" s="89"/>
      <c r="CE149" s="89"/>
      <c r="CF149" s="89"/>
      <c r="CG149" s="89"/>
      <c r="CH149" s="89"/>
      <c r="CI149" s="88">
        <v>39620.300000000003</v>
      </c>
      <c r="CJ149" s="89">
        <v>7707.3</v>
      </c>
      <c r="CK149" s="89">
        <v>7627.2</v>
      </c>
      <c r="CL149" s="89">
        <v>80.100000000000009</v>
      </c>
      <c r="CM149" s="89">
        <v>32978</v>
      </c>
      <c r="CN149" s="89">
        <v>-1065.0999999999999</v>
      </c>
      <c r="CO149" s="88"/>
      <c r="CP149" s="89"/>
      <c r="CQ149" s="89"/>
      <c r="CR149" s="89"/>
      <c r="CS149" s="89"/>
      <c r="CT149" s="89"/>
      <c r="CU149" s="88">
        <v>26082.918507314203</v>
      </c>
      <c r="CV149" s="89">
        <v>12891.623219304203</v>
      </c>
      <c r="CW149" s="89">
        <v>13005.857736204203</v>
      </c>
      <c r="CX149" s="89">
        <v>-114.23451690000014</v>
      </c>
      <c r="CY149" s="89">
        <v>13191.29528801</v>
      </c>
      <c r="CZ149" s="89"/>
      <c r="DA149" s="88">
        <v>26243.421934326347</v>
      </c>
      <c r="DB149" s="89">
        <v>-2433.0050909781239</v>
      </c>
      <c r="DC149" s="89">
        <v>-2597.598613408124</v>
      </c>
      <c r="DD149" s="89">
        <v>164.59352243000001</v>
      </c>
      <c r="DE149" s="89">
        <v>43781.62297367373</v>
      </c>
      <c r="DF149" s="89">
        <v>-15105.195948369255</v>
      </c>
      <c r="DG149" s="88">
        <v>149544.20000000001</v>
      </c>
      <c r="DH149" s="89">
        <v>124325.2</v>
      </c>
      <c r="DI149" s="89"/>
      <c r="DJ149" s="89"/>
      <c r="DK149" s="89">
        <v>34916.9</v>
      </c>
      <c r="DL149" s="89">
        <v>-9697.9</v>
      </c>
      <c r="DM149" s="88">
        <v>1891099.66708952</v>
      </c>
      <c r="DN149" s="89">
        <v>996370.31299999997</v>
      </c>
      <c r="DO149" s="89">
        <v>941135.745</v>
      </c>
      <c r="DP149" s="89">
        <v>55234.567999999999</v>
      </c>
      <c r="DQ149" s="89">
        <v>894729.35499999998</v>
      </c>
      <c r="DR149" s="89"/>
      <c r="DS149" s="88">
        <v>41092.474159851387</v>
      </c>
      <c r="DT149" s="89">
        <v>41806.977699349998</v>
      </c>
      <c r="DU149" s="89">
        <v>41544.897954349995</v>
      </c>
      <c r="DV149" s="89">
        <v>262.079745</v>
      </c>
      <c r="DW149" s="89">
        <v>10039.93576235</v>
      </c>
      <c r="DX149" s="89">
        <v>-10754.439301848617</v>
      </c>
      <c r="DY149" s="88">
        <v>5622.8732659999996</v>
      </c>
      <c r="DZ149" s="89">
        <f t="shared" si="8"/>
        <v>-72.893336999999974</v>
      </c>
      <c r="EA149" s="89">
        <v>661.90106000000003</v>
      </c>
      <c r="EB149" s="89">
        <v>-734.794397</v>
      </c>
      <c r="EC149" s="89">
        <v>5695.766603</v>
      </c>
      <c r="ED149" s="89"/>
      <c r="EE149" s="88"/>
      <c r="EF149" s="89"/>
      <c r="EG149" s="89"/>
      <c r="EH149" s="89"/>
      <c r="EI149" s="89"/>
      <c r="EJ149" s="89"/>
      <c r="EK149" s="88">
        <v>8137647.5920000002</v>
      </c>
      <c r="EL149" s="89">
        <v>314043.96200000023</v>
      </c>
      <c r="EM149" s="89">
        <v>269464.57800000021</v>
      </c>
      <c r="EN149" s="89">
        <v>44579.383999999998</v>
      </c>
      <c r="EO149" s="89">
        <v>7665670.79</v>
      </c>
      <c r="EP149" s="89">
        <v>157932.83999999997</v>
      </c>
      <c r="EQ149" s="88">
        <v>25374.244350700006</v>
      </c>
      <c r="ER149" s="89">
        <v>-9676.9136915500003</v>
      </c>
      <c r="ES149" s="89"/>
      <c r="ET149" s="89"/>
      <c r="EU149" s="89">
        <v>55127.296549949999</v>
      </c>
      <c r="EV149" s="89">
        <v>-20076.138507699994</v>
      </c>
      <c r="EW149" s="88">
        <v>157663.33655546926</v>
      </c>
      <c r="EX149" s="89">
        <f t="shared" si="14"/>
        <v>3669.3388839999961</v>
      </c>
      <c r="EY149" s="89">
        <v>-2074.3383650000033</v>
      </c>
      <c r="EZ149" s="89">
        <v>5743.6772489999994</v>
      </c>
      <c r="FA149" s="89">
        <v>139528.603596</v>
      </c>
      <c r="FB149" s="89">
        <v>14465.394075469243</v>
      </c>
      <c r="FC149" s="88"/>
      <c r="FD149" s="89"/>
      <c r="FE149" s="89"/>
      <c r="FF149" s="89"/>
      <c r="FG149" s="89"/>
      <c r="FH149" s="89"/>
      <c r="FI149" s="88"/>
      <c r="FJ149" s="89"/>
      <c r="FK149" s="89"/>
      <c r="FL149" s="89"/>
      <c r="FM149" s="89"/>
      <c r="FN149" s="89"/>
      <c r="FO149" s="88"/>
      <c r="FP149" s="89"/>
      <c r="FQ149" s="89"/>
      <c r="FR149" s="89"/>
      <c r="FS149" s="89"/>
      <c r="FT149" s="89"/>
      <c r="FU149" s="88"/>
      <c r="FV149" s="89"/>
      <c r="FW149" s="89"/>
      <c r="FX149" s="89"/>
      <c r="FY149" s="89"/>
      <c r="FZ149" s="89"/>
      <c r="GA149" s="120">
        <v>14353.8</v>
      </c>
      <c r="GB149" s="121">
        <v>-1077</v>
      </c>
      <c r="GC149" s="121">
        <v>-3976.3</v>
      </c>
      <c r="GD149" s="121">
        <v>2899.3</v>
      </c>
      <c r="GE149" s="121">
        <v>15430.8</v>
      </c>
      <c r="GF149" s="89"/>
      <c r="GG149" s="88"/>
      <c r="GH149" s="89"/>
      <c r="GI149" s="89"/>
      <c r="GJ149" s="89"/>
      <c r="GK149" s="89"/>
      <c r="GL149" s="89"/>
      <c r="GM149" s="88">
        <v>13815.755170583252</v>
      </c>
      <c r="GN149" s="89">
        <v>3164.2275843392003</v>
      </c>
      <c r="GO149" s="89">
        <v>3126.5171092126002</v>
      </c>
      <c r="GP149" s="89">
        <v>37.710475126600357</v>
      </c>
      <c r="GQ149" s="89">
        <v>9672.0335216818512</v>
      </c>
      <c r="GR149" s="89">
        <v>979.49406456220015</v>
      </c>
      <c r="GS149" s="88"/>
      <c r="GT149" s="87"/>
      <c r="GU149" s="87"/>
      <c r="GV149" s="87"/>
      <c r="GW149" s="87"/>
      <c r="GX149" s="87"/>
      <c r="GY149" s="87"/>
      <c r="GZ149" s="88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8"/>
      <c r="HM149" s="87"/>
      <c r="HN149" s="87"/>
      <c r="HO149" s="87"/>
      <c r="HP149" s="87"/>
      <c r="HQ149" s="87"/>
      <c r="HR149" s="87"/>
      <c r="HS149" s="87"/>
    </row>
    <row r="150" spans="1:227">
      <c r="A150" s="69"/>
      <c r="B150" s="87" t="s">
        <v>491</v>
      </c>
      <c r="C150" s="88"/>
      <c r="D150" s="87"/>
      <c r="E150" s="87"/>
      <c r="F150" s="87"/>
      <c r="G150" s="87"/>
      <c r="H150" s="87"/>
      <c r="I150" s="88">
        <v>124735.50900000001</v>
      </c>
      <c r="J150" s="89">
        <v>123147.056</v>
      </c>
      <c r="K150" s="89"/>
      <c r="L150" s="89"/>
      <c r="M150" s="89">
        <v>53309.313000000002</v>
      </c>
      <c r="N150" s="89">
        <v>-51720.86</v>
      </c>
      <c r="O150" s="90"/>
      <c r="P150" s="91"/>
      <c r="Q150" s="91"/>
      <c r="R150" s="91"/>
      <c r="S150" s="91"/>
      <c r="T150" s="91"/>
      <c r="U150" s="90"/>
      <c r="V150" s="91"/>
      <c r="W150" s="91"/>
      <c r="X150" s="91"/>
      <c r="Y150" s="91"/>
      <c r="Z150" s="91"/>
      <c r="AA150" s="88">
        <v>1005.9930000000001</v>
      </c>
      <c r="AB150" s="89">
        <v>207.50799999999998</v>
      </c>
      <c r="AC150" s="89">
        <v>114.261</v>
      </c>
      <c r="AD150" s="89">
        <v>93.247</v>
      </c>
      <c r="AE150" s="89">
        <v>798.48500000000001</v>
      </c>
      <c r="AF150" s="89"/>
      <c r="AG150" s="88">
        <v>36275.481115618</v>
      </c>
      <c r="AH150" s="89">
        <v>7578.9991156180004</v>
      </c>
      <c r="AI150" s="89">
        <v>7578.9991156180004</v>
      </c>
      <c r="AJ150" s="89"/>
      <c r="AK150" s="89">
        <v>28696.482</v>
      </c>
      <c r="AL150" s="89"/>
      <c r="AM150" s="88"/>
      <c r="AN150" s="89"/>
      <c r="AO150" s="89"/>
      <c r="AP150" s="89"/>
      <c r="AQ150" s="89"/>
      <c r="AR150" s="89"/>
      <c r="AS150" s="88">
        <v>28482000</v>
      </c>
      <c r="AT150" s="89">
        <v>3405000</v>
      </c>
      <c r="AU150" s="89">
        <v>3405000</v>
      </c>
      <c r="AV150" s="89"/>
      <c r="AW150" s="89">
        <v>29290000</v>
      </c>
      <c r="AX150" s="89">
        <v>-4213000</v>
      </c>
      <c r="AY150" s="88">
        <v>61730157.005395405</v>
      </c>
      <c r="AZ150" s="89">
        <f t="shared" si="13"/>
        <v>16052801.307638623</v>
      </c>
      <c r="BA150" s="89">
        <v>9939706.4229851663</v>
      </c>
      <c r="BB150" s="89">
        <v>6113094.8846534574</v>
      </c>
      <c r="BC150" s="89">
        <v>45677355.69775679</v>
      </c>
      <c r="BD150" s="89"/>
      <c r="BE150" s="88">
        <v>2180020.8763766801</v>
      </c>
      <c r="BF150" s="89">
        <v>180304.75938412</v>
      </c>
      <c r="BG150" s="89">
        <v>165857.65960861999</v>
      </c>
      <c r="BH150" s="89">
        <v>14447.099775500001</v>
      </c>
      <c r="BI150" s="89">
        <v>1575346.93784413</v>
      </c>
      <c r="BJ150" s="89">
        <v>424369.17914843</v>
      </c>
      <c r="BK150" s="88"/>
      <c r="BL150" s="89"/>
      <c r="BM150" s="89"/>
      <c r="BN150" s="89"/>
      <c r="BO150" s="89"/>
      <c r="BP150" s="89"/>
      <c r="BQ150" s="88">
        <v>5657.7</v>
      </c>
      <c r="BR150" s="89">
        <v>-65.899999999999977</v>
      </c>
      <c r="BS150" s="89" t="s">
        <v>501</v>
      </c>
      <c r="BT150" s="89">
        <v>-354.4</v>
      </c>
      <c r="BU150" s="89">
        <v>5723.6</v>
      </c>
      <c r="BV150" s="89"/>
      <c r="BW150" s="88">
        <v>5352.0775895507877</v>
      </c>
      <c r="BX150" s="89">
        <v>847.62971404857149</v>
      </c>
      <c r="BY150" s="89">
        <v>805.07480118857143</v>
      </c>
      <c r="BZ150" s="89">
        <v>42.554912860000002</v>
      </c>
      <c r="CA150" s="89">
        <v>5606.1514325492135</v>
      </c>
      <c r="CB150" s="89">
        <v>-1101.704723224927</v>
      </c>
      <c r="CC150" s="88"/>
      <c r="CD150" s="89"/>
      <c r="CE150" s="89"/>
      <c r="CF150" s="89"/>
      <c r="CG150" s="89"/>
      <c r="CH150" s="89"/>
      <c r="CI150" s="88">
        <v>40445.800000000003</v>
      </c>
      <c r="CJ150" s="89">
        <v>7775.7</v>
      </c>
      <c r="CK150" s="89">
        <v>7683</v>
      </c>
      <c r="CL150" s="89">
        <v>92.7</v>
      </c>
      <c r="CM150" s="89">
        <v>32928.5</v>
      </c>
      <c r="CN150" s="89">
        <v>-258.3</v>
      </c>
      <c r="CO150" s="88">
        <v>25774.799999999999</v>
      </c>
      <c r="CP150" s="89">
        <v>-25019.9</v>
      </c>
      <c r="CQ150" s="89">
        <v>-18287</v>
      </c>
      <c r="CR150" s="89">
        <v>-6732.9000000000015</v>
      </c>
      <c r="CS150" s="89">
        <v>58126.7</v>
      </c>
      <c r="CT150" s="89">
        <v>-7332</v>
      </c>
      <c r="CU150" s="88">
        <v>26244.993950024997</v>
      </c>
      <c r="CV150" s="89">
        <v>12967.592167474999</v>
      </c>
      <c r="CW150" s="89">
        <v>13111.186402174999</v>
      </c>
      <c r="CX150" s="89">
        <v>-143.59423470000016</v>
      </c>
      <c r="CY150" s="89">
        <v>13277.40178255</v>
      </c>
      <c r="CZ150" s="89"/>
      <c r="DA150" s="88">
        <v>26372.167348793133</v>
      </c>
      <c r="DB150" s="89">
        <v>-2476.3221992932563</v>
      </c>
      <c r="DC150" s="89">
        <v>-2733.8108512632562</v>
      </c>
      <c r="DD150" s="89">
        <v>257.48865196999998</v>
      </c>
      <c r="DE150" s="89">
        <v>44190.242386759928</v>
      </c>
      <c r="DF150" s="89">
        <v>-15341.752838673538</v>
      </c>
      <c r="DG150" s="88">
        <v>143087.6</v>
      </c>
      <c r="DH150" s="89">
        <v>116994.1</v>
      </c>
      <c r="DI150" s="89"/>
      <c r="DJ150" s="89"/>
      <c r="DK150" s="89">
        <v>34969.800000000003</v>
      </c>
      <c r="DL150" s="89">
        <v>-8876.2999999999993</v>
      </c>
      <c r="DM150" s="88">
        <v>1966991.2153888999</v>
      </c>
      <c r="DN150" s="89">
        <v>1057169.8530000001</v>
      </c>
      <c r="DO150" s="89">
        <v>1002280.206</v>
      </c>
      <c r="DP150" s="89">
        <v>54889.646999999997</v>
      </c>
      <c r="DQ150" s="89">
        <v>909821.36199999996</v>
      </c>
      <c r="DR150" s="89"/>
      <c r="DS150" s="88">
        <v>41431.24574647018</v>
      </c>
      <c r="DT150" s="89">
        <v>41880.145403950002</v>
      </c>
      <c r="DU150" s="89">
        <v>41625.291537950005</v>
      </c>
      <c r="DV150" s="89">
        <v>254.85386599999998</v>
      </c>
      <c r="DW150" s="89">
        <v>9796.2296001900013</v>
      </c>
      <c r="DX150" s="89">
        <v>-10245.129257669831</v>
      </c>
      <c r="DY150" s="88">
        <v>5605.4524869999996</v>
      </c>
      <c r="DZ150" s="89">
        <f t="shared" si="8"/>
        <v>-65.640099000000077</v>
      </c>
      <c r="EA150" s="89">
        <v>658.22131499999989</v>
      </c>
      <c r="EB150" s="89">
        <v>-723.86141399999997</v>
      </c>
      <c r="EC150" s="89">
        <v>5671.0925859999998</v>
      </c>
      <c r="ED150" s="89"/>
      <c r="EE150" s="88"/>
      <c r="EF150" s="89"/>
      <c r="EG150" s="89"/>
      <c r="EH150" s="89"/>
      <c r="EI150" s="89"/>
      <c r="EJ150" s="89"/>
      <c r="EK150" s="88">
        <v>8124941.949000001</v>
      </c>
      <c r="EL150" s="89">
        <v>379940.02899999986</v>
      </c>
      <c r="EM150" s="89">
        <v>329208.75499999989</v>
      </c>
      <c r="EN150" s="89">
        <v>50731.273999999976</v>
      </c>
      <c r="EO150" s="89">
        <v>7588249.5960000008</v>
      </c>
      <c r="EP150" s="89">
        <v>156752.32400000002</v>
      </c>
      <c r="EQ150" s="88">
        <v>26045.147923099998</v>
      </c>
      <c r="ER150" s="89">
        <v>-9315.3632207999981</v>
      </c>
      <c r="ES150" s="89"/>
      <c r="ET150" s="89"/>
      <c r="EU150" s="89">
        <v>55268.294231699998</v>
      </c>
      <c r="EV150" s="89">
        <v>-19907.783087800002</v>
      </c>
      <c r="EW150" s="88">
        <v>154989.47736724143</v>
      </c>
      <c r="EX150" s="89">
        <f t="shared" si="14"/>
        <v>-2856.8708360000001</v>
      </c>
      <c r="EY150" s="89">
        <v>-8531.773964</v>
      </c>
      <c r="EZ150" s="89">
        <v>5674.9031279999999</v>
      </c>
      <c r="FA150" s="89">
        <v>142129.767402</v>
      </c>
      <c r="FB150" s="89">
        <v>15716.580801241462</v>
      </c>
      <c r="FC150" s="88"/>
      <c r="FD150" s="89"/>
      <c r="FE150" s="89"/>
      <c r="FF150" s="89"/>
      <c r="FG150" s="89"/>
      <c r="FH150" s="89"/>
      <c r="FI150" s="88"/>
      <c r="FJ150" s="89"/>
      <c r="FK150" s="89"/>
      <c r="FL150" s="89"/>
      <c r="FM150" s="89"/>
      <c r="FN150" s="89"/>
      <c r="FO150" s="88"/>
      <c r="FP150" s="89"/>
      <c r="FQ150" s="89"/>
      <c r="FR150" s="89"/>
      <c r="FS150" s="89"/>
      <c r="FT150" s="89"/>
      <c r="FU150" s="88"/>
      <c r="FV150" s="89"/>
      <c r="FW150" s="89"/>
      <c r="FX150" s="89"/>
      <c r="FY150" s="89"/>
      <c r="FZ150" s="89"/>
      <c r="GA150" s="120">
        <v>15609.8</v>
      </c>
      <c r="GB150" s="121">
        <v>-555.5</v>
      </c>
      <c r="GC150" s="121">
        <v>-3698.2</v>
      </c>
      <c r="GD150" s="121">
        <v>3142.7</v>
      </c>
      <c r="GE150" s="121">
        <v>16165.4</v>
      </c>
      <c r="GF150" s="89"/>
      <c r="GG150" s="88"/>
      <c r="GH150" s="89"/>
      <c r="GI150" s="89"/>
      <c r="GJ150" s="89"/>
      <c r="GK150" s="89"/>
      <c r="GL150" s="89"/>
      <c r="GM150" s="88">
        <v>13007.641026024701</v>
      </c>
      <c r="GN150" s="89">
        <v>2938.4399078801998</v>
      </c>
      <c r="GO150" s="89">
        <v>2902.514459217</v>
      </c>
      <c r="GP150" s="89">
        <v>35.925448663199788</v>
      </c>
      <c r="GQ150" s="89">
        <v>9182.936564744401</v>
      </c>
      <c r="GR150" s="89">
        <v>886.2645534001</v>
      </c>
      <c r="GS150" s="88"/>
      <c r="GT150" s="87"/>
      <c r="GU150" s="87"/>
      <c r="GV150" s="87"/>
      <c r="GW150" s="87"/>
      <c r="GX150" s="87"/>
      <c r="GY150" s="87"/>
      <c r="GZ150" s="88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8"/>
      <c r="HM150" s="87"/>
      <c r="HN150" s="87"/>
      <c r="HO150" s="87"/>
      <c r="HP150" s="87"/>
      <c r="HQ150" s="87"/>
      <c r="HR150" s="87"/>
      <c r="HS150" s="87"/>
    </row>
    <row r="151" spans="1:227">
      <c r="A151" s="69"/>
      <c r="B151" s="87" t="s">
        <v>492</v>
      </c>
      <c r="C151" s="88"/>
      <c r="D151" s="87"/>
      <c r="E151" s="87"/>
      <c r="F151" s="87"/>
      <c r="G151" s="87"/>
      <c r="H151" s="87"/>
      <c r="I151" s="88">
        <v>122989.18399999998</v>
      </c>
      <c r="J151" s="89">
        <v>124206.643</v>
      </c>
      <c r="K151" s="89"/>
      <c r="L151" s="89"/>
      <c r="M151" s="89">
        <v>51535.407999999996</v>
      </c>
      <c r="N151" s="89">
        <v>-52752.866999999998</v>
      </c>
      <c r="O151" s="90"/>
      <c r="P151" s="91"/>
      <c r="Q151" s="91"/>
      <c r="R151" s="91"/>
      <c r="S151" s="91"/>
      <c r="T151" s="91"/>
      <c r="U151" s="90"/>
      <c r="V151" s="91"/>
      <c r="W151" s="91"/>
      <c r="X151" s="91"/>
      <c r="Y151" s="91"/>
      <c r="Z151" s="91"/>
      <c r="AA151" s="88">
        <v>1014.723</v>
      </c>
      <c r="AB151" s="89">
        <v>192.59</v>
      </c>
      <c r="AC151" s="89">
        <v>99.766000000000005</v>
      </c>
      <c r="AD151" s="89">
        <v>92.823999999999998</v>
      </c>
      <c r="AE151" s="89">
        <v>822.13300000000004</v>
      </c>
      <c r="AF151" s="89"/>
      <c r="AG151" s="88">
        <v>36292.694384672002</v>
      </c>
      <c r="AH151" s="89">
        <v>7510.9003846719988</v>
      </c>
      <c r="AI151" s="89">
        <v>7510.9003846719988</v>
      </c>
      <c r="AJ151" s="89"/>
      <c r="AK151" s="89">
        <v>28781.794000000002</v>
      </c>
      <c r="AL151" s="89"/>
      <c r="AM151" s="88"/>
      <c r="AN151" s="89"/>
      <c r="AO151" s="89"/>
      <c r="AP151" s="89"/>
      <c r="AQ151" s="89"/>
      <c r="AR151" s="89"/>
      <c r="AS151" s="88">
        <v>27505000</v>
      </c>
      <c r="AT151" s="89">
        <v>2817000</v>
      </c>
      <c r="AU151" s="89">
        <v>2817000</v>
      </c>
      <c r="AV151" s="89"/>
      <c r="AW151" s="89">
        <v>29113000</v>
      </c>
      <c r="AX151" s="89">
        <v>-4425000</v>
      </c>
      <c r="AY151" s="88">
        <v>62983538.119428918</v>
      </c>
      <c r="AZ151" s="89">
        <f t="shared" si="13"/>
        <v>17091251.073811982</v>
      </c>
      <c r="BA151" s="89">
        <v>11039666.636830484</v>
      </c>
      <c r="BB151" s="89">
        <v>6051584.4369814973</v>
      </c>
      <c r="BC151" s="89">
        <v>45892287.045616932</v>
      </c>
      <c r="BD151" s="89"/>
      <c r="BE151" s="88">
        <v>2212421.26498537</v>
      </c>
      <c r="BF151" s="89">
        <v>197930.97018696999</v>
      </c>
      <c r="BG151" s="89">
        <v>183577.67942838999</v>
      </c>
      <c r="BH151" s="89">
        <v>14353.29075858</v>
      </c>
      <c r="BI151" s="89">
        <v>1594434.9166856501</v>
      </c>
      <c r="BJ151" s="89">
        <v>420055.37811275001</v>
      </c>
      <c r="BK151" s="88"/>
      <c r="BL151" s="89"/>
      <c r="BM151" s="89"/>
      <c r="BN151" s="89"/>
      <c r="BO151" s="89"/>
      <c r="BP151" s="89"/>
      <c r="BQ151" s="88"/>
      <c r="BR151" s="89"/>
      <c r="BS151" s="89"/>
      <c r="BT151" s="89"/>
      <c r="BU151" s="89"/>
      <c r="BV151" s="89"/>
      <c r="BW151" s="88">
        <v>4995.5856195109973</v>
      </c>
      <c r="BX151" s="89">
        <v>377.47303460857165</v>
      </c>
      <c r="BY151" s="89">
        <v>335.33012174857163</v>
      </c>
      <c r="BZ151" s="89">
        <v>42.142912859999996</v>
      </c>
      <c r="CA151" s="89">
        <v>5539.5009808490031</v>
      </c>
      <c r="CB151" s="89">
        <v>-921.39449526471776</v>
      </c>
      <c r="CC151" s="88"/>
      <c r="CD151" s="89"/>
      <c r="CE151" s="89"/>
      <c r="CF151" s="89"/>
      <c r="CG151" s="89"/>
      <c r="CH151" s="89"/>
      <c r="CI151" s="88">
        <v>40309.300000000003</v>
      </c>
      <c r="CJ151" s="89">
        <v>7429.3</v>
      </c>
      <c r="CK151" s="89">
        <v>7327</v>
      </c>
      <c r="CL151" s="89">
        <v>102.3</v>
      </c>
      <c r="CM151" s="89">
        <v>32875.599999999999</v>
      </c>
      <c r="CN151" s="89">
        <v>4.4000000000000004</v>
      </c>
      <c r="CO151" s="88"/>
      <c r="CP151" s="89"/>
      <c r="CQ151" s="89"/>
      <c r="CR151" s="89"/>
      <c r="CS151" s="89"/>
      <c r="CT151" s="89"/>
      <c r="CU151" s="88">
        <v>26223.222568480865</v>
      </c>
      <c r="CV151" s="89">
        <v>13104.397549660864</v>
      </c>
      <c r="CW151" s="89">
        <v>13276.220926920863</v>
      </c>
      <c r="CX151" s="89">
        <v>-171.82337726000023</v>
      </c>
      <c r="CY151" s="89">
        <v>13118.82501882</v>
      </c>
      <c r="CZ151" s="89"/>
      <c r="DA151" s="88">
        <v>25536.678693539667</v>
      </c>
      <c r="DB151" s="89">
        <v>-3117.3142676050875</v>
      </c>
      <c r="DC151" s="89">
        <v>-3374.1080364150876</v>
      </c>
      <c r="DD151" s="89">
        <v>256.79376881000002</v>
      </c>
      <c r="DE151" s="89">
        <v>44346.857347906182</v>
      </c>
      <c r="DF151" s="89">
        <v>-15692.86438676143</v>
      </c>
      <c r="DG151" s="88">
        <v>151464.6</v>
      </c>
      <c r="DH151" s="89">
        <v>122246.6</v>
      </c>
      <c r="DI151" s="89"/>
      <c r="DJ151" s="89"/>
      <c r="DK151" s="89">
        <v>36784.800000000003</v>
      </c>
      <c r="DL151" s="89">
        <v>-7566.8</v>
      </c>
      <c r="DM151" s="88">
        <v>1984102.5460071298</v>
      </c>
      <c r="DN151" s="89">
        <v>1058851.4440000001</v>
      </c>
      <c r="DO151" s="89">
        <v>1001508.927</v>
      </c>
      <c r="DP151" s="89">
        <v>57342.517</v>
      </c>
      <c r="DQ151" s="89">
        <v>925251.10199999996</v>
      </c>
      <c r="DR151" s="89"/>
      <c r="DS151" s="88">
        <v>40889.624914525979</v>
      </c>
      <c r="DT151" s="89">
        <v>41888.644443709993</v>
      </c>
      <c r="DU151" s="89">
        <v>41627.602192709994</v>
      </c>
      <c r="DV151" s="89">
        <v>261.04225099999996</v>
      </c>
      <c r="DW151" s="89">
        <v>9656.0039563600003</v>
      </c>
      <c r="DX151" s="89">
        <v>-10655.023485544014</v>
      </c>
      <c r="DY151" s="88">
        <v>5641.4903859999995</v>
      </c>
      <c r="DZ151" s="89">
        <f t="shared" si="8"/>
        <v>-52.324999999999932</v>
      </c>
      <c r="EA151" s="89">
        <v>695.098614</v>
      </c>
      <c r="EB151" s="89">
        <v>-747.42361399999993</v>
      </c>
      <c r="EC151" s="89">
        <v>5693.8153860000002</v>
      </c>
      <c r="ED151" s="89"/>
      <c r="EE151" s="88"/>
      <c r="EF151" s="89"/>
      <c r="EG151" s="89"/>
      <c r="EH151" s="89"/>
      <c r="EI151" s="89"/>
      <c r="EJ151" s="89"/>
      <c r="EK151" s="88">
        <v>7999540.1220000014</v>
      </c>
      <c r="EL151" s="89">
        <v>322424.17099999986</v>
      </c>
      <c r="EM151" s="89">
        <v>290258.93799999985</v>
      </c>
      <c r="EN151" s="89">
        <v>32165.232999999993</v>
      </c>
      <c r="EO151" s="89">
        <v>7527308.574000001</v>
      </c>
      <c r="EP151" s="89">
        <v>149807.37700000001</v>
      </c>
      <c r="EQ151" s="88">
        <v>25467.624987169995</v>
      </c>
      <c r="ER151" s="89">
        <v>-9307.9210979000018</v>
      </c>
      <c r="ES151" s="89"/>
      <c r="ET151" s="89"/>
      <c r="EU151" s="89">
        <v>54672.993285390003</v>
      </c>
      <c r="EV151" s="89">
        <v>-19897.447200320006</v>
      </c>
      <c r="EW151" s="88">
        <v>155913.68505050146</v>
      </c>
      <c r="EX151" s="89">
        <f t="shared" si="14"/>
        <v>-2278.4073160000016</v>
      </c>
      <c r="EY151" s="89">
        <v>-8168.8274530000017</v>
      </c>
      <c r="EZ151" s="89">
        <v>5890.4201370000001</v>
      </c>
      <c r="FA151" s="89">
        <v>141763.738101</v>
      </c>
      <c r="FB151" s="89">
        <v>16428.354265501453</v>
      </c>
      <c r="FC151" s="88"/>
      <c r="FD151" s="89"/>
      <c r="FE151" s="89"/>
      <c r="FF151" s="89"/>
      <c r="FG151" s="89"/>
      <c r="FH151" s="89"/>
      <c r="FI151" s="88"/>
      <c r="FJ151" s="89"/>
      <c r="FK151" s="89"/>
      <c r="FL151" s="89"/>
      <c r="FM151" s="89"/>
      <c r="FN151" s="89"/>
      <c r="FO151" s="88"/>
      <c r="FP151" s="89"/>
      <c r="FQ151" s="89"/>
      <c r="FR151" s="89"/>
      <c r="FS151" s="89"/>
      <c r="FT151" s="89"/>
      <c r="FU151" s="88"/>
      <c r="FV151" s="89"/>
      <c r="FW151" s="89"/>
      <c r="FX151" s="89"/>
      <c r="FY151" s="89"/>
      <c r="FZ151" s="89"/>
      <c r="GA151" s="120">
        <v>15311.5</v>
      </c>
      <c r="GB151" s="121">
        <v>-611.90000000000009</v>
      </c>
      <c r="GC151" s="121">
        <v>-4050.5</v>
      </c>
      <c r="GD151" s="121">
        <v>3438.6</v>
      </c>
      <c r="GE151" s="121">
        <v>15923.3</v>
      </c>
      <c r="GF151" s="89"/>
      <c r="GG151" s="88"/>
      <c r="GH151" s="89"/>
      <c r="GI151" s="89"/>
      <c r="GJ151" s="89"/>
      <c r="GK151" s="89"/>
      <c r="GL151" s="89"/>
      <c r="GM151" s="88">
        <v>13207.285323685501</v>
      </c>
      <c r="GN151" s="89">
        <v>2909.7696212948008</v>
      </c>
      <c r="GO151" s="89">
        <v>2874.3616853333006</v>
      </c>
      <c r="GP151" s="89">
        <v>35.407935961500279</v>
      </c>
      <c r="GQ151" s="89">
        <v>9096.7846129927984</v>
      </c>
      <c r="GR151" s="89">
        <v>1200.7310893979002</v>
      </c>
      <c r="GS151" s="88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8"/>
      <c r="HM151" s="87"/>
      <c r="HN151" s="87"/>
      <c r="HO151" s="87"/>
      <c r="HP151" s="87"/>
      <c r="HQ151" s="87"/>
      <c r="HR151" s="87"/>
      <c r="HS151" s="87"/>
    </row>
    <row r="152" spans="1:227">
      <c r="A152" s="69"/>
      <c r="B152" s="87" t="s">
        <v>493</v>
      </c>
      <c r="C152" s="88"/>
      <c r="D152" s="87"/>
      <c r="E152" s="87"/>
      <c r="F152" s="87"/>
      <c r="G152" s="87"/>
      <c r="H152" s="87"/>
      <c r="I152" s="88">
        <v>139077.07799999998</v>
      </c>
      <c r="J152" s="89">
        <v>145655.72899999999</v>
      </c>
      <c r="K152" s="89"/>
      <c r="L152" s="89"/>
      <c r="M152" s="89">
        <v>53902.402999999998</v>
      </c>
      <c r="N152" s="89">
        <v>-60481.053999999996</v>
      </c>
      <c r="O152" s="90"/>
      <c r="P152" s="91"/>
      <c r="Q152" s="91"/>
      <c r="R152" s="91"/>
      <c r="S152" s="91"/>
      <c r="T152" s="91"/>
      <c r="U152" s="90"/>
      <c r="V152" s="91"/>
      <c r="W152" s="91"/>
      <c r="X152" s="91"/>
      <c r="Y152" s="91"/>
      <c r="Z152" s="91"/>
      <c r="AA152" s="88">
        <v>1025.309</v>
      </c>
      <c r="AB152" s="89">
        <v>194.846</v>
      </c>
      <c r="AC152" s="89">
        <v>95.302000000000007</v>
      </c>
      <c r="AD152" s="89">
        <v>99.543999999999997</v>
      </c>
      <c r="AE152" s="89">
        <v>830.46299999999997</v>
      </c>
      <c r="AF152" s="89"/>
      <c r="AG152" s="88">
        <v>36232.808079725997</v>
      </c>
      <c r="AH152" s="89">
        <v>7526.7220797259997</v>
      </c>
      <c r="AI152" s="89">
        <v>7526.7220797259997</v>
      </c>
      <c r="AJ152" s="89"/>
      <c r="AK152" s="89">
        <v>28706.085999999999</v>
      </c>
      <c r="AL152" s="89"/>
      <c r="AM152" s="88"/>
      <c r="AN152" s="89"/>
      <c r="AO152" s="89"/>
      <c r="AP152" s="89"/>
      <c r="AQ152" s="89"/>
      <c r="AR152" s="89"/>
      <c r="AS152" s="88">
        <v>27525000</v>
      </c>
      <c r="AT152" s="89">
        <v>2840000</v>
      </c>
      <c r="AU152" s="89">
        <v>2840000</v>
      </c>
      <c r="AV152" s="89"/>
      <c r="AW152" s="89">
        <v>29021000</v>
      </c>
      <c r="AX152" s="89">
        <v>-4336000</v>
      </c>
      <c r="AY152" s="88">
        <v>63798872.018290393</v>
      </c>
      <c r="AZ152" s="89">
        <f t="shared" si="13"/>
        <v>17581529.303552151</v>
      </c>
      <c r="BA152" s="89">
        <v>11469137.620806236</v>
      </c>
      <c r="BB152" s="89">
        <v>6112391.6827459168</v>
      </c>
      <c r="BC152" s="89">
        <v>46217342.714738242</v>
      </c>
      <c r="BD152" s="89"/>
      <c r="BE152" s="88">
        <v>2273268.1377273099</v>
      </c>
      <c r="BF152" s="89">
        <v>207228.56930925002</v>
      </c>
      <c r="BG152" s="89">
        <v>193288.96147991001</v>
      </c>
      <c r="BH152" s="89">
        <v>13939.607829340001</v>
      </c>
      <c r="BI152" s="89">
        <v>1625942.0673099998</v>
      </c>
      <c r="BJ152" s="89">
        <v>438097.50110806001</v>
      </c>
      <c r="BK152" s="88"/>
      <c r="BL152" s="89"/>
      <c r="BM152" s="89"/>
      <c r="BN152" s="89"/>
      <c r="BO152" s="89"/>
      <c r="BP152" s="89"/>
      <c r="BQ152" s="88"/>
      <c r="BR152" s="89"/>
      <c r="BS152" s="89"/>
      <c r="BT152" s="89"/>
      <c r="BU152" s="89"/>
      <c r="BV152" s="89"/>
      <c r="BW152" s="88">
        <v>5028.5377362650579</v>
      </c>
      <c r="BX152" s="89">
        <v>407.89467464857137</v>
      </c>
      <c r="BY152" s="89">
        <v>366.05376178857136</v>
      </c>
      <c r="BZ152" s="89">
        <v>41.840912859999996</v>
      </c>
      <c r="CA152" s="89">
        <v>5555.9333156849434</v>
      </c>
      <c r="CB152" s="89">
        <v>-935.2950750106578</v>
      </c>
      <c r="CC152" s="88"/>
      <c r="CD152" s="89"/>
      <c r="CE152" s="89"/>
      <c r="CF152" s="89"/>
      <c r="CG152" s="89"/>
      <c r="CH152" s="89"/>
      <c r="CI152" s="88">
        <v>39582.699999999997</v>
      </c>
      <c r="CJ152" s="89">
        <v>7061</v>
      </c>
      <c r="CK152" s="89">
        <v>6937.7</v>
      </c>
      <c r="CL152" s="89">
        <v>123.3</v>
      </c>
      <c r="CM152" s="89">
        <v>32900.699999999997</v>
      </c>
      <c r="CN152" s="89">
        <v>-379.1</v>
      </c>
      <c r="CO152" s="88"/>
      <c r="CP152" s="89"/>
      <c r="CQ152" s="89"/>
      <c r="CR152" s="89"/>
      <c r="CS152" s="89"/>
      <c r="CT152" s="89"/>
      <c r="CU152" s="88">
        <v>26818.736903616766</v>
      </c>
      <c r="CV152" s="89">
        <v>13330.306954506768</v>
      </c>
      <c r="CW152" s="89">
        <v>13495.918926257496</v>
      </c>
      <c r="CX152" s="89">
        <v>-165.61197175072817</v>
      </c>
      <c r="CY152" s="89">
        <v>13488.429949109999</v>
      </c>
      <c r="CZ152" s="89"/>
      <c r="DA152" s="88">
        <v>26152.748846092512</v>
      </c>
      <c r="DB152" s="89">
        <v>-3018.1851899304293</v>
      </c>
      <c r="DC152" s="89">
        <v>-3262.3827832804291</v>
      </c>
      <c r="DD152" s="89">
        <v>244.19759335000001</v>
      </c>
      <c r="DE152" s="89">
        <v>43971.766098816734</v>
      </c>
      <c r="DF152" s="89">
        <v>-14800.83206279379</v>
      </c>
      <c r="DG152" s="88">
        <v>152036</v>
      </c>
      <c r="DH152" s="89">
        <v>122207.1</v>
      </c>
      <c r="DI152" s="89"/>
      <c r="DJ152" s="89"/>
      <c r="DK152" s="89">
        <v>37862.400000000001</v>
      </c>
      <c r="DL152" s="89">
        <v>-8033.5</v>
      </c>
      <c r="DM152" s="88">
        <v>2027335.6954703601</v>
      </c>
      <c r="DN152" s="89">
        <v>1023974.7709999999</v>
      </c>
      <c r="DO152" s="89">
        <v>965077.02599999995</v>
      </c>
      <c r="DP152" s="89">
        <v>58897.744999999995</v>
      </c>
      <c r="DQ152" s="89">
        <v>1003160.924</v>
      </c>
      <c r="DR152" s="89"/>
      <c r="DS152" s="88">
        <v>41405.367888803652</v>
      </c>
      <c r="DT152" s="89">
        <v>42168.222533179993</v>
      </c>
      <c r="DU152" s="89">
        <v>41913.477161179995</v>
      </c>
      <c r="DV152" s="89">
        <v>254.74537200000003</v>
      </c>
      <c r="DW152" s="89">
        <v>9959.4263498</v>
      </c>
      <c r="DX152" s="89">
        <v>-10722.280994176344</v>
      </c>
      <c r="DY152" s="88">
        <v>5706.2642750000005</v>
      </c>
      <c r="DZ152" s="89">
        <f t="shared" si="8"/>
        <v>-5.127303999999981</v>
      </c>
      <c r="EA152" s="89">
        <v>741.31611699999996</v>
      </c>
      <c r="EB152" s="89">
        <v>-746.44342099999994</v>
      </c>
      <c r="EC152" s="89">
        <v>5711.3915790000001</v>
      </c>
      <c r="ED152" s="89"/>
      <c r="EE152" s="88"/>
      <c r="EF152" s="89"/>
      <c r="EG152" s="89"/>
      <c r="EH152" s="89"/>
      <c r="EI152" s="89"/>
      <c r="EJ152" s="89"/>
      <c r="EK152" s="88">
        <v>8186219.2050000001</v>
      </c>
      <c r="EL152" s="89">
        <v>432762.79299999983</v>
      </c>
      <c r="EM152" s="89">
        <v>428593.69099999988</v>
      </c>
      <c r="EN152" s="89">
        <v>4169.101999999948</v>
      </c>
      <c r="EO152" s="89">
        <v>7624397.7680000002</v>
      </c>
      <c r="EP152" s="89">
        <v>129058.644</v>
      </c>
      <c r="EQ152" s="88">
        <v>25673.991916960003</v>
      </c>
      <c r="ER152" s="89">
        <v>-9522.1453089999995</v>
      </c>
      <c r="ES152" s="89"/>
      <c r="ET152" s="89"/>
      <c r="EU152" s="89">
        <v>55639.806639200004</v>
      </c>
      <c r="EV152" s="89">
        <v>-20443.669413240001</v>
      </c>
      <c r="EW152" s="88">
        <v>157648.95848945307</v>
      </c>
      <c r="EX152" s="89">
        <f t="shared" si="14"/>
        <v>-1575.8891279999998</v>
      </c>
      <c r="EY152" s="89">
        <v>-7368.4667179999997</v>
      </c>
      <c r="EZ152" s="89">
        <v>5792.5775899999999</v>
      </c>
      <c r="FA152" s="89">
        <v>142585.29983099998</v>
      </c>
      <c r="FB152" s="89">
        <v>16639.547786453106</v>
      </c>
      <c r="FC152" s="88"/>
      <c r="FD152" s="89"/>
      <c r="FE152" s="89"/>
      <c r="FF152" s="89"/>
      <c r="FG152" s="89"/>
      <c r="FH152" s="89"/>
      <c r="FI152" s="88"/>
      <c r="FJ152" s="89"/>
      <c r="FK152" s="89"/>
      <c r="FL152" s="89"/>
      <c r="FM152" s="89"/>
      <c r="FN152" s="89"/>
      <c r="FO152" s="88"/>
      <c r="FP152" s="89"/>
      <c r="FQ152" s="89"/>
      <c r="FR152" s="89"/>
      <c r="FS152" s="89"/>
      <c r="FT152" s="89"/>
      <c r="FU152" s="88"/>
      <c r="FV152" s="89"/>
      <c r="FW152" s="89"/>
      <c r="FX152" s="89"/>
      <c r="FY152" s="89"/>
      <c r="FZ152" s="89"/>
      <c r="GA152" s="120">
        <v>15278.5</v>
      </c>
      <c r="GB152" s="121">
        <v>-859.70000000000027</v>
      </c>
      <c r="GC152" s="121">
        <v>-4389.8</v>
      </c>
      <c r="GD152" s="121">
        <v>3530.1</v>
      </c>
      <c r="GE152" s="121">
        <v>16138.2</v>
      </c>
      <c r="GF152" s="89"/>
      <c r="GG152" s="88"/>
      <c r="GH152" s="89"/>
      <c r="GI152" s="89"/>
      <c r="GJ152" s="89"/>
      <c r="GK152" s="89"/>
      <c r="GL152" s="89"/>
      <c r="GM152" s="88">
        <v>13544.7985221937</v>
      </c>
      <c r="GN152" s="89">
        <v>3227.0272927363999</v>
      </c>
      <c r="GO152" s="89">
        <v>3190.7081920010996</v>
      </c>
      <c r="GP152" s="89">
        <v>36.319100705299995</v>
      </c>
      <c r="GQ152" s="89">
        <v>9034.0461736117995</v>
      </c>
      <c r="GR152" s="89">
        <v>1283.7250558754999</v>
      </c>
      <c r="GS152" s="88"/>
      <c r="GT152" s="87"/>
      <c r="GU152" s="87"/>
      <c r="GV152" s="87"/>
      <c r="GW152" s="87"/>
      <c r="GX152" s="87"/>
      <c r="GY152" s="87"/>
      <c r="GZ152" s="88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8"/>
      <c r="HM152" s="87"/>
      <c r="HN152" s="87"/>
      <c r="HO152" s="87"/>
      <c r="HP152" s="87"/>
      <c r="HQ152" s="87"/>
      <c r="HR152" s="87"/>
      <c r="HS152" s="87"/>
    </row>
    <row r="153" spans="1:227">
      <c r="A153" s="69"/>
      <c r="B153" s="87" t="s">
        <v>494</v>
      </c>
      <c r="C153" s="88"/>
      <c r="D153" s="87"/>
      <c r="E153" s="87"/>
      <c r="F153" s="87"/>
      <c r="G153" s="87"/>
      <c r="H153" s="87"/>
      <c r="I153" s="88">
        <v>145549.84600000002</v>
      </c>
      <c r="J153" s="89">
        <v>160266.19500000001</v>
      </c>
      <c r="K153" s="89"/>
      <c r="L153" s="89"/>
      <c r="M153" s="89">
        <v>53643.881000000001</v>
      </c>
      <c r="N153" s="89">
        <v>-68360.23</v>
      </c>
      <c r="O153" s="90"/>
      <c r="P153" s="91"/>
      <c r="Q153" s="91"/>
      <c r="R153" s="91"/>
      <c r="S153" s="91"/>
      <c r="T153" s="91"/>
      <c r="U153" s="90"/>
      <c r="V153" s="91"/>
      <c r="W153" s="91"/>
      <c r="X153" s="91"/>
      <c r="Y153" s="91"/>
      <c r="Z153" s="91"/>
      <c r="AA153" s="88">
        <v>1054.6990000000001</v>
      </c>
      <c r="AB153" s="89">
        <v>213.08100000000002</v>
      </c>
      <c r="AC153" s="89">
        <v>113.318</v>
      </c>
      <c r="AD153" s="89">
        <v>99.763000000000005</v>
      </c>
      <c r="AE153" s="89">
        <v>841.61800000000005</v>
      </c>
      <c r="AF153" s="89"/>
      <c r="AG153" s="88">
        <v>36679.786537870001</v>
      </c>
      <c r="AH153" s="89">
        <v>7851.3095378699991</v>
      </c>
      <c r="AI153" s="89">
        <v>7851.3095378699991</v>
      </c>
      <c r="AJ153" s="89"/>
      <c r="AK153" s="89">
        <v>28828.476999999999</v>
      </c>
      <c r="AL153" s="89"/>
      <c r="AM153" s="88"/>
      <c r="AN153" s="89"/>
      <c r="AO153" s="89"/>
      <c r="AP153" s="89"/>
      <c r="AQ153" s="89"/>
      <c r="AR153" s="89"/>
      <c r="AS153" s="88">
        <v>27395000</v>
      </c>
      <c r="AT153" s="89">
        <v>3592000</v>
      </c>
      <c r="AU153" s="89">
        <v>3592000</v>
      </c>
      <c r="AV153" s="89"/>
      <c r="AW153" s="89">
        <v>29278000</v>
      </c>
      <c r="AX153" s="89">
        <v>-5675000</v>
      </c>
      <c r="AY153" s="88">
        <v>64588974.001740605</v>
      </c>
      <c r="AZ153" s="89">
        <f t="shared" si="13"/>
        <v>19137751.730115119</v>
      </c>
      <c r="BA153" s="89">
        <v>13002505.28045265</v>
      </c>
      <c r="BB153" s="89">
        <v>6135246.4496624684</v>
      </c>
      <c r="BC153" s="89">
        <v>45451222.271625489</v>
      </c>
      <c r="BD153" s="89"/>
      <c r="BE153" s="88">
        <v>2279014.6258368199</v>
      </c>
      <c r="BF153" s="89">
        <v>208864.06655133999</v>
      </c>
      <c r="BG153" s="89">
        <v>192980.68952193999</v>
      </c>
      <c r="BH153" s="89">
        <v>15883.377029400001</v>
      </c>
      <c r="BI153" s="89">
        <v>1647461.9569367301</v>
      </c>
      <c r="BJ153" s="89">
        <v>422688.60234874999</v>
      </c>
      <c r="BK153" s="88"/>
      <c r="BL153" s="89"/>
      <c r="BM153" s="89"/>
      <c r="BN153" s="89"/>
      <c r="BO153" s="89"/>
      <c r="BP153" s="89"/>
      <c r="BQ153" s="88">
        <v>5934.9</v>
      </c>
      <c r="BR153" s="89">
        <v>-2.3000000000000114</v>
      </c>
      <c r="BS153" s="89" t="s">
        <v>502</v>
      </c>
      <c r="BT153" s="89">
        <v>-338.3</v>
      </c>
      <c r="BU153" s="89">
        <v>5937.2</v>
      </c>
      <c r="BV153" s="89"/>
      <c r="BW153" s="88">
        <v>5083.0564887600976</v>
      </c>
      <c r="BX153" s="89">
        <v>474.08511168857149</v>
      </c>
      <c r="BY153" s="89">
        <v>411.20511168857149</v>
      </c>
      <c r="BZ153" s="89">
        <v>62.88</v>
      </c>
      <c r="CA153" s="89">
        <v>5560.3295492699035</v>
      </c>
      <c r="CB153" s="89">
        <v>-951.36325768561767</v>
      </c>
      <c r="CC153" s="88"/>
      <c r="CD153" s="89"/>
      <c r="CE153" s="89"/>
      <c r="CF153" s="89"/>
      <c r="CG153" s="89"/>
      <c r="CH153" s="89"/>
      <c r="CI153" s="88">
        <v>40156.400000000001</v>
      </c>
      <c r="CJ153" s="89">
        <v>6741.8</v>
      </c>
      <c r="CK153" s="89">
        <v>6576.8</v>
      </c>
      <c r="CL153" s="89">
        <v>165</v>
      </c>
      <c r="CM153" s="89">
        <v>33400.199999999997</v>
      </c>
      <c r="CN153" s="89">
        <v>14.4</v>
      </c>
      <c r="CO153" s="88">
        <v>24094.5</v>
      </c>
      <c r="CP153" s="89">
        <v>-25015.9</v>
      </c>
      <c r="CQ153" s="89">
        <v>-17719.3</v>
      </c>
      <c r="CR153" s="89">
        <v>-7296.6000000000022</v>
      </c>
      <c r="CS153" s="89">
        <v>56850.8</v>
      </c>
      <c r="CT153" s="89">
        <v>-7740.4</v>
      </c>
      <c r="CU153" s="88">
        <v>27056.98338076099</v>
      </c>
      <c r="CV153" s="89">
        <v>13536.76627019099</v>
      </c>
      <c r="CW153" s="89">
        <v>13673.986173070989</v>
      </c>
      <c r="CX153" s="89">
        <v>-137.21990288000015</v>
      </c>
      <c r="CY153" s="89">
        <v>13520.21711057</v>
      </c>
      <c r="CZ153" s="89"/>
      <c r="DA153" s="88">
        <v>25423.000513818315</v>
      </c>
      <c r="DB153" s="89">
        <v>-2800.5536483521123</v>
      </c>
      <c r="DC153" s="89">
        <v>-3039.0241270021124</v>
      </c>
      <c r="DD153" s="89">
        <v>238.47047865000002</v>
      </c>
      <c r="DE153" s="89">
        <v>43641.837186488003</v>
      </c>
      <c r="DF153" s="89">
        <v>-15418.283024317574</v>
      </c>
      <c r="DG153" s="88">
        <v>147499.6</v>
      </c>
      <c r="DH153" s="89">
        <v>114339.1</v>
      </c>
      <c r="DI153" s="89"/>
      <c r="DJ153" s="89"/>
      <c r="DK153" s="89">
        <v>39094.699999999997</v>
      </c>
      <c r="DL153" s="89">
        <v>-5934.2</v>
      </c>
      <c r="DM153" s="88">
        <v>2091110.06822534</v>
      </c>
      <c r="DN153" s="89">
        <v>1058932.906</v>
      </c>
      <c r="DO153" s="89">
        <v>1000138.666</v>
      </c>
      <c r="DP153" s="89">
        <v>58794.240000000005</v>
      </c>
      <c r="DQ153" s="89">
        <v>1032177.162</v>
      </c>
      <c r="DR153" s="89"/>
      <c r="DS153" s="88">
        <v>41845.160508712783</v>
      </c>
      <c r="DT153" s="89">
        <v>42901.693948430009</v>
      </c>
      <c r="DU153" s="89">
        <v>42652.142350430011</v>
      </c>
      <c r="DV153" s="89">
        <v>249.55159800000001</v>
      </c>
      <c r="DW153" s="89">
        <v>9880.9529685199996</v>
      </c>
      <c r="DX153" s="89">
        <v>-10937.486408237239</v>
      </c>
      <c r="DY153" s="88">
        <v>5807.8997060000002</v>
      </c>
      <c r="DZ153" s="89">
        <f t="shared" si="8"/>
        <v>12.905966000000035</v>
      </c>
      <c r="EA153" s="89">
        <v>745.57922600000006</v>
      </c>
      <c r="EB153" s="89">
        <v>-732.67326000000003</v>
      </c>
      <c r="EC153" s="89">
        <v>5794.9937399999999</v>
      </c>
      <c r="ED153" s="89"/>
      <c r="EE153" s="88"/>
      <c r="EF153" s="89"/>
      <c r="EG153" s="89"/>
      <c r="EH153" s="89"/>
      <c r="EI153" s="89"/>
      <c r="EJ153" s="89"/>
      <c r="EK153" s="88">
        <v>8161854.2319999998</v>
      </c>
      <c r="EL153" s="89">
        <v>537650.87999999977</v>
      </c>
      <c r="EM153" s="89">
        <v>501493.92499999981</v>
      </c>
      <c r="EN153" s="89">
        <v>36156.955000000002</v>
      </c>
      <c r="EO153" s="89">
        <v>7544192.1339999996</v>
      </c>
      <c r="EP153" s="89">
        <v>80011.218000000008</v>
      </c>
      <c r="EQ153" s="88">
        <v>26112.098701160001</v>
      </c>
      <c r="ER153" s="89">
        <v>-8926.32548159</v>
      </c>
      <c r="ES153" s="89"/>
      <c r="ET153" s="89"/>
      <c r="EU153" s="89">
        <v>55835.424031599992</v>
      </c>
      <c r="EV153" s="89">
        <v>-20796.999848849991</v>
      </c>
      <c r="EW153" s="88">
        <v>162681.60759645974</v>
      </c>
      <c r="EX153" s="89">
        <f t="shared" si="14"/>
        <v>-468.44796500000029</v>
      </c>
      <c r="EY153" s="89">
        <v>-6393.6750240000001</v>
      </c>
      <c r="EZ153" s="89">
        <v>5925.2270589999998</v>
      </c>
      <c r="FA153" s="89">
        <v>147121.93399799999</v>
      </c>
      <c r="FB153" s="89">
        <v>16028.121563459732</v>
      </c>
      <c r="FC153" s="88"/>
      <c r="FD153" s="89"/>
      <c r="FE153" s="89"/>
      <c r="FF153" s="89"/>
      <c r="FG153" s="89"/>
      <c r="FH153" s="89"/>
      <c r="FI153" s="88"/>
      <c r="FJ153" s="89"/>
      <c r="FK153" s="89"/>
      <c r="FL153" s="89"/>
      <c r="FM153" s="89"/>
      <c r="FN153" s="89"/>
      <c r="FO153" s="88"/>
      <c r="FP153" s="89"/>
      <c r="FQ153" s="89"/>
      <c r="FR153" s="89"/>
      <c r="FS153" s="89"/>
      <c r="FT153" s="89"/>
      <c r="FU153" s="88"/>
      <c r="FV153" s="89"/>
      <c r="FW153" s="89"/>
      <c r="FX153" s="89"/>
      <c r="FY153" s="89"/>
      <c r="FZ153" s="89"/>
      <c r="GA153" s="120">
        <v>14731</v>
      </c>
      <c r="GB153" s="121">
        <v>-1437.2000000000003</v>
      </c>
      <c r="GC153" s="121">
        <v>-4798.8</v>
      </c>
      <c r="GD153" s="121">
        <v>3361.6</v>
      </c>
      <c r="GE153" s="121">
        <v>16168.2</v>
      </c>
      <c r="GF153" s="89"/>
      <c r="GG153" s="88"/>
      <c r="GH153" s="89"/>
      <c r="GI153" s="89"/>
      <c r="GJ153" s="89"/>
      <c r="GK153" s="89"/>
      <c r="GL153" s="89"/>
      <c r="GM153" s="88">
        <v>13916.660547646101</v>
      </c>
      <c r="GN153" s="89">
        <v>4026.2132581179999</v>
      </c>
      <c r="GO153" s="89">
        <v>3989.8205805779999</v>
      </c>
      <c r="GP153" s="89">
        <v>36.392677540000065</v>
      </c>
      <c r="GQ153" s="89">
        <v>9192.1744291763025</v>
      </c>
      <c r="GR153" s="89">
        <v>698.27286035179998</v>
      </c>
      <c r="GS153" s="88"/>
      <c r="GT153" s="87"/>
      <c r="GU153" s="87"/>
      <c r="GV153" s="87"/>
      <c r="GW153" s="87"/>
      <c r="GX153" s="87"/>
      <c r="GY153" s="87"/>
      <c r="GZ153" s="88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8"/>
      <c r="HM153" s="87"/>
      <c r="HN153" s="87"/>
      <c r="HO153" s="87"/>
      <c r="HP153" s="87"/>
      <c r="HQ153" s="87"/>
      <c r="HR153" s="87"/>
      <c r="HS153" s="87"/>
    </row>
    <row r="154" spans="1:227">
      <c r="A154" s="69"/>
      <c r="B154" s="87" t="s">
        <v>495</v>
      </c>
      <c r="C154" s="88"/>
      <c r="D154" s="87"/>
      <c r="E154" s="87"/>
      <c r="F154" s="87"/>
      <c r="G154" s="87"/>
      <c r="H154" s="87"/>
      <c r="I154" s="88">
        <v>141824.234</v>
      </c>
      <c r="J154" s="89">
        <v>158039.72200000001</v>
      </c>
      <c r="K154" s="89"/>
      <c r="L154" s="89"/>
      <c r="M154" s="89">
        <v>52607.142999999996</v>
      </c>
      <c r="N154" s="89">
        <v>-68822.630999999994</v>
      </c>
      <c r="O154" s="90"/>
      <c r="P154" s="91"/>
      <c r="Q154" s="91"/>
      <c r="R154" s="91"/>
      <c r="S154" s="91"/>
      <c r="T154" s="91"/>
      <c r="U154" s="90"/>
      <c r="V154" s="91"/>
      <c r="W154" s="91"/>
      <c r="X154" s="91"/>
      <c r="Y154" s="91"/>
      <c r="Z154" s="91"/>
      <c r="AA154" s="88">
        <v>1068.7429999999999</v>
      </c>
      <c r="AB154" s="89">
        <v>220.113</v>
      </c>
      <c r="AC154" s="89">
        <v>120.595</v>
      </c>
      <c r="AD154" s="89">
        <v>99.518000000000001</v>
      </c>
      <c r="AE154" s="89">
        <v>848.63</v>
      </c>
      <c r="AF154" s="89"/>
      <c r="AG154" s="88">
        <v>36795.145137996005</v>
      </c>
      <c r="AH154" s="89">
        <v>8080.7811379960003</v>
      </c>
      <c r="AI154" s="89">
        <v>8080.7811379960003</v>
      </c>
      <c r="AJ154" s="89"/>
      <c r="AK154" s="89">
        <v>28714.364000000001</v>
      </c>
      <c r="AL154" s="89"/>
      <c r="AM154" s="88"/>
      <c r="AN154" s="89"/>
      <c r="AO154" s="89"/>
      <c r="AP154" s="89"/>
      <c r="AQ154" s="89"/>
      <c r="AR154" s="89"/>
      <c r="AS154" s="88">
        <v>27348000</v>
      </c>
      <c r="AT154" s="89">
        <v>3382000</v>
      </c>
      <c r="AU154" s="89">
        <v>3382000</v>
      </c>
      <c r="AV154" s="89"/>
      <c r="AW154" s="89">
        <v>29496000</v>
      </c>
      <c r="AX154" s="89">
        <v>-5530000</v>
      </c>
      <c r="AY154" s="88">
        <v>64967080.66373229</v>
      </c>
      <c r="AZ154" s="89">
        <f t="shared" si="13"/>
        <v>18894426.359464355</v>
      </c>
      <c r="BA154" s="89">
        <v>12680757.311604589</v>
      </c>
      <c r="BB154" s="89">
        <v>6213669.0478597675</v>
      </c>
      <c r="BC154" s="89">
        <v>46072654.304267935</v>
      </c>
      <c r="BD154" s="89"/>
      <c r="BE154" s="88">
        <v>2309412.92102991</v>
      </c>
      <c r="BF154" s="89">
        <v>229559.24783482001</v>
      </c>
      <c r="BG154" s="89">
        <v>213711.85384507</v>
      </c>
      <c r="BH154" s="89">
        <v>15847.39398975</v>
      </c>
      <c r="BI154" s="89">
        <v>1673564.44027822</v>
      </c>
      <c r="BJ154" s="89">
        <v>406289.23291686998</v>
      </c>
      <c r="BK154" s="88"/>
      <c r="BL154" s="89"/>
      <c r="BM154" s="89"/>
      <c r="BN154" s="89"/>
      <c r="BO154" s="89"/>
      <c r="BP154" s="89"/>
      <c r="BQ154" s="88"/>
      <c r="BR154" s="89"/>
      <c r="BS154" s="89"/>
      <c r="BT154" s="89"/>
      <c r="BU154" s="89"/>
      <c r="BV154" s="89"/>
      <c r="BW154" s="88">
        <v>4952.1726358928563</v>
      </c>
      <c r="BX154" s="89">
        <v>371.87180440857128</v>
      </c>
      <c r="BY154" s="89">
        <v>308.46880440857126</v>
      </c>
      <c r="BZ154" s="89">
        <v>63.403000000000006</v>
      </c>
      <c r="CA154" s="89">
        <v>5560.8496925171421</v>
      </c>
      <c r="CB154" s="89">
        <v>-980.54886103285742</v>
      </c>
      <c r="CC154" s="88"/>
      <c r="CD154" s="89"/>
      <c r="CE154" s="89"/>
      <c r="CF154" s="89"/>
      <c r="CG154" s="89"/>
      <c r="CH154" s="89"/>
      <c r="CI154" s="88">
        <v>41185.1</v>
      </c>
      <c r="CJ154" s="89">
        <v>7379.4000000000005</v>
      </c>
      <c r="CK154" s="89">
        <v>7238.3</v>
      </c>
      <c r="CL154" s="89">
        <v>141.1</v>
      </c>
      <c r="CM154" s="89">
        <v>33599.5</v>
      </c>
      <c r="CN154" s="89">
        <v>206.1</v>
      </c>
      <c r="CO154" s="88"/>
      <c r="CP154" s="89"/>
      <c r="CQ154" s="89"/>
      <c r="CR154" s="89"/>
      <c r="CS154" s="89"/>
      <c r="CT154" s="89"/>
      <c r="CU154" s="88">
        <v>28258.325240714508</v>
      </c>
      <c r="CV154" s="89">
        <v>14215.373235852912</v>
      </c>
      <c r="CW154" s="89">
        <v>14313.286568176169</v>
      </c>
      <c r="CX154" s="89">
        <v>-97.913332323256142</v>
      </c>
      <c r="CY154" s="89">
        <v>14042.952004861596</v>
      </c>
      <c r="CZ154" s="89"/>
      <c r="DA154" s="88">
        <v>25944.445783547628</v>
      </c>
      <c r="DB154" s="89">
        <v>-2659.203626990688</v>
      </c>
      <c r="DC154" s="89">
        <v>-2902.5927733206881</v>
      </c>
      <c r="DD154" s="89">
        <v>243.38914632999999</v>
      </c>
      <c r="DE154" s="89">
        <v>44102.166985236574</v>
      </c>
      <c r="DF154" s="89">
        <v>-15498.517574698257</v>
      </c>
      <c r="DG154" s="88">
        <v>157454.39999999999</v>
      </c>
      <c r="DH154" s="89">
        <v>124895.6</v>
      </c>
      <c r="DI154" s="89"/>
      <c r="DJ154" s="89"/>
      <c r="DK154" s="89">
        <v>39188.5</v>
      </c>
      <c r="DL154" s="89">
        <v>-6629.7</v>
      </c>
      <c r="DM154" s="88">
        <v>2083848.2130876798</v>
      </c>
      <c r="DN154" s="89">
        <v>1056490.3459999999</v>
      </c>
      <c r="DO154" s="89">
        <v>998169.44299999997</v>
      </c>
      <c r="DP154" s="89">
        <v>58320.903000000006</v>
      </c>
      <c r="DQ154" s="89">
        <v>1027357.867</v>
      </c>
      <c r="DR154" s="89"/>
      <c r="DS154" s="88">
        <v>42320.568882026681</v>
      </c>
      <c r="DT154" s="89">
        <v>42374.044114590004</v>
      </c>
      <c r="DU154" s="89">
        <v>42124.53784959</v>
      </c>
      <c r="DV154" s="89">
        <v>249.50626500000001</v>
      </c>
      <c r="DW154" s="89">
        <v>10087.281057820001</v>
      </c>
      <c r="DX154" s="89">
        <v>-10140.756290383313</v>
      </c>
      <c r="DY154" s="88">
        <v>5554.5505110000004</v>
      </c>
      <c r="DZ154" s="89">
        <f t="shared" si="8"/>
        <v>-250.65050100000002</v>
      </c>
      <c r="EA154" s="89">
        <v>502.95548700000001</v>
      </c>
      <c r="EB154" s="89">
        <v>-753.60598800000002</v>
      </c>
      <c r="EC154" s="89">
        <v>5805.2010120000004</v>
      </c>
      <c r="ED154" s="89"/>
      <c r="EE154" s="88"/>
      <c r="EF154" s="89"/>
      <c r="EG154" s="89"/>
      <c r="EH154" s="89"/>
      <c r="EI154" s="89"/>
      <c r="EJ154" s="89"/>
      <c r="EK154" s="88">
        <v>8394515.1629999988</v>
      </c>
      <c r="EL154" s="89">
        <v>712781.14099999983</v>
      </c>
      <c r="EM154" s="89">
        <v>650571.90799999982</v>
      </c>
      <c r="EN154" s="89">
        <v>62209.232999999993</v>
      </c>
      <c r="EO154" s="89">
        <v>7604813.0319999997</v>
      </c>
      <c r="EP154" s="89">
        <v>76920.989999999991</v>
      </c>
      <c r="EQ154" s="88">
        <v>25674.082772760001</v>
      </c>
      <c r="ER154" s="89">
        <v>-9168.9121530000011</v>
      </c>
      <c r="ES154" s="89"/>
      <c r="ET154" s="89"/>
      <c r="EU154" s="89">
        <v>56426.741386399997</v>
      </c>
      <c r="EV154" s="89">
        <v>-21583.746460639995</v>
      </c>
      <c r="EW154" s="88">
        <v>162978.42313314922</v>
      </c>
      <c r="EX154" s="89">
        <f t="shared" si="14"/>
        <v>1010.3146340000021</v>
      </c>
      <c r="EY154" s="89">
        <v>-4747.5913669999973</v>
      </c>
      <c r="EZ154" s="89">
        <v>5757.9060009999994</v>
      </c>
      <c r="FA154" s="89">
        <v>146245.28985999999</v>
      </c>
      <c r="FB154" s="89">
        <v>15722.818639149245</v>
      </c>
      <c r="FC154" s="88"/>
      <c r="FD154" s="89"/>
      <c r="FE154" s="89"/>
      <c r="FF154" s="89"/>
      <c r="FG154" s="89"/>
      <c r="FH154" s="89"/>
      <c r="FI154" s="88"/>
      <c r="FJ154" s="89"/>
      <c r="FK154" s="89"/>
      <c r="FL154" s="89"/>
      <c r="FM154" s="89"/>
      <c r="FN154" s="89"/>
      <c r="FO154" s="88"/>
      <c r="FP154" s="89"/>
      <c r="FQ154" s="89"/>
      <c r="FR154" s="89"/>
      <c r="FS154" s="89"/>
      <c r="FT154" s="89"/>
      <c r="FU154" s="88"/>
      <c r="FV154" s="89"/>
      <c r="FW154" s="89"/>
      <c r="FX154" s="89"/>
      <c r="FY154" s="89"/>
      <c r="FZ154" s="89"/>
      <c r="GA154" s="120">
        <v>14330.4</v>
      </c>
      <c r="GB154" s="121">
        <v>-1974.5</v>
      </c>
      <c r="GC154" s="121">
        <v>-5220.5</v>
      </c>
      <c r="GD154" s="121">
        <v>3246</v>
      </c>
      <c r="GE154" s="121">
        <v>16304.9</v>
      </c>
      <c r="GF154" s="89"/>
      <c r="GG154" s="88"/>
      <c r="GH154" s="89"/>
      <c r="GI154" s="89"/>
      <c r="GJ154" s="89"/>
      <c r="GK154" s="89"/>
      <c r="GL154" s="89"/>
      <c r="GM154" s="88">
        <v>14808.385900335301</v>
      </c>
      <c r="GN154" s="89">
        <v>4037.0626712035005</v>
      </c>
      <c r="GO154" s="89">
        <v>4004.1646015771003</v>
      </c>
      <c r="GP154" s="89">
        <v>32.89806962640025</v>
      </c>
      <c r="GQ154" s="89">
        <v>9282.506830635899</v>
      </c>
      <c r="GR154" s="89">
        <v>1488.8163984958999</v>
      </c>
      <c r="GS154" s="88"/>
      <c r="GT154" s="87"/>
      <c r="GU154" s="87"/>
      <c r="GV154" s="87"/>
      <c r="GW154" s="87"/>
      <c r="GX154" s="87"/>
      <c r="GY154" s="87"/>
      <c r="GZ154" s="88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8"/>
      <c r="HM154" s="87"/>
      <c r="HN154" s="87"/>
      <c r="HO154" s="87"/>
      <c r="HP154" s="87"/>
      <c r="HQ154" s="87"/>
      <c r="HR154" s="87"/>
      <c r="HS154" s="87"/>
    </row>
    <row r="155" spans="1:227">
      <c r="A155" s="69"/>
      <c r="B155" s="87" t="s">
        <v>496</v>
      </c>
      <c r="C155" s="88"/>
      <c r="D155" s="87"/>
      <c r="E155" s="87"/>
      <c r="F155" s="87"/>
      <c r="G155" s="87"/>
      <c r="H155" s="87"/>
      <c r="I155" s="88">
        <v>141503.75799999997</v>
      </c>
      <c r="J155" s="89">
        <v>158932.35999999999</v>
      </c>
      <c r="K155" s="89"/>
      <c r="L155" s="89"/>
      <c r="M155" s="89">
        <v>51911.070999999996</v>
      </c>
      <c r="N155" s="89">
        <v>-69339.672999999995</v>
      </c>
      <c r="O155" s="90"/>
      <c r="P155" s="91"/>
      <c r="Q155" s="91"/>
      <c r="R155" s="91"/>
      <c r="S155" s="91"/>
      <c r="T155" s="91"/>
      <c r="U155" s="90"/>
      <c r="V155" s="91"/>
      <c r="W155" s="91"/>
      <c r="X155" s="91"/>
      <c r="Y155" s="91"/>
      <c r="Z155" s="91"/>
      <c r="AA155" s="88">
        <v>953.75900000000001</v>
      </c>
      <c r="AB155" s="89">
        <v>89.737000000000009</v>
      </c>
      <c r="AC155" s="89">
        <v>-8.8979999999999997</v>
      </c>
      <c r="AD155" s="89">
        <v>98.635000000000005</v>
      </c>
      <c r="AE155" s="89">
        <v>864.02200000000005</v>
      </c>
      <c r="AF155" s="89"/>
      <c r="AG155" s="88">
        <v>37064.413242424002</v>
      </c>
      <c r="AH155" s="89">
        <v>8421.5682424240003</v>
      </c>
      <c r="AI155" s="89">
        <v>8421.5682424240003</v>
      </c>
      <c r="AJ155" s="89"/>
      <c r="AK155" s="89">
        <v>28642.845000000001</v>
      </c>
      <c r="AL155" s="89"/>
      <c r="AM155" s="88"/>
      <c r="AN155" s="89"/>
      <c r="AO155" s="89"/>
      <c r="AP155" s="89"/>
      <c r="AQ155" s="89"/>
      <c r="AR155" s="89"/>
      <c r="AS155" s="88">
        <v>27777000</v>
      </c>
      <c r="AT155" s="89">
        <v>3666000</v>
      </c>
      <c r="AU155" s="89">
        <v>3666000</v>
      </c>
      <c r="AV155" s="89"/>
      <c r="AW155" s="89">
        <v>29859000</v>
      </c>
      <c r="AX155" s="89">
        <v>-5748000</v>
      </c>
      <c r="AY155" s="88">
        <v>66530623.279424571</v>
      </c>
      <c r="AZ155" s="89">
        <f t="shared" si="13"/>
        <v>19896667.84898695</v>
      </c>
      <c r="BA155" s="89">
        <v>13577005.248966312</v>
      </c>
      <c r="BB155" s="89">
        <v>6319662.6000206377</v>
      </c>
      <c r="BC155" s="89">
        <v>46633955.430437624</v>
      </c>
      <c r="BD155" s="89"/>
      <c r="BE155" s="88">
        <v>2369249.4420787701</v>
      </c>
      <c r="BF155" s="89">
        <v>244864.58154465002</v>
      </c>
      <c r="BG155" s="89">
        <v>228962.33954049001</v>
      </c>
      <c r="BH155" s="89">
        <v>15902.24200416</v>
      </c>
      <c r="BI155" s="89">
        <v>1692555.52595483</v>
      </c>
      <c r="BJ155" s="89">
        <v>431829.33457929001</v>
      </c>
      <c r="BK155" s="88"/>
      <c r="BL155" s="89"/>
      <c r="BM155" s="89"/>
      <c r="BN155" s="89"/>
      <c r="BO155" s="89"/>
      <c r="BP155" s="89"/>
      <c r="BQ155" s="88"/>
      <c r="BR155" s="89"/>
      <c r="BS155" s="89"/>
      <c r="BT155" s="89"/>
      <c r="BU155" s="89"/>
      <c r="BV155" s="89"/>
      <c r="BW155" s="88">
        <v>5041.8112490628582</v>
      </c>
      <c r="BX155" s="89">
        <v>445.52510572857159</v>
      </c>
      <c r="BY155" s="89">
        <v>381.9381057285716</v>
      </c>
      <c r="BZ155" s="89">
        <v>63.586999999999996</v>
      </c>
      <c r="CA155" s="89">
        <v>5468.5075255971433</v>
      </c>
      <c r="CB155" s="89">
        <v>-872.22138226285767</v>
      </c>
      <c r="CC155" s="88"/>
      <c r="CD155" s="89"/>
      <c r="CE155" s="89"/>
      <c r="CF155" s="89"/>
      <c r="CG155" s="89"/>
      <c r="CH155" s="89"/>
      <c r="CI155" s="88">
        <v>41783.599999999999</v>
      </c>
      <c r="CJ155" s="89">
        <v>8413.5</v>
      </c>
      <c r="CK155" s="89">
        <v>8264.2000000000007</v>
      </c>
      <c r="CL155" s="89">
        <v>149.30000000000001</v>
      </c>
      <c r="CM155" s="89">
        <v>33607.800000000003</v>
      </c>
      <c r="CN155" s="89">
        <v>-237.8</v>
      </c>
      <c r="CO155" s="88"/>
      <c r="CP155" s="89"/>
      <c r="CQ155" s="89"/>
      <c r="CR155" s="89"/>
      <c r="CS155" s="89"/>
      <c r="CT155" s="89"/>
      <c r="CU155" s="88">
        <v>28888.558334921992</v>
      </c>
      <c r="CV155" s="89">
        <v>14748.26848813568</v>
      </c>
      <c r="CW155" s="89">
        <v>14748.72566730568</v>
      </c>
      <c r="CX155" s="89">
        <v>-0.45717917000013841</v>
      </c>
      <c r="CY155" s="89">
        <v>14140.289846786312</v>
      </c>
      <c r="CZ155" s="89"/>
      <c r="DA155" s="88">
        <v>25707.908462996995</v>
      </c>
      <c r="DB155" s="89">
        <v>-3231.8590389591704</v>
      </c>
      <c r="DC155" s="89">
        <v>-3497.6328246391704</v>
      </c>
      <c r="DD155" s="89">
        <v>265.77378568</v>
      </c>
      <c r="DE155" s="89">
        <v>44487.284707640749</v>
      </c>
      <c r="DF155" s="89">
        <v>-15547.517205684586</v>
      </c>
      <c r="DG155" s="88">
        <v>155816.80000000002</v>
      </c>
      <c r="DH155" s="89">
        <v>121768.7</v>
      </c>
      <c r="DI155" s="89"/>
      <c r="DJ155" s="89"/>
      <c r="DK155" s="89">
        <v>40689.4</v>
      </c>
      <c r="DL155" s="89">
        <v>-6641.3</v>
      </c>
      <c r="DM155" s="88">
        <v>2130095.88564257</v>
      </c>
      <c r="DN155" s="89">
        <v>1103008.0279999999</v>
      </c>
      <c r="DO155" s="89">
        <v>1043157.166</v>
      </c>
      <c r="DP155" s="89">
        <v>59850.862000000001</v>
      </c>
      <c r="DQ155" s="89">
        <v>1027087.857</v>
      </c>
      <c r="DR155" s="89"/>
      <c r="DS155" s="88">
        <v>42349.911490799437</v>
      </c>
      <c r="DT155" s="89">
        <v>42616.147042119999</v>
      </c>
      <c r="DU155" s="89">
        <v>42364.630489119998</v>
      </c>
      <c r="DV155" s="89">
        <v>251.51655299999999</v>
      </c>
      <c r="DW155" s="89">
        <v>10385.80774513</v>
      </c>
      <c r="DX155" s="89">
        <v>-10652.043296450556</v>
      </c>
      <c r="DY155" s="88">
        <v>5724.4656239999995</v>
      </c>
      <c r="DZ155" s="89">
        <f t="shared" si="8"/>
        <v>-132.60198000000003</v>
      </c>
      <c r="EA155" s="89">
        <v>628.80841599999997</v>
      </c>
      <c r="EB155" s="89">
        <v>-761.41039599999999</v>
      </c>
      <c r="EC155" s="89">
        <v>5857.0676039999998</v>
      </c>
      <c r="ED155" s="89"/>
      <c r="EE155" s="88"/>
      <c r="EF155" s="89"/>
      <c r="EG155" s="89"/>
      <c r="EH155" s="89"/>
      <c r="EI155" s="89"/>
      <c r="EJ155" s="89"/>
      <c r="EK155" s="88">
        <v>8364261.3979999991</v>
      </c>
      <c r="EL155" s="89">
        <v>810641.14299999969</v>
      </c>
      <c r="EM155" s="89">
        <v>719853.10299999965</v>
      </c>
      <c r="EN155" s="89">
        <v>90788.040000000008</v>
      </c>
      <c r="EO155" s="89">
        <v>7476774.0439999998</v>
      </c>
      <c r="EP155" s="89">
        <v>76846.21100000001</v>
      </c>
      <c r="EQ155" s="88">
        <v>25459.094881650002</v>
      </c>
      <c r="ER155" s="89">
        <v>-9347.9542635399994</v>
      </c>
      <c r="ES155" s="89"/>
      <c r="ET155" s="89"/>
      <c r="EU155" s="89">
        <v>56986.712870540003</v>
      </c>
      <c r="EV155" s="89">
        <v>-22179.663725350001</v>
      </c>
      <c r="EW155" s="88">
        <v>163605.82454785754</v>
      </c>
      <c r="EX155" s="89">
        <f t="shared" si="14"/>
        <v>1069.4790349999939</v>
      </c>
      <c r="EY155" s="89">
        <v>-4426.5788080000057</v>
      </c>
      <c r="EZ155" s="89">
        <v>5496.0578429999996</v>
      </c>
      <c r="FA155" s="89">
        <v>147027.63560199999</v>
      </c>
      <c r="FB155" s="89">
        <v>15508.709910857546</v>
      </c>
      <c r="FC155" s="88"/>
      <c r="FD155" s="89"/>
      <c r="FE155" s="89"/>
      <c r="FF155" s="89"/>
      <c r="FG155" s="89"/>
      <c r="FH155" s="89"/>
      <c r="FI155" s="88"/>
      <c r="FJ155" s="89"/>
      <c r="FK155" s="89"/>
      <c r="FL155" s="89"/>
      <c r="FM155" s="89"/>
      <c r="FN155" s="89"/>
      <c r="FO155" s="88"/>
      <c r="FP155" s="89"/>
      <c r="FQ155" s="89"/>
      <c r="FR155" s="89"/>
      <c r="FS155" s="89"/>
      <c r="FT155" s="89"/>
      <c r="FU155" s="88"/>
      <c r="FV155" s="89"/>
      <c r="FW155" s="89"/>
      <c r="FX155" s="89"/>
      <c r="FY155" s="89"/>
      <c r="FZ155" s="89"/>
      <c r="GA155" s="120">
        <v>14846.1</v>
      </c>
      <c r="GB155" s="121">
        <v>-1383.8999999999996</v>
      </c>
      <c r="GC155" s="121">
        <v>-4974.3999999999996</v>
      </c>
      <c r="GD155" s="121">
        <v>3590.5</v>
      </c>
      <c r="GE155" s="121">
        <v>16230.1</v>
      </c>
      <c r="GF155" s="89"/>
      <c r="GG155" s="88"/>
      <c r="GH155" s="89"/>
      <c r="GI155" s="89"/>
      <c r="GJ155" s="89"/>
      <c r="GK155" s="89"/>
      <c r="GL155" s="89"/>
      <c r="GM155" s="88">
        <v>14635.160125478498</v>
      </c>
      <c r="GN155" s="89">
        <v>3859.7292735835999</v>
      </c>
      <c r="GO155" s="89">
        <v>3826.2551969756</v>
      </c>
      <c r="GP155" s="89">
        <v>33.474071607999967</v>
      </c>
      <c r="GQ155" s="89">
        <v>9389.0111295050992</v>
      </c>
      <c r="GR155" s="89">
        <v>1386.4197273898001</v>
      </c>
      <c r="GS155" s="88"/>
      <c r="GT155" s="87"/>
      <c r="GU155" s="87"/>
      <c r="GV155" s="87"/>
      <c r="GW155" s="87"/>
      <c r="GX155" s="87"/>
      <c r="GY155" s="87"/>
      <c r="GZ155" s="88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8"/>
      <c r="HM155" s="87"/>
      <c r="HN155" s="87"/>
      <c r="HO155" s="87"/>
      <c r="HP155" s="87"/>
      <c r="HQ155" s="87"/>
      <c r="HR155" s="87"/>
      <c r="HS155" s="87"/>
    </row>
    <row r="156" spans="1:227">
      <c r="A156" s="69"/>
      <c r="B156" s="87" t="s">
        <v>497</v>
      </c>
      <c r="C156" s="88"/>
      <c r="D156" s="87"/>
      <c r="E156" s="87"/>
      <c r="F156" s="87"/>
      <c r="G156" s="87"/>
      <c r="H156" s="87"/>
      <c r="I156" s="88">
        <v>139351.58799999999</v>
      </c>
      <c r="J156" s="89">
        <v>160071.62700000001</v>
      </c>
      <c r="K156" s="89"/>
      <c r="L156" s="89"/>
      <c r="M156" s="89">
        <v>51198.593000000001</v>
      </c>
      <c r="N156" s="89">
        <v>-71918.631999999998</v>
      </c>
      <c r="O156" s="90"/>
      <c r="P156" s="91"/>
      <c r="Q156" s="91"/>
      <c r="R156" s="91"/>
      <c r="S156" s="91"/>
      <c r="T156" s="91"/>
      <c r="U156" s="90"/>
      <c r="V156" s="91"/>
      <c r="W156" s="91"/>
      <c r="X156" s="91"/>
      <c r="Y156" s="91"/>
      <c r="Z156" s="91"/>
      <c r="AA156" s="88">
        <v>968.38400000000001</v>
      </c>
      <c r="AB156" s="89">
        <v>91.286000000000001</v>
      </c>
      <c r="AC156" s="89">
        <v>57.871000000000002</v>
      </c>
      <c r="AD156" s="89">
        <v>33.414999999999999</v>
      </c>
      <c r="AE156" s="89">
        <v>877.09799999999996</v>
      </c>
      <c r="AF156" s="89"/>
      <c r="AG156" s="88">
        <v>36934.688064214002</v>
      </c>
      <c r="AH156" s="89">
        <v>8266.159064214</v>
      </c>
      <c r="AI156" s="89">
        <v>8266.159064214</v>
      </c>
      <c r="AJ156" s="89"/>
      <c r="AK156" s="89">
        <v>28668.528999999999</v>
      </c>
      <c r="AL156" s="89"/>
      <c r="AM156" s="88"/>
      <c r="AN156" s="89"/>
      <c r="AO156" s="89"/>
      <c r="AP156" s="89"/>
      <c r="AQ156" s="89"/>
      <c r="AR156" s="89"/>
      <c r="AS156" s="88">
        <v>27885000</v>
      </c>
      <c r="AT156" s="89">
        <v>3769000</v>
      </c>
      <c r="AU156" s="89">
        <v>3769000</v>
      </c>
      <c r="AV156" s="89"/>
      <c r="AW156" s="89">
        <v>30405000</v>
      </c>
      <c r="AX156" s="89">
        <v>-6289000</v>
      </c>
      <c r="AY156" s="88">
        <v>68610198.904800341</v>
      </c>
      <c r="AZ156" s="89">
        <f t="shared" si="13"/>
        <v>21089907.600146834</v>
      </c>
      <c r="BA156" s="89">
        <v>14800796.431982966</v>
      </c>
      <c r="BB156" s="89">
        <v>6289111.1681638677</v>
      </c>
      <c r="BC156" s="89">
        <v>47520291.30465351</v>
      </c>
      <c r="BD156" s="89"/>
      <c r="BE156" s="88">
        <v>2453995.7506013899</v>
      </c>
      <c r="BF156" s="89">
        <v>265682.93882018002</v>
      </c>
      <c r="BG156" s="89">
        <v>249264.09179109</v>
      </c>
      <c r="BH156" s="89">
        <v>16418.84702909</v>
      </c>
      <c r="BI156" s="89">
        <v>1725304.4865033799</v>
      </c>
      <c r="BJ156" s="89">
        <v>463008.32527783001</v>
      </c>
      <c r="BK156" s="88"/>
      <c r="BL156" s="89"/>
      <c r="BM156" s="89"/>
      <c r="BN156" s="89"/>
      <c r="BO156" s="89"/>
      <c r="BP156" s="89"/>
      <c r="BQ156" s="88">
        <v>5013.8</v>
      </c>
      <c r="BR156" s="89">
        <v>-46.899999999999977</v>
      </c>
      <c r="BS156" s="89" t="s">
        <v>503</v>
      </c>
      <c r="BT156" s="89">
        <v>-456.4</v>
      </c>
      <c r="BU156" s="89">
        <v>5060.8</v>
      </c>
      <c r="BV156" s="89"/>
      <c r="BW156" s="88">
        <v>5209.1783733728571</v>
      </c>
      <c r="BX156" s="89">
        <v>566.80917671857151</v>
      </c>
      <c r="BY156" s="89">
        <v>501.70317671857151</v>
      </c>
      <c r="BZ156" s="89">
        <v>65.105999999999995</v>
      </c>
      <c r="CA156" s="89">
        <v>5470.7343949671431</v>
      </c>
      <c r="CB156" s="89">
        <v>-828.36519831285705</v>
      </c>
      <c r="CC156" s="88"/>
      <c r="CD156" s="89"/>
      <c r="CE156" s="89"/>
      <c r="CF156" s="89"/>
      <c r="CG156" s="89"/>
      <c r="CH156" s="89"/>
      <c r="CI156" s="88">
        <v>40998</v>
      </c>
      <c r="CJ156" s="89">
        <v>7547.9</v>
      </c>
      <c r="CK156" s="89">
        <v>7398.4</v>
      </c>
      <c r="CL156" s="89">
        <v>149.5</v>
      </c>
      <c r="CM156" s="89">
        <v>33604.5</v>
      </c>
      <c r="CN156" s="89">
        <v>-154.4</v>
      </c>
      <c r="CO156" s="88">
        <v>24992.1</v>
      </c>
      <c r="CP156" s="89">
        <v>-23482.2</v>
      </c>
      <c r="CQ156" s="89">
        <v>-16054.8</v>
      </c>
      <c r="CR156" s="89">
        <v>-7427.4000000000015</v>
      </c>
      <c r="CS156" s="89">
        <v>57007.3</v>
      </c>
      <c r="CT156" s="89">
        <v>-8532.9</v>
      </c>
      <c r="CU156" s="88">
        <v>29521.11162515363</v>
      </c>
      <c r="CV156" s="89">
        <v>15074.588420024975</v>
      </c>
      <c r="CW156" s="89">
        <v>15064.417964088974</v>
      </c>
      <c r="CX156" s="89">
        <v>10.170455935999815</v>
      </c>
      <c r="CY156" s="89">
        <v>14446.523205128655</v>
      </c>
      <c r="CZ156" s="89"/>
      <c r="DA156" s="88">
        <v>25974.908233572361</v>
      </c>
      <c r="DB156" s="89">
        <v>-3192.8777498724758</v>
      </c>
      <c r="DC156" s="89">
        <v>-3560.0434117524755</v>
      </c>
      <c r="DD156" s="89">
        <v>367.16566188000002</v>
      </c>
      <c r="DE156" s="89">
        <v>45062.42987411168</v>
      </c>
      <c r="DF156" s="89">
        <v>-15894.643890666845</v>
      </c>
      <c r="DG156" s="88">
        <v>163442.00000000003</v>
      </c>
      <c r="DH156" s="89">
        <v>126393.60000000001</v>
      </c>
      <c r="DI156" s="89"/>
      <c r="DJ156" s="89"/>
      <c r="DK156" s="89">
        <v>42466.8</v>
      </c>
      <c r="DL156" s="89">
        <v>-5418.4</v>
      </c>
      <c r="DM156" s="88">
        <v>2152650.1482122201</v>
      </c>
      <c r="DN156" s="89">
        <v>1105680.6140000001</v>
      </c>
      <c r="DO156" s="89">
        <v>1044319.383</v>
      </c>
      <c r="DP156" s="89">
        <v>61361.231</v>
      </c>
      <c r="DQ156" s="89">
        <v>1046969.534</v>
      </c>
      <c r="DR156" s="89"/>
      <c r="DS156" s="88">
        <v>42585.890474457963</v>
      </c>
      <c r="DT156" s="89">
        <v>42451.602739869995</v>
      </c>
      <c r="DU156" s="89">
        <v>42170.433038869996</v>
      </c>
      <c r="DV156" s="89">
        <v>281.16970100000003</v>
      </c>
      <c r="DW156" s="89">
        <v>10508.270489210001</v>
      </c>
      <c r="DX156" s="89">
        <v>-10373.982754622035</v>
      </c>
      <c r="DY156" s="88">
        <v>5717.8521929999997</v>
      </c>
      <c r="DZ156" s="89">
        <f t="shared" si="8"/>
        <v>-136.67594999999994</v>
      </c>
      <c r="EA156" s="89">
        <v>636.24890700000003</v>
      </c>
      <c r="EB156" s="89">
        <v>-772.92485699999997</v>
      </c>
      <c r="EC156" s="89">
        <v>5854.5281430000005</v>
      </c>
      <c r="ED156" s="89"/>
      <c r="EE156" s="88"/>
      <c r="EF156" s="89"/>
      <c r="EG156" s="89"/>
      <c r="EH156" s="89"/>
      <c r="EI156" s="89"/>
      <c r="EJ156" s="89"/>
      <c r="EK156" s="88">
        <v>8073962.3689999999</v>
      </c>
      <c r="EL156" s="89">
        <v>792909.27499999991</v>
      </c>
      <c r="EM156" s="89">
        <v>726082.05299999984</v>
      </c>
      <c r="EN156" s="89">
        <v>66827.222000000009</v>
      </c>
      <c r="EO156" s="89">
        <v>7205795.3509999998</v>
      </c>
      <c r="EP156" s="89">
        <v>75257.742999999988</v>
      </c>
      <c r="EQ156" s="88">
        <v>24821.673190959998</v>
      </c>
      <c r="ER156" s="89">
        <v>-9802.2732670400001</v>
      </c>
      <c r="ES156" s="89"/>
      <c r="ET156" s="89"/>
      <c r="EU156" s="89">
        <v>57277.987443320002</v>
      </c>
      <c r="EV156" s="89">
        <v>-22654.040985320004</v>
      </c>
      <c r="EW156" s="88">
        <v>165895.9589074273</v>
      </c>
      <c r="EX156" s="89">
        <f t="shared" si="14"/>
        <v>4359.2814999999991</v>
      </c>
      <c r="EY156" s="89">
        <v>-1433.2441450000006</v>
      </c>
      <c r="EZ156" s="89">
        <v>5792.5256449999997</v>
      </c>
      <c r="FA156" s="89">
        <v>146384.86470199999</v>
      </c>
      <c r="FB156" s="89">
        <v>15151.812705427314</v>
      </c>
      <c r="FC156" s="88"/>
      <c r="FD156" s="89"/>
      <c r="FE156" s="89"/>
      <c r="FF156" s="89"/>
      <c r="FG156" s="89"/>
      <c r="FH156" s="89"/>
      <c r="FI156" s="88"/>
      <c r="FJ156" s="89"/>
      <c r="FK156" s="89"/>
      <c r="FL156" s="89"/>
      <c r="FM156" s="89"/>
      <c r="FN156" s="89"/>
      <c r="FO156" s="88"/>
      <c r="FP156" s="89"/>
      <c r="FQ156" s="89"/>
      <c r="FR156" s="89"/>
      <c r="FS156" s="89"/>
      <c r="FT156" s="89"/>
      <c r="FU156" s="88"/>
      <c r="FV156" s="89"/>
      <c r="FW156" s="89"/>
      <c r="FX156" s="89"/>
      <c r="FY156" s="89"/>
      <c r="FZ156" s="89"/>
      <c r="GA156" s="120">
        <v>15186.8</v>
      </c>
      <c r="GB156" s="121">
        <v>-1246.8000000000002</v>
      </c>
      <c r="GC156" s="121">
        <v>-4758.8</v>
      </c>
      <c r="GD156" s="121">
        <v>3512</v>
      </c>
      <c r="GE156" s="121">
        <v>16433.5</v>
      </c>
      <c r="GF156" s="89"/>
      <c r="GG156" s="88"/>
      <c r="GH156" s="89"/>
      <c r="GI156" s="89"/>
      <c r="GJ156" s="89"/>
      <c r="GK156" s="89"/>
      <c r="GL156" s="89"/>
      <c r="GM156" s="88">
        <v>15216.484745006901</v>
      </c>
      <c r="GN156" s="89">
        <v>4136.2671695931003</v>
      </c>
      <c r="GO156" s="89">
        <v>4102.9394003610005</v>
      </c>
      <c r="GP156" s="89">
        <v>33.327769232100344</v>
      </c>
      <c r="GQ156" s="89">
        <v>9744.6081619698998</v>
      </c>
      <c r="GR156" s="89">
        <v>1335.6094134438999</v>
      </c>
      <c r="GS156" s="88"/>
      <c r="GT156" s="87"/>
      <c r="GU156" s="87"/>
      <c r="GV156" s="87"/>
      <c r="GW156" s="87"/>
      <c r="GX156" s="87"/>
      <c r="GY156" s="87"/>
      <c r="GZ156" s="88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</row>
    <row r="157" spans="1:227">
      <c r="A157" s="69"/>
      <c r="B157" s="87" t="s">
        <v>498</v>
      </c>
      <c r="C157" s="88"/>
      <c r="D157" s="87"/>
      <c r="E157" s="87"/>
      <c r="F157" s="87"/>
      <c r="G157" s="87"/>
      <c r="H157" s="87"/>
      <c r="I157" s="88">
        <v>135080.93099999998</v>
      </c>
      <c r="J157" s="89">
        <v>154354.92199999999</v>
      </c>
      <c r="K157" s="89"/>
      <c r="L157" s="89"/>
      <c r="M157" s="89">
        <v>49799.663999999997</v>
      </c>
      <c r="N157" s="89">
        <v>-69073.654999999999</v>
      </c>
      <c r="O157" s="90"/>
      <c r="P157" s="91"/>
      <c r="Q157" s="91"/>
      <c r="R157" s="91"/>
      <c r="S157" s="91"/>
      <c r="T157" s="91"/>
      <c r="U157" s="90"/>
      <c r="V157" s="91"/>
      <c r="W157" s="91"/>
      <c r="X157" s="91"/>
      <c r="Y157" s="91"/>
      <c r="Z157" s="91"/>
      <c r="AA157" s="88">
        <v>993.09</v>
      </c>
      <c r="AB157" s="89">
        <v>112.45500000000001</v>
      </c>
      <c r="AC157" s="89">
        <v>82.516000000000005</v>
      </c>
      <c r="AD157" s="89">
        <v>29.939</v>
      </c>
      <c r="AE157" s="89">
        <v>880.63499999999999</v>
      </c>
      <c r="AF157" s="89"/>
      <c r="AG157" s="88">
        <v>37429.028990004001</v>
      </c>
      <c r="AH157" s="89">
        <v>8632.3619900039994</v>
      </c>
      <c r="AI157" s="89">
        <v>8632.3619900039994</v>
      </c>
      <c r="AJ157" s="89"/>
      <c r="AK157" s="89">
        <v>28796.667000000001</v>
      </c>
      <c r="AL157" s="89"/>
      <c r="AM157" s="88"/>
      <c r="AN157" s="89"/>
      <c r="AO157" s="89"/>
      <c r="AP157" s="89"/>
      <c r="AQ157" s="89"/>
      <c r="AR157" s="89"/>
      <c r="AS157" s="88">
        <v>28753000</v>
      </c>
      <c r="AT157" s="89">
        <v>4063000</v>
      </c>
      <c r="AU157" s="89">
        <v>4063000</v>
      </c>
      <c r="AV157" s="89"/>
      <c r="AW157" s="89">
        <v>30585000</v>
      </c>
      <c r="AX157" s="89">
        <v>-5895000</v>
      </c>
      <c r="AY157" s="88">
        <v>69697079.611932203</v>
      </c>
      <c r="AZ157" s="89">
        <f t="shared" si="13"/>
        <v>21864158.166573074</v>
      </c>
      <c r="BA157" s="89">
        <v>15571833.882904055</v>
      </c>
      <c r="BB157" s="89">
        <v>6292324.2836690182</v>
      </c>
      <c r="BC157" s="89">
        <v>47832921.445359126</v>
      </c>
      <c r="BD157" s="89"/>
      <c r="BE157" s="88">
        <v>2499319.2332154601</v>
      </c>
      <c r="BF157" s="89">
        <v>299350.27503590001</v>
      </c>
      <c r="BG157" s="89">
        <v>282901.84682276001</v>
      </c>
      <c r="BH157" s="89">
        <v>16448.42821314</v>
      </c>
      <c r="BI157" s="89">
        <v>1772670.09647457</v>
      </c>
      <c r="BJ157" s="89">
        <v>427298.86170498998</v>
      </c>
      <c r="BK157" s="88"/>
      <c r="BL157" s="89"/>
      <c r="BM157" s="89"/>
      <c r="BN157" s="89"/>
      <c r="BO157" s="89"/>
      <c r="BP157" s="89"/>
      <c r="BQ157" s="88"/>
      <c r="BR157" s="89"/>
      <c r="BS157" s="89"/>
      <c r="BT157" s="89"/>
      <c r="BU157" s="89"/>
      <c r="BV157" s="89"/>
      <c r="BW157" s="88">
        <v>4729.9890795428582</v>
      </c>
      <c r="BX157" s="89">
        <v>129.11242781857138</v>
      </c>
      <c r="BY157" s="89">
        <v>67.10205745857138</v>
      </c>
      <c r="BZ157" s="89">
        <v>62.010370359999996</v>
      </c>
      <c r="CA157" s="89">
        <v>5547.6620334221434</v>
      </c>
      <c r="CB157" s="89">
        <v>-946.78538169785725</v>
      </c>
      <c r="CC157" s="88"/>
      <c r="CD157" s="89"/>
      <c r="CE157" s="89"/>
      <c r="CF157" s="89"/>
      <c r="CG157" s="89"/>
      <c r="CH157" s="89"/>
      <c r="CI157" s="88">
        <v>41248.1</v>
      </c>
      <c r="CJ157" s="89">
        <v>7613.2</v>
      </c>
      <c r="CK157" s="89">
        <v>7453.2</v>
      </c>
      <c r="CL157" s="89">
        <v>160</v>
      </c>
      <c r="CM157" s="89">
        <v>33673.300000000003</v>
      </c>
      <c r="CN157" s="89">
        <v>-38.4</v>
      </c>
      <c r="CO157" s="88"/>
      <c r="CP157" s="89"/>
      <c r="CQ157" s="89"/>
      <c r="CR157" s="89"/>
      <c r="CS157" s="89"/>
      <c r="CT157" s="89"/>
      <c r="CU157" s="88">
        <v>30739.920962763987</v>
      </c>
      <c r="CV157" s="89">
        <v>15078.757460226498</v>
      </c>
      <c r="CW157" s="89">
        <v>15098.163037069999</v>
      </c>
      <c r="CX157" s="89">
        <v>-19.405576843500146</v>
      </c>
      <c r="CY157" s="89">
        <v>15661.163502537491</v>
      </c>
      <c r="CZ157" s="89"/>
      <c r="DA157" s="88">
        <v>26233.70072706978</v>
      </c>
      <c r="DB157" s="89">
        <v>-3299.7537351014607</v>
      </c>
      <c r="DC157" s="89">
        <v>-3717.752506211461</v>
      </c>
      <c r="DD157" s="89">
        <v>417.99877111000001</v>
      </c>
      <c r="DE157" s="89">
        <v>45590.237876569612</v>
      </c>
      <c r="DF157" s="89">
        <v>-16056.783414398371</v>
      </c>
      <c r="DG157" s="88">
        <v>157678.1</v>
      </c>
      <c r="DH157" s="89">
        <v>121637.3</v>
      </c>
      <c r="DI157" s="89"/>
      <c r="DJ157" s="89"/>
      <c r="DK157" s="89">
        <v>43351.7</v>
      </c>
      <c r="DL157" s="89">
        <v>-7310.9</v>
      </c>
      <c r="DM157" s="88">
        <v>2163090.7114752401</v>
      </c>
      <c r="DN157" s="89">
        <v>1093947.5699999998</v>
      </c>
      <c r="DO157" s="89">
        <v>1035211.57</v>
      </c>
      <c r="DP157" s="89">
        <v>58736</v>
      </c>
      <c r="DQ157" s="89">
        <v>1069143.1410000001</v>
      </c>
      <c r="DR157" s="89"/>
      <c r="DS157" s="88">
        <v>43381.882188060896</v>
      </c>
      <c r="DT157" s="89">
        <v>43523.896234159991</v>
      </c>
      <c r="DU157" s="89">
        <v>43257.577597159994</v>
      </c>
      <c r="DV157" s="89">
        <v>266.31863699999997</v>
      </c>
      <c r="DW157" s="89">
        <v>10844.786619250001</v>
      </c>
      <c r="DX157" s="89">
        <v>-10986.80066534911</v>
      </c>
      <c r="DY157" s="88">
        <v>5779.1998200000007</v>
      </c>
      <c r="DZ157" s="89">
        <f t="shared" si="8"/>
        <v>-99.909929000000034</v>
      </c>
      <c r="EA157" s="89">
        <v>646.38132200000007</v>
      </c>
      <c r="EB157" s="89">
        <v>-746.2912510000001</v>
      </c>
      <c r="EC157" s="89">
        <v>5879.1097490000002</v>
      </c>
      <c r="ED157" s="89"/>
      <c r="EE157" s="88"/>
      <c r="EF157" s="89"/>
      <c r="EG157" s="89"/>
      <c r="EH157" s="89"/>
      <c r="EI157" s="89"/>
      <c r="EJ157" s="89"/>
      <c r="EK157" s="88">
        <v>8413555.5475645009</v>
      </c>
      <c r="EL157" s="89">
        <v>874531.93599999999</v>
      </c>
      <c r="EM157" s="89">
        <v>835140.446</v>
      </c>
      <c r="EN157" s="89">
        <v>39391.490000000005</v>
      </c>
      <c r="EO157" s="89">
        <v>7466329.8440000005</v>
      </c>
      <c r="EP157" s="89">
        <v>72693.767564499998</v>
      </c>
      <c r="EQ157" s="88">
        <v>24995.019806799995</v>
      </c>
      <c r="ER157" s="89">
        <v>-9772.6217797999998</v>
      </c>
      <c r="ES157" s="89"/>
      <c r="ET157" s="89"/>
      <c r="EU157" s="89">
        <v>56966.904788800006</v>
      </c>
      <c r="EV157" s="89">
        <v>-22199.263202200011</v>
      </c>
      <c r="EW157" s="88">
        <v>169349.38631510123</v>
      </c>
      <c r="EX157" s="89">
        <f t="shared" si="14"/>
        <v>4570.1947030000038</v>
      </c>
      <c r="EY157" s="89">
        <v>-1354.3713999999964</v>
      </c>
      <c r="EZ157" s="89">
        <v>5924.5661030000001</v>
      </c>
      <c r="FA157" s="89">
        <v>149172.56240900001</v>
      </c>
      <c r="FB157" s="89">
        <v>15606.629203101227</v>
      </c>
      <c r="FC157" s="88"/>
      <c r="FD157" s="89"/>
      <c r="FE157" s="89"/>
      <c r="FF157" s="89"/>
      <c r="FG157" s="89"/>
      <c r="FH157" s="89"/>
      <c r="FI157" s="88"/>
      <c r="FJ157" s="89"/>
      <c r="FK157" s="89"/>
      <c r="FL157" s="89"/>
      <c r="FM157" s="89"/>
      <c r="FN157" s="89"/>
      <c r="FO157" s="88"/>
      <c r="FP157" s="89"/>
      <c r="FQ157" s="89"/>
      <c r="FR157" s="89"/>
      <c r="FS157" s="89"/>
      <c r="FT157" s="89"/>
      <c r="FU157" s="88"/>
      <c r="FV157" s="89"/>
      <c r="FW157" s="89"/>
      <c r="FX157" s="89"/>
      <c r="FY157" s="89"/>
      <c r="FZ157" s="89"/>
      <c r="GA157" s="120">
        <v>14964</v>
      </c>
      <c r="GB157" s="121">
        <v>-1617.4</v>
      </c>
      <c r="GC157" s="121">
        <v>-4672.5</v>
      </c>
      <c r="GD157" s="121">
        <v>3055.1</v>
      </c>
      <c r="GE157" s="121">
        <v>16581.400000000001</v>
      </c>
      <c r="GF157" s="89"/>
      <c r="GG157" s="88"/>
      <c r="GH157" s="89"/>
      <c r="GI157" s="89"/>
      <c r="GJ157" s="89"/>
      <c r="GK157" s="89"/>
      <c r="GL157" s="89"/>
      <c r="GM157" s="88">
        <v>15203.892594246301</v>
      </c>
      <c r="GN157" s="89">
        <v>3887.8609671161003</v>
      </c>
      <c r="GO157" s="89">
        <v>3852.3780569168998</v>
      </c>
      <c r="GP157" s="89">
        <v>35.482910199200269</v>
      </c>
      <c r="GQ157" s="89">
        <v>10024.027391163299</v>
      </c>
      <c r="GR157" s="89">
        <v>1292.0047359668999</v>
      </c>
      <c r="GS157" s="88"/>
      <c r="GT157" s="87"/>
      <c r="GU157" s="87"/>
      <c r="GV157" s="87"/>
      <c r="GW157" s="87"/>
      <c r="GX157" s="87"/>
      <c r="GY157" s="87"/>
      <c r="GZ157" s="88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8"/>
      <c r="HM157" s="87"/>
      <c r="HN157" s="87"/>
      <c r="HO157" s="87"/>
      <c r="HP157" s="87"/>
      <c r="HQ157" s="87"/>
      <c r="HR157" s="87"/>
      <c r="HS157" s="87"/>
    </row>
    <row r="158" spans="1:227">
      <c r="A158" s="69"/>
      <c r="B158" s="87" t="s">
        <v>499</v>
      </c>
      <c r="C158" s="88">
        <v>1569.8779999999999</v>
      </c>
      <c r="D158" s="87">
        <v>79.698000000000008</v>
      </c>
      <c r="E158" s="87">
        <v>294.11</v>
      </c>
      <c r="F158" s="87">
        <v>-214.41200000000001</v>
      </c>
      <c r="G158" s="87">
        <v>1490.1790000000001</v>
      </c>
      <c r="H158" s="87"/>
      <c r="I158" s="88">
        <v>138318.56399999998</v>
      </c>
      <c r="J158" s="89">
        <v>157494.85999999999</v>
      </c>
      <c r="K158" s="89"/>
      <c r="L158" s="89"/>
      <c r="M158" s="89">
        <v>49233.033000000003</v>
      </c>
      <c r="N158" s="89">
        <v>-68409.328999999998</v>
      </c>
      <c r="O158" s="90"/>
      <c r="P158" s="91"/>
      <c r="Q158" s="91"/>
      <c r="R158" s="91"/>
      <c r="S158" s="91"/>
      <c r="T158" s="91"/>
      <c r="U158" s="90"/>
      <c r="V158" s="91"/>
      <c r="W158" s="91"/>
      <c r="X158" s="91"/>
      <c r="Y158" s="91"/>
      <c r="Z158" s="91"/>
      <c r="AA158" s="88">
        <v>1016.628</v>
      </c>
      <c r="AB158" s="89">
        <v>115.833</v>
      </c>
      <c r="AC158" s="89">
        <v>86.088999999999999</v>
      </c>
      <c r="AD158" s="89">
        <v>29.744</v>
      </c>
      <c r="AE158" s="89">
        <v>900.79499999999996</v>
      </c>
      <c r="AF158" s="89"/>
      <c r="AG158" s="88">
        <v>37652.277325793999</v>
      </c>
      <c r="AH158" s="89">
        <v>8685.5443257940005</v>
      </c>
      <c r="AI158" s="89">
        <v>8685.5443257940005</v>
      </c>
      <c r="AJ158" s="89"/>
      <c r="AK158" s="89">
        <v>28966.733</v>
      </c>
      <c r="AL158" s="89"/>
      <c r="AM158" s="88"/>
      <c r="AN158" s="89"/>
      <c r="AO158" s="89"/>
      <c r="AP158" s="89"/>
      <c r="AQ158" s="89"/>
      <c r="AR158" s="89"/>
      <c r="AS158" s="88">
        <v>28991000</v>
      </c>
      <c r="AT158" s="89">
        <v>3764000</v>
      </c>
      <c r="AU158" s="89">
        <v>3764000</v>
      </c>
      <c r="AV158" s="89"/>
      <c r="AW158" s="89">
        <v>30622000</v>
      </c>
      <c r="AX158" s="89">
        <v>-5395000</v>
      </c>
      <c r="AY158" s="88">
        <v>69211208.51288186</v>
      </c>
      <c r="AZ158" s="89">
        <f t="shared" si="13"/>
        <v>21505540.321965642</v>
      </c>
      <c r="BA158" s="89">
        <v>15008796.192303525</v>
      </c>
      <c r="BB158" s="89">
        <v>6496744.129662117</v>
      </c>
      <c r="BC158" s="89">
        <v>47705668.19091621</v>
      </c>
      <c r="BD158" s="89"/>
      <c r="BE158" s="88">
        <v>2539817.89600123</v>
      </c>
      <c r="BF158" s="89">
        <v>302130.64495894004</v>
      </c>
      <c r="BG158" s="89">
        <v>284510.93405873002</v>
      </c>
      <c r="BH158" s="89">
        <v>17619.710900210001</v>
      </c>
      <c r="BI158" s="89">
        <v>1801305.19466291</v>
      </c>
      <c r="BJ158" s="89">
        <v>436382.05637938</v>
      </c>
      <c r="BK158" s="88"/>
      <c r="BL158" s="89"/>
      <c r="BM158" s="89"/>
      <c r="BN158" s="89"/>
      <c r="BO158" s="89"/>
      <c r="BP158" s="89"/>
      <c r="BQ158" s="88"/>
      <c r="BR158" s="89"/>
      <c r="BS158" s="89"/>
      <c r="BT158" s="89"/>
      <c r="BU158" s="89"/>
      <c r="BV158" s="89"/>
      <c r="BW158" s="88">
        <v>5020.904326302857</v>
      </c>
      <c r="BX158" s="89">
        <v>286.45250213857162</v>
      </c>
      <c r="BY158" s="89">
        <v>219.07164499857163</v>
      </c>
      <c r="BZ158" s="89">
        <v>67.380857139999989</v>
      </c>
      <c r="CA158" s="89">
        <v>5733.5140197171431</v>
      </c>
      <c r="CB158" s="89">
        <v>-999.06219555285747</v>
      </c>
      <c r="CC158" s="88"/>
      <c r="CD158" s="89"/>
      <c r="CE158" s="89"/>
      <c r="CF158" s="89"/>
      <c r="CG158" s="89"/>
      <c r="CH158" s="89"/>
      <c r="CI158" s="88">
        <v>41954.400000000001</v>
      </c>
      <c r="CJ158" s="89">
        <v>7864.3</v>
      </c>
      <c r="CK158" s="89">
        <v>7644.5</v>
      </c>
      <c r="CL158" s="89">
        <v>219.79999999999998</v>
      </c>
      <c r="CM158" s="89">
        <v>33835.9</v>
      </c>
      <c r="CN158" s="89">
        <v>254.2</v>
      </c>
      <c r="CO158" s="88"/>
      <c r="CP158" s="89"/>
      <c r="CQ158" s="89"/>
      <c r="CR158" s="89"/>
      <c r="CS158" s="89"/>
      <c r="CT158" s="89"/>
      <c r="CU158" s="88">
        <v>32111.466608872186</v>
      </c>
      <c r="CV158" s="89">
        <v>15288.233834492899</v>
      </c>
      <c r="CW158" s="89">
        <v>15434.1115129629</v>
      </c>
      <c r="CX158" s="89">
        <v>-145.87767847000006</v>
      </c>
      <c r="CY158" s="89">
        <v>16823.232774379288</v>
      </c>
      <c r="CZ158" s="89"/>
      <c r="DA158" s="88">
        <v>26766.321242873968</v>
      </c>
      <c r="DB158" s="89">
        <v>-3139.4397663572154</v>
      </c>
      <c r="DC158" s="89">
        <v>-3599.4115983672154</v>
      </c>
      <c r="DD158" s="89">
        <v>459.97183201000001</v>
      </c>
      <c r="DE158" s="89">
        <v>46124.504377571975</v>
      </c>
      <c r="DF158" s="89">
        <v>-16218.743368340791</v>
      </c>
      <c r="DG158" s="88">
        <v>161877.79999999999</v>
      </c>
      <c r="DH158" s="89">
        <v>123647.9</v>
      </c>
      <c r="DI158" s="89"/>
      <c r="DJ158" s="89"/>
      <c r="DK158" s="89">
        <v>45011.5</v>
      </c>
      <c r="DL158" s="89">
        <v>-6781.6</v>
      </c>
      <c r="DM158" s="88">
        <v>2197483.1878566397</v>
      </c>
      <c r="DN158" s="89">
        <v>1109496.2860000001</v>
      </c>
      <c r="DO158" s="89">
        <v>1049537.2860000001</v>
      </c>
      <c r="DP158" s="89">
        <v>59959</v>
      </c>
      <c r="DQ158" s="89">
        <v>1087986.902</v>
      </c>
      <c r="DR158" s="89"/>
      <c r="DS158" s="88">
        <v>43998.039637390335</v>
      </c>
      <c r="DT158" s="89">
        <v>43836.405237070001</v>
      </c>
      <c r="DU158" s="89">
        <v>43570.229440069998</v>
      </c>
      <c r="DV158" s="89">
        <v>266.17579699999999</v>
      </c>
      <c r="DW158" s="89">
        <v>11029.371528019999</v>
      </c>
      <c r="DX158" s="89">
        <v>-10867.737127699675</v>
      </c>
      <c r="DY158" s="88">
        <v>5737.9919689999997</v>
      </c>
      <c r="DZ158" s="89">
        <f t="shared" si="8"/>
        <v>-176.12891400000001</v>
      </c>
      <c r="EA158" s="89">
        <v>581.39820299999997</v>
      </c>
      <c r="EB158" s="89">
        <v>-757.52711699999998</v>
      </c>
      <c r="EC158" s="89">
        <v>5914.1208830000005</v>
      </c>
      <c r="ED158" s="89"/>
      <c r="EE158" s="88"/>
      <c r="EF158" s="89"/>
      <c r="EG158" s="89"/>
      <c r="EH158" s="89"/>
      <c r="EI158" s="89"/>
      <c r="EJ158" s="89"/>
      <c r="EK158" s="88">
        <v>8645030.9150689989</v>
      </c>
      <c r="EL158" s="89">
        <v>948860.18799999973</v>
      </c>
      <c r="EM158" s="89">
        <v>906245.63499999978</v>
      </c>
      <c r="EN158" s="89">
        <v>42614.553</v>
      </c>
      <c r="EO158" s="89">
        <v>7627608.9779999992</v>
      </c>
      <c r="EP158" s="89">
        <v>68561.749069000012</v>
      </c>
      <c r="EQ158" s="88">
        <v>24961.679373890001</v>
      </c>
      <c r="ER158" s="89">
        <v>-9145.8624850300002</v>
      </c>
      <c r="ES158" s="89"/>
      <c r="ET158" s="89"/>
      <c r="EU158" s="89">
        <v>56626.650654769997</v>
      </c>
      <c r="EV158" s="89">
        <v>-22519.108795849999</v>
      </c>
      <c r="EW158" s="88">
        <v>172839.61725592424</v>
      </c>
      <c r="EX158" s="89">
        <f t="shared" si="14"/>
        <v>5072.8617949999971</v>
      </c>
      <c r="EY158" s="89">
        <v>-853.34617400000207</v>
      </c>
      <c r="EZ158" s="89">
        <v>5926.2079689999991</v>
      </c>
      <c r="FA158" s="89">
        <v>152095.38557000001</v>
      </c>
      <c r="FB158" s="89">
        <v>15671.369890924216</v>
      </c>
      <c r="FC158" s="88"/>
      <c r="FD158" s="89"/>
      <c r="FE158" s="89"/>
      <c r="FF158" s="89"/>
      <c r="FG158" s="89"/>
      <c r="FH158" s="89"/>
      <c r="FI158" s="88"/>
      <c r="FJ158" s="89"/>
      <c r="FK158" s="89"/>
      <c r="FL158" s="89"/>
      <c r="FM158" s="89"/>
      <c r="FN158" s="89"/>
      <c r="FO158" s="88"/>
      <c r="FP158" s="89"/>
      <c r="FQ158" s="89"/>
      <c r="FR158" s="89"/>
      <c r="FS158" s="89"/>
      <c r="FT158" s="89"/>
      <c r="FU158" s="88"/>
      <c r="FV158" s="89"/>
      <c r="FW158" s="89"/>
      <c r="FX158" s="89"/>
      <c r="FY158" s="89"/>
      <c r="FZ158" s="89"/>
      <c r="GA158" s="120">
        <v>15361.4</v>
      </c>
      <c r="GB158" s="121">
        <v>-1068.8000000000002</v>
      </c>
      <c r="GC158" s="121">
        <v>-4297.3</v>
      </c>
      <c r="GD158" s="121">
        <v>3228.5</v>
      </c>
      <c r="GE158" s="121">
        <v>16430.2</v>
      </c>
      <c r="GF158" s="89"/>
      <c r="GG158" s="88"/>
      <c r="GH158" s="89"/>
      <c r="GI158" s="89"/>
      <c r="GJ158" s="89"/>
      <c r="GK158" s="89"/>
      <c r="GL158" s="89"/>
      <c r="GM158" s="88">
        <v>16463.861149631699</v>
      </c>
      <c r="GN158" s="89">
        <v>4276.3084149439992</v>
      </c>
      <c r="GO158" s="89">
        <v>4244.6165870832001</v>
      </c>
      <c r="GP158" s="89">
        <v>31.691827860799616</v>
      </c>
      <c r="GQ158" s="89">
        <v>10283.326303296199</v>
      </c>
      <c r="GR158" s="89">
        <v>1904.2264313915002</v>
      </c>
      <c r="GS158" s="88"/>
      <c r="GT158" s="92"/>
      <c r="GU158" s="92"/>
      <c r="GV158" s="92"/>
      <c r="GW158" s="92"/>
      <c r="GX158" s="92"/>
      <c r="GY158" s="92"/>
      <c r="GZ158" s="95"/>
      <c r="HA158" s="92"/>
      <c r="HB158" s="92"/>
      <c r="HC158" s="92"/>
      <c r="HD158" s="87"/>
      <c r="HE158" s="87"/>
      <c r="HF158" s="87"/>
      <c r="HG158" s="87"/>
      <c r="HH158" s="87"/>
      <c r="HI158" s="87"/>
      <c r="HJ158" s="87"/>
      <c r="HK158" s="87"/>
      <c r="HL158" s="88"/>
      <c r="HM158" s="87"/>
      <c r="HN158" s="87"/>
      <c r="HO158" s="87"/>
      <c r="HP158" s="87"/>
      <c r="HQ158" s="87"/>
      <c r="HR158" s="87"/>
      <c r="HS158" s="87"/>
    </row>
    <row r="159" spans="1:227" ht="12" thickBot="1">
      <c r="A159" s="102"/>
      <c r="B159" s="126" t="s">
        <v>500</v>
      </c>
      <c r="C159" s="104"/>
      <c r="D159" s="105"/>
      <c r="E159" s="105"/>
      <c r="F159" s="105"/>
      <c r="G159" s="105"/>
      <c r="H159" s="105"/>
      <c r="I159" s="104">
        <v>135045.99</v>
      </c>
      <c r="J159" s="105">
        <v>152512.842</v>
      </c>
      <c r="K159" s="105"/>
      <c r="L159" s="105"/>
      <c r="M159" s="105">
        <v>47924.323000000004</v>
      </c>
      <c r="N159" s="105">
        <v>-65391.175000000003</v>
      </c>
      <c r="O159" s="104">
        <v>4940.3999999999996</v>
      </c>
      <c r="P159" s="105">
        <v>870.8</v>
      </c>
      <c r="Q159" s="105">
        <v>651.4</v>
      </c>
      <c r="R159" s="105">
        <v>219.4</v>
      </c>
      <c r="S159" s="105">
        <v>4069.6</v>
      </c>
      <c r="T159" s="105"/>
      <c r="U159" s="104"/>
      <c r="V159" s="105"/>
      <c r="W159" s="105"/>
      <c r="X159" s="105"/>
      <c r="Y159" s="105"/>
      <c r="Z159" s="105"/>
      <c r="AA159" s="104">
        <v>953.04100000000005</v>
      </c>
      <c r="AB159" s="105">
        <v>61.753</v>
      </c>
      <c r="AC159" s="105">
        <v>32.365000000000002</v>
      </c>
      <c r="AD159" s="105">
        <v>29.388000000000002</v>
      </c>
      <c r="AE159" s="105">
        <v>891.28800000000001</v>
      </c>
      <c r="AF159" s="105"/>
      <c r="AG159" s="104">
        <v>37741.897369584003</v>
      </c>
      <c r="AH159" s="105">
        <v>8784.7813695839995</v>
      </c>
      <c r="AI159" s="105">
        <v>8784.7813695839995</v>
      </c>
      <c r="AJ159" s="105"/>
      <c r="AK159" s="105">
        <v>28957.116000000002</v>
      </c>
      <c r="AL159" s="105"/>
      <c r="AM159" s="104"/>
      <c r="AN159" s="105"/>
      <c r="AO159" s="105"/>
      <c r="AP159" s="105"/>
      <c r="AQ159" s="105"/>
      <c r="AR159" s="105"/>
      <c r="AS159" s="104">
        <v>28817000</v>
      </c>
      <c r="AT159" s="105">
        <v>3655000</v>
      </c>
      <c r="AU159" s="105">
        <v>3655000</v>
      </c>
      <c r="AV159" s="105"/>
      <c r="AW159" s="105">
        <v>30650000</v>
      </c>
      <c r="AX159" s="105">
        <v>-5488000</v>
      </c>
      <c r="AY159" s="104">
        <v>72172215.778969064</v>
      </c>
      <c r="AZ159" s="105">
        <f t="shared" si="13"/>
        <v>24281227.32428363</v>
      </c>
      <c r="BA159" s="105">
        <v>17193036.071491513</v>
      </c>
      <c r="BB159" s="105">
        <v>7088191.2527921181</v>
      </c>
      <c r="BC159" s="105">
        <v>47890988.454685427</v>
      </c>
      <c r="BD159" s="105"/>
      <c r="BE159" s="104">
        <v>2575944.6102947802</v>
      </c>
      <c r="BF159" s="105">
        <v>358023.02746884001</v>
      </c>
      <c r="BG159" s="105">
        <v>333022.18829681998</v>
      </c>
      <c r="BH159" s="105">
        <v>25000.839172020002</v>
      </c>
      <c r="BI159" s="105">
        <v>1824513.2967705501</v>
      </c>
      <c r="BJ159" s="105">
        <v>393408.28605539002</v>
      </c>
      <c r="BK159" s="104">
        <v>500.44</v>
      </c>
      <c r="BL159" s="105">
        <v>60.798999999999999</v>
      </c>
      <c r="BM159" s="105">
        <v>51.058</v>
      </c>
      <c r="BN159" s="105">
        <v>9.7409999999999997</v>
      </c>
      <c r="BO159" s="105">
        <v>439.642</v>
      </c>
      <c r="BP159" s="105"/>
      <c r="BQ159" s="104">
        <v>5083.8</v>
      </c>
      <c r="BR159" s="105">
        <v>-69.900000000000034</v>
      </c>
      <c r="BS159" s="105">
        <v>336.9</v>
      </c>
      <c r="BT159" s="105">
        <v>-406.8</v>
      </c>
      <c r="BU159" s="105">
        <v>5153.7</v>
      </c>
      <c r="BV159" s="105"/>
      <c r="BW159" s="104">
        <v>5277.0763305428582</v>
      </c>
      <c r="BX159" s="105">
        <v>481.11229431857129</v>
      </c>
      <c r="BY159" s="105">
        <v>410.60943717857128</v>
      </c>
      <c r="BZ159" s="105">
        <v>70.502857140000003</v>
      </c>
      <c r="CA159" s="105">
        <v>5769.8631327571429</v>
      </c>
      <c r="CB159" s="105">
        <v>-973.89909653285679</v>
      </c>
      <c r="CC159" s="104">
        <v>990.86300000000006</v>
      </c>
      <c r="CD159" s="105">
        <v>38.771999999999998</v>
      </c>
      <c r="CE159" s="105">
        <v>71.070999999999998</v>
      </c>
      <c r="CF159" s="105">
        <v>-32.298999999999999</v>
      </c>
      <c r="CG159" s="105">
        <v>952.09100000000001</v>
      </c>
      <c r="CH159" s="105"/>
      <c r="CI159" s="104">
        <v>43379.8</v>
      </c>
      <c r="CJ159" s="105">
        <v>9054.9</v>
      </c>
      <c r="CK159" s="105">
        <v>8798.9</v>
      </c>
      <c r="CL159" s="105">
        <v>256</v>
      </c>
      <c r="CM159" s="105">
        <v>34478.700000000004</v>
      </c>
      <c r="CN159" s="105">
        <v>-153.9</v>
      </c>
      <c r="CO159" s="104">
        <v>29141.200000000001</v>
      </c>
      <c r="CP159" s="105">
        <v>-22025.9</v>
      </c>
      <c r="CQ159" s="105">
        <v>-15330.5</v>
      </c>
      <c r="CR159" s="105">
        <v>-6695.4000000000015</v>
      </c>
      <c r="CS159" s="105">
        <v>58664.800000000003</v>
      </c>
      <c r="CT159" s="105">
        <v>-7497.7</v>
      </c>
      <c r="CU159" s="104">
        <v>33502.230208241846</v>
      </c>
      <c r="CV159" s="105">
        <v>16238.208741809196</v>
      </c>
      <c r="CW159" s="105">
        <v>16358.618710549197</v>
      </c>
      <c r="CX159" s="105">
        <v>-120.40996874000018</v>
      </c>
      <c r="CY159" s="105">
        <v>17264.021466432652</v>
      </c>
      <c r="CZ159" s="103"/>
      <c r="DA159" s="104">
        <v>27431.906911982282</v>
      </c>
      <c r="DB159" s="105">
        <v>-3048.6622244100022</v>
      </c>
      <c r="DC159" s="105">
        <v>-3542.5218922900021</v>
      </c>
      <c r="DD159" s="105">
        <v>493.85966788000002</v>
      </c>
      <c r="DE159" s="105">
        <v>46541.394045696419</v>
      </c>
      <c r="DF159" s="105">
        <v>-16060.824909304138</v>
      </c>
      <c r="DG159" s="104">
        <v>165967.80000000002</v>
      </c>
      <c r="DH159" s="105">
        <v>125307.9</v>
      </c>
      <c r="DI159" s="105"/>
      <c r="DJ159" s="105"/>
      <c r="DK159" s="105">
        <v>46718.3</v>
      </c>
      <c r="DL159" s="105">
        <v>-6058.4</v>
      </c>
      <c r="DM159" s="104">
        <v>2285865.2079238598</v>
      </c>
      <c r="DN159" s="105">
        <v>1176025.132</v>
      </c>
      <c r="DO159" s="105">
        <v>1111520.132</v>
      </c>
      <c r="DP159" s="105">
        <v>64505</v>
      </c>
      <c r="DQ159" s="105">
        <v>1109840.0759999999</v>
      </c>
      <c r="DR159" s="105"/>
      <c r="DS159" s="104">
        <v>43359.050309505998</v>
      </c>
      <c r="DT159" s="105">
        <v>42587.292452149995</v>
      </c>
      <c r="DU159" s="105">
        <v>42318.982337149995</v>
      </c>
      <c r="DV159" s="105">
        <v>268.310115</v>
      </c>
      <c r="DW159" s="105">
        <v>11263.829134880001</v>
      </c>
      <c r="DX159" s="105">
        <v>-10492.071277523994</v>
      </c>
      <c r="DY159" s="104">
        <v>5837.5963410000004</v>
      </c>
      <c r="DZ159" s="105">
        <f t="shared" si="8"/>
        <v>-90.966411999999991</v>
      </c>
      <c r="EA159" s="105">
        <v>642.42383499999994</v>
      </c>
      <c r="EB159" s="105">
        <v>-733.39024699999993</v>
      </c>
      <c r="EC159" s="105">
        <v>5928.5627529999992</v>
      </c>
      <c r="ED159" s="105"/>
      <c r="EE159" s="104">
        <v>8340.3654134418393</v>
      </c>
      <c r="EF159" s="105">
        <v>-789.94006386000001</v>
      </c>
      <c r="EG159" s="105">
        <v>-790.98354006</v>
      </c>
      <c r="EH159" s="105">
        <v>1.0434762</v>
      </c>
      <c r="EI159" s="105">
        <v>11098.99818522</v>
      </c>
      <c r="EJ159" s="105">
        <v>-1968.6927079181598</v>
      </c>
      <c r="EK159" s="104">
        <v>8594047.6786199994</v>
      </c>
      <c r="EL159" s="105">
        <v>1110577.64662</v>
      </c>
      <c r="EM159" s="105">
        <v>1081600.2526199999</v>
      </c>
      <c r="EN159" s="105">
        <v>28977.394000000022</v>
      </c>
      <c r="EO159" s="105">
        <v>7410673.942999999</v>
      </c>
      <c r="EP159" s="105">
        <v>72796.089000000007</v>
      </c>
      <c r="EQ159" s="104">
        <v>26604.34613704</v>
      </c>
      <c r="ER159" s="105">
        <v>-8247.966356339999</v>
      </c>
      <c r="ES159" s="105"/>
      <c r="ET159" s="105"/>
      <c r="EU159" s="105">
        <v>56949.732185319997</v>
      </c>
      <c r="EV159" s="105">
        <v>-22097.419691939998</v>
      </c>
      <c r="EW159" s="104">
        <v>177394.45562044668</v>
      </c>
      <c r="EX159" s="105">
        <f t="shared" si="14"/>
        <v>6749.1681210000006</v>
      </c>
      <c r="EY159" s="105">
        <v>352.57415200000105</v>
      </c>
      <c r="EZ159" s="105">
        <v>6396.5939689999996</v>
      </c>
      <c r="FA159" s="105">
        <v>156292.94053199998</v>
      </c>
      <c r="FB159" s="105">
        <v>14352.346967446712</v>
      </c>
      <c r="FC159" s="104">
        <v>827.00699999999995</v>
      </c>
      <c r="FD159" s="105">
        <v>141.00700000000001</v>
      </c>
      <c r="FE159" s="105">
        <v>266.7</v>
      </c>
      <c r="FF159" s="105">
        <v>-125.693</v>
      </c>
      <c r="FG159" s="105">
        <v>686</v>
      </c>
      <c r="FH159" s="105"/>
      <c r="FI159" s="104">
        <v>595.88699999999994</v>
      </c>
      <c r="FJ159" s="105">
        <v>-45.631999999999991</v>
      </c>
      <c r="FK159" s="105">
        <v>85.984999999999999</v>
      </c>
      <c r="FL159" s="105">
        <v>-131.61699999999999</v>
      </c>
      <c r="FM159" s="105">
        <v>641.51900000000001</v>
      </c>
      <c r="FN159" s="105"/>
      <c r="FO159" s="104">
        <v>1496.6679999999999</v>
      </c>
      <c r="FP159" s="105">
        <v>-255.19799999999998</v>
      </c>
      <c r="FQ159" s="105">
        <v>-96.341999999999999</v>
      </c>
      <c r="FR159" s="105">
        <v>-158.85599999999999</v>
      </c>
      <c r="FS159" s="105">
        <v>1751.866</v>
      </c>
      <c r="FT159" s="105"/>
      <c r="FU159" s="104"/>
      <c r="FV159" s="105"/>
      <c r="FW159" s="105"/>
      <c r="FX159" s="105"/>
      <c r="FY159" s="105"/>
      <c r="FZ159" s="105"/>
      <c r="GA159" s="104">
        <v>15935.3</v>
      </c>
      <c r="GB159" s="105">
        <v>-954.79999999999973</v>
      </c>
      <c r="GC159" s="105">
        <v>-3796.7</v>
      </c>
      <c r="GD159" s="105">
        <v>2841.9</v>
      </c>
      <c r="GE159" s="105">
        <v>16890</v>
      </c>
      <c r="GF159" s="108"/>
      <c r="GG159" s="109"/>
      <c r="GH159" s="108"/>
      <c r="GI159" s="108"/>
      <c r="GJ159" s="108"/>
      <c r="GK159" s="108"/>
      <c r="GL159" s="108"/>
      <c r="GM159" s="109">
        <v>16148.210932746344</v>
      </c>
      <c r="GN159" s="108">
        <v>4379.3289180903803</v>
      </c>
      <c r="GO159" s="108">
        <v>4343.0960971611703</v>
      </c>
      <c r="GP159" s="108">
        <v>36.232820929210632</v>
      </c>
      <c r="GQ159" s="108">
        <v>10406.551420813221</v>
      </c>
      <c r="GR159" s="129">
        <v>1362.33059384274</v>
      </c>
    </row>
    <row r="160" spans="1:227">
      <c r="A160" s="86">
        <v>2003</v>
      </c>
      <c r="B160" s="87" t="s">
        <v>489</v>
      </c>
      <c r="C160" s="88"/>
      <c r="D160" s="87"/>
      <c r="E160" s="87"/>
      <c r="F160" s="87"/>
      <c r="G160" s="87"/>
      <c r="H160" s="87"/>
      <c r="I160" s="88">
        <v>137739.27299999999</v>
      </c>
      <c r="J160" s="89">
        <v>150571.44200000001</v>
      </c>
      <c r="K160" s="89"/>
      <c r="L160" s="89"/>
      <c r="M160" s="89">
        <v>46588.493000000002</v>
      </c>
      <c r="N160" s="89">
        <v>-59420.661999999997</v>
      </c>
      <c r="O160" s="90"/>
      <c r="P160" s="91"/>
      <c r="Q160" s="91"/>
      <c r="R160" s="91"/>
      <c r="S160" s="91"/>
      <c r="T160" s="91"/>
      <c r="U160" s="90">
        <v>3607.6079999999997</v>
      </c>
      <c r="V160" s="91">
        <v>835.1</v>
      </c>
      <c r="W160" s="91">
        <v>633.6</v>
      </c>
      <c r="X160" s="91">
        <v>201.54499999999999</v>
      </c>
      <c r="Y160" s="91">
        <v>2772.5079999999998</v>
      </c>
      <c r="Z160" s="91"/>
      <c r="AA160" s="88">
        <v>993.38699999999994</v>
      </c>
      <c r="AB160" s="89">
        <v>88.486000000000004</v>
      </c>
      <c r="AC160" s="89">
        <v>59.93</v>
      </c>
      <c r="AD160" s="89">
        <v>28.556000000000001</v>
      </c>
      <c r="AE160" s="89">
        <v>904.90099999999995</v>
      </c>
      <c r="AF160" s="89"/>
      <c r="AG160" s="88">
        <v>37854.153118374001</v>
      </c>
      <c r="AH160" s="89">
        <v>9005.3891183739997</v>
      </c>
      <c r="AI160" s="89">
        <v>9005.3891183739997</v>
      </c>
      <c r="AJ160" s="89"/>
      <c r="AK160" s="89">
        <v>28848.763999999999</v>
      </c>
      <c r="AL160" s="89"/>
      <c r="AM160" s="88"/>
      <c r="AN160" s="89"/>
      <c r="AO160" s="89"/>
      <c r="AP160" s="89"/>
      <c r="AQ160" s="89"/>
      <c r="AR160" s="89"/>
      <c r="AS160" s="88">
        <v>28201000</v>
      </c>
      <c r="AT160" s="89">
        <v>3275000</v>
      </c>
      <c r="AU160" s="89">
        <v>3275000</v>
      </c>
      <c r="AV160" s="89"/>
      <c r="AW160" s="89">
        <v>30862000</v>
      </c>
      <c r="AX160" s="89">
        <v>-5936000</v>
      </c>
      <c r="AY160" s="88">
        <v>71699594.758447409</v>
      </c>
      <c r="AZ160" s="89">
        <f t="shared" si="13"/>
        <v>22970039.700073659</v>
      </c>
      <c r="BA160" s="89">
        <v>16469504.419112135</v>
      </c>
      <c r="BB160" s="89">
        <v>6500535.2809615266</v>
      </c>
      <c r="BC160" s="89">
        <v>48729555.058373734</v>
      </c>
      <c r="BD160" s="89"/>
      <c r="BE160" s="88">
        <v>2516343.55101135</v>
      </c>
      <c r="BF160" s="89">
        <v>251739.17898093999</v>
      </c>
      <c r="BG160" s="89">
        <v>228775.71884434999</v>
      </c>
      <c r="BH160" s="89">
        <v>22963.460136590002</v>
      </c>
      <c r="BI160" s="89">
        <v>1858375.38774446</v>
      </c>
      <c r="BJ160" s="89">
        <v>406228.98428595002</v>
      </c>
      <c r="BK160" s="88"/>
      <c r="BL160" s="89"/>
      <c r="BM160" s="89"/>
      <c r="BN160" s="89"/>
      <c r="BO160" s="89"/>
      <c r="BP160" s="89"/>
      <c r="BQ160" s="88">
        <v>4983.8</v>
      </c>
      <c r="BR160" s="89">
        <v>-168.3</v>
      </c>
      <c r="BS160" s="89">
        <v>255.8</v>
      </c>
      <c r="BT160" s="89">
        <v>-424.1</v>
      </c>
      <c r="BU160" s="89">
        <v>5152</v>
      </c>
      <c r="BV160" s="89"/>
      <c r="BW160" s="88">
        <v>5261.1231209528569</v>
      </c>
      <c r="BX160" s="89">
        <v>487.0948297085713</v>
      </c>
      <c r="BY160" s="89">
        <v>421.44897256857132</v>
      </c>
      <c r="BZ160" s="89">
        <v>65.645857140000004</v>
      </c>
      <c r="CA160" s="89">
        <v>5764.8924686371429</v>
      </c>
      <c r="CB160" s="89">
        <v>-990.86417739285764</v>
      </c>
      <c r="CC160" s="88"/>
      <c r="CD160" s="89"/>
      <c r="CE160" s="89"/>
      <c r="CF160" s="89"/>
      <c r="CG160" s="89"/>
      <c r="CH160" s="89"/>
      <c r="CI160" s="88">
        <v>43321.3</v>
      </c>
      <c r="CJ160" s="89">
        <v>9156.7999999999993</v>
      </c>
      <c r="CK160" s="89">
        <v>8929.5</v>
      </c>
      <c r="CL160" s="89">
        <v>227.29999999999998</v>
      </c>
      <c r="CM160" s="89">
        <v>34293</v>
      </c>
      <c r="CN160" s="89">
        <v>-128.6</v>
      </c>
      <c r="CO160" s="88"/>
      <c r="CP160" s="89"/>
      <c r="CQ160" s="89"/>
      <c r="CR160" s="89"/>
      <c r="CS160" s="89"/>
      <c r="CT160" s="89"/>
      <c r="CU160" s="88">
        <v>34507.851618743582</v>
      </c>
      <c r="CV160" s="89">
        <v>16625.506941249994</v>
      </c>
      <c r="CW160" s="89">
        <v>16741.080570349994</v>
      </c>
      <c r="CX160" s="89">
        <v>-115.57362910000015</v>
      </c>
      <c r="CY160" s="89">
        <v>17882.344677493587</v>
      </c>
      <c r="CZ160" s="89"/>
      <c r="DA160" s="88">
        <v>28725.308425258161</v>
      </c>
      <c r="DB160" s="89">
        <v>-2866.5795233351678</v>
      </c>
      <c r="DC160" s="89">
        <v>-3339.4636805151677</v>
      </c>
      <c r="DD160" s="89">
        <v>472.88415717999999</v>
      </c>
      <c r="DE160" s="89">
        <v>47835.911523793628</v>
      </c>
      <c r="DF160" s="89">
        <v>-16244.023575200299</v>
      </c>
      <c r="DG160" s="88">
        <v>156718.59999999998</v>
      </c>
      <c r="DH160" s="89">
        <v>119572.12</v>
      </c>
      <c r="DI160" s="89"/>
      <c r="DJ160" s="89"/>
      <c r="DK160" s="89">
        <v>47865.9</v>
      </c>
      <c r="DL160" s="89">
        <v>-10719.42</v>
      </c>
      <c r="DM160" s="88">
        <v>2388036.5182467499</v>
      </c>
      <c r="DN160" s="89">
        <v>1260199.2209999999</v>
      </c>
      <c r="DO160" s="89">
        <v>1195090.7209999999</v>
      </c>
      <c r="DP160" s="89">
        <v>65108.5</v>
      </c>
      <c r="DQ160" s="89">
        <v>1127837.297</v>
      </c>
      <c r="DR160" s="89"/>
      <c r="DS160" s="88">
        <v>43600.216375092234</v>
      </c>
      <c r="DT160" s="89">
        <v>42945.356243150905</v>
      </c>
      <c r="DU160" s="89">
        <v>42585.104967150903</v>
      </c>
      <c r="DV160" s="89">
        <v>360.25127599999996</v>
      </c>
      <c r="DW160" s="89">
        <v>11297.595961409999</v>
      </c>
      <c r="DX160" s="89">
        <v>-10642.735829468662</v>
      </c>
      <c r="DY160" s="88">
        <v>5673.5814700000001</v>
      </c>
      <c r="DZ160" s="89">
        <f t="shared" si="8"/>
        <v>-175.84686899999986</v>
      </c>
      <c r="EA160" s="89">
        <v>626.22579200000007</v>
      </c>
      <c r="EB160" s="89">
        <v>-802.07266099999993</v>
      </c>
      <c r="EC160" s="89">
        <v>5849.4283390000001</v>
      </c>
      <c r="ED160" s="89"/>
      <c r="EE160" s="88">
        <v>8341.1600497336876</v>
      </c>
      <c r="EF160" s="89">
        <v>-749.90973384799997</v>
      </c>
      <c r="EG160" s="89">
        <v>-750.98972120799999</v>
      </c>
      <c r="EH160" s="89">
        <v>1.0799873600000001</v>
      </c>
      <c r="EI160" s="89">
        <v>11088.1024619</v>
      </c>
      <c r="EJ160" s="89">
        <v>-1997.032678318312</v>
      </c>
      <c r="EK160" s="88">
        <v>8462244.015668001</v>
      </c>
      <c r="EL160" s="89">
        <v>1066268.9096679995</v>
      </c>
      <c r="EM160" s="89">
        <v>1037795.5536679993</v>
      </c>
      <c r="EN160" s="89">
        <v>28473.356000000033</v>
      </c>
      <c r="EO160" s="89">
        <v>7326618.7060000012</v>
      </c>
      <c r="EP160" s="89">
        <v>69356.399999999994</v>
      </c>
      <c r="EQ160" s="88">
        <v>25395.259708920003</v>
      </c>
      <c r="ER160" s="89">
        <v>-8252.7165177200004</v>
      </c>
      <c r="ES160" s="89"/>
      <c r="ET160" s="89"/>
      <c r="EU160" s="89">
        <v>55471.020555119998</v>
      </c>
      <c r="EV160" s="89">
        <v>-21823.044328479991</v>
      </c>
      <c r="EW160" s="88">
        <v>184732.29546892323</v>
      </c>
      <c r="EX160" s="89">
        <f t="shared" si="14"/>
        <v>5011.4934969999968</v>
      </c>
      <c r="EY160" s="89">
        <v>-1267.8705840000039</v>
      </c>
      <c r="EZ160" s="89">
        <v>6279.3640810000006</v>
      </c>
      <c r="FA160" s="89">
        <v>163749.44655656003</v>
      </c>
      <c r="FB160" s="89">
        <v>15971.355415363214</v>
      </c>
      <c r="FC160" s="88"/>
      <c r="FD160" s="89"/>
      <c r="FE160" s="89"/>
      <c r="FF160" s="89"/>
      <c r="FG160" s="89"/>
      <c r="FH160" s="89"/>
      <c r="FI160" s="88"/>
      <c r="FJ160" s="89"/>
      <c r="FK160" s="89"/>
      <c r="FL160" s="89"/>
      <c r="FM160" s="89"/>
      <c r="FN160" s="89"/>
      <c r="FO160" s="88"/>
      <c r="FP160" s="89"/>
      <c r="FQ160" s="89"/>
      <c r="FR160" s="89"/>
      <c r="FS160" s="89"/>
      <c r="FT160" s="89"/>
      <c r="FU160" s="88"/>
      <c r="FV160" s="89"/>
      <c r="FW160" s="89"/>
      <c r="FX160" s="89"/>
      <c r="FY160" s="89"/>
      <c r="FZ160" s="89"/>
      <c r="GA160" s="120">
        <v>15350.8</v>
      </c>
      <c r="GB160" s="121">
        <v>-1346.7000000000003</v>
      </c>
      <c r="GC160" s="121">
        <v>-3991.3</v>
      </c>
      <c r="GD160" s="121">
        <v>2644.6</v>
      </c>
      <c r="GE160" s="121">
        <v>16697.5</v>
      </c>
      <c r="GF160" s="89"/>
      <c r="GG160" s="88"/>
      <c r="GH160" s="89"/>
      <c r="GI160" s="89"/>
      <c r="GJ160" s="89"/>
      <c r="GK160" s="89"/>
      <c r="GL160" s="89"/>
      <c r="GM160" s="88">
        <v>16697.922780036832</v>
      </c>
      <c r="GN160" s="89">
        <v>4814.8445677582104</v>
      </c>
      <c r="GO160" s="89">
        <v>4768.31996874585</v>
      </c>
      <c r="GP160" s="89">
        <v>46.524599012359978</v>
      </c>
      <c r="GQ160" s="89">
        <v>10337.120018406762</v>
      </c>
      <c r="GR160" s="89">
        <v>1545.9581938718602</v>
      </c>
      <c r="GS160" s="88"/>
      <c r="GT160" s="87"/>
      <c r="GU160" s="87"/>
      <c r="GV160" s="87"/>
      <c r="GW160" s="87"/>
      <c r="GX160" s="87"/>
      <c r="GY160" s="87"/>
      <c r="GZ160" s="88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8"/>
      <c r="HM160" s="87"/>
      <c r="HN160" s="87"/>
      <c r="HO160" s="87"/>
      <c r="HP160" s="87"/>
      <c r="HQ160" s="87"/>
      <c r="HR160" s="87"/>
      <c r="HS160" s="87"/>
    </row>
    <row r="161" spans="1:227">
      <c r="A161" s="69"/>
      <c r="B161" s="87" t="s">
        <v>490</v>
      </c>
      <c r="C161" s="88"/>
      <c r="D161" s="87"/>
      <c r="E161" s="87"/>
      <c r="F161" s="87"/>
      <c r="G161" s="87"/>
      <c r="H161" s="87"/>
      <c r="I161" s="88">
        <v>137262.75899999999</v>
      </c>
      <c r="J161" s="89">
        <v>149424.753</v>
      </c>
      <c r="K161" s="89"/>
      <c r="L161" s="89"/>
      <c r="M161" s="89">
        <v>46057.732000000004</v>
      </c>
      <c r="N161" s="89">
        <v>-58219.726000000002</v>
      </c>
      <c r="O161" s="90"/>
      <c r="P161" s="91"/>
      <c r="Q161" s="91"/>
      <c r="R161" s="91"/>
      <c r="S161" s="91"/>
      <c r="T161" s="91"/>
      <c r="U161" s="90">
        <v>3676.248</v>
      </c>
      <c r="V161" s="91">
        <v>916.4</v>
      </c>
      <c r="W161" s="91">
        <v>684.7</v>
      </c>
      <c r="X161" s="91">
        <v>231.744</v>
      </c>
      <c r="Y161" s="91">
        <v>2759.848</v>
      </c>
      <c r="Z161" s="91"/>
      <c r="AA161" s="88">
        <v>1020.415</v>
      </c>
      <c r="AB161" s="89">
        <v>116.819</v>
      </c>
      <c r="AC161" s="89">
        <v>93.668000000000006</v>
      </c>
      <c r="AD161" s="89">
        <v>23.151</v>
      </c>
      <c r="AE161" s="89">
        <v>903.596</v>
      </c>
      <c r="AF161" s="89"/>
      <c r="AG161" s="88">
        <v>38087.085641290003</v>
      </c>
      <c r="AH161" s="89">
        <v>9446.5786412899997</v>
      </c>
      <c r="AI161" s="89">
        <v>9446.5786412899997</v>
      </c>
      <c r="AJ161" s="89"/>
      <c r="AK161" s="89">
        <v>28640.507000000001</v>
      </c>
      <c r="AL161" s="89"/>
      <c r="AM161" s="88"/>
      <c r="AN161" s="89"/>
      <c r="AO161" s="89"/>
      <c r="AP161" s="89"/>
      <c r="AQ161" s="89"/>
      <c r="AR161" s="89"/>
      <c r="AS161" s="88">
        <v>28367000</v>
      </c>
      <c r="AT161" s="89">
        <v>3413000</v>
      </c>
      <c r="AU161" s="89">
        <v>3413000</v>
      </c>
      <c r="AV161" s="89"/>
      <c r="AW161" s="89">
        <v>31095000</v>
      </c>
      <c r="AX161" s="89">
        <v>-6141000</v>
      </c>
      <c r="AY161" s="88">
        <v>71442989.806296945</v>
      </c>
      <c r="AZ161" s="89">
        <f t="shared" si="13"/>
        <v>22391079.016176533</v>
      </c>
      <c r="BA161" s="89">
        <v>15805885.183694577</v>
      </c>
      <c r="BB161" s="89">
        <v>6585193.832481957</v>
      </c>
      <c r="BC161" s="89">
        <v>49051910.790120408</v>
      </c>
      <c r="BD161" s="89"/>
      <c r="BE161" s="88">
        <v>2573781.08929413</v>
      </c>
      <c r="BF161" s="89">
        <v>271432.86758995999</v>
      </c>
      <c r="BG161" s="89">
        <v>247477.05863933999</v>
      </c>
      <c r="BH161" s="89">
        <v>23955.808950620001</v>
      </c>
      <c r="BI161" s="89">
        <v>1894226.1744812401</v>
      </c>
      <c r="BJ161" s="89">
        <v>408122.04722293001</v>
      </c>
      <c r="BK161" s="88"/>
      <c r="BL161" s="89"/>
      <c r="BM161" s="89"/>
      <c r="BN161" s="89"/>
      <c r="BO161" s="89"/>
      <c r="BP161" s="89"/>
      <c r="BQ161" s="88">
        <v>5046.1000000000004</v>
      </c>
      <c r="BR161" s="89">
        <v>-101.39999999999998</v>
      </c>
      <c r="BS161" s="89">
        <v>349.5</v>
      </c>
      <c r="BT161" s="89">
        <v>-450.9</v>
      </c>
      <c r="BU161" s="89">
        <v>5147.6000000000004</v>
      </c>
      <c r="BV161" s="89"/>
      <c r="BW161" s="88">
        <v>5353.668476132857</v>
      </c>
      <c r="BX161" s="89">
        <v>557.60196488857162</v>
      </c>
      <c r="BY161" s="89">
        <v>488.29510774857158</v>
      </c>
      <c r="BZ161" s="89">
        <v>69.306857140000005</v>
      </c>
      <c r="CA161" s="89">
        <v>5808.1157915671429</v>
      </c>
      <c r="CB161" s="89">
        <v>-1012.0492586228572</v>
      </c>
      <c r="CC161" s="88"/>
      <c r="CD161" s="89"/>
      <c r="CE161" s="89"/>
      <c r="CF161" s="89"/>
      <c r="CG161" s="89"/>
      <c r="CH161" s="89"/>
      <c r="CI161" s="88">
        <v>42953.5</v>
      </c>
      <c r="CJ161" s="89">
        <v>9000.4</v>
      </c>
      <c r="CK161" s="89">
        <v>8764.4</v>
      </c>
      <c r="CL161" s="89">
        <v>236</v>
      </c>
      <c r="CM161" s="89">
        <v>34255.300000000003</v>
      </c>
      <c r="CN161" s="89">
        <v>-302.2</v>
      </c>
      <c r="CO161" s="88"/>
      <c r="CP161" s="89"/>
      <c r="CQ161" s="89"/>
      <c r="CR161" s="89"/>
      <c r="CS161" s="89"/>
      <c r="CT161" s="89"/>
      <c r="CU161" s="88">
        <v>36266.200418143417</v>
      </c>
      <c r="CV161" s="89">
        <v>17040.744432108291</v>
      </c>
      <c r="CW161" s="89">
        <v>17168.529543580604</v>
      </c>
      <c r="CX161" s="89">
        <v>-127.78511147231404</v>
      </c>
      <c r="CY161" s="89">
        <v>19225.455986035122</v>
      </c>
      <c r="CZ161" s="89"/>
      <c r="DA161" s="88">
        <v>29429.459456063734</v>
      </c>
      <c r="DB161" s="89">
        <v>-2659.1203002650032</v>
      </c>
      <c r="DC161" s="89">
        <v>-3129.4632094750032</v>
      </c>
      <c r="DD161" s="89">
        <v>470.34290921000002</v>
      </c>
      <c r="DE161" s="89">
        <v>48366.276256660283</v>
      </c>
      <c r="DF161" s="89">
        <v>-16277.696500331547</v>
      </c>
      <c r="DG161" s="88">
        <v>168640.6</v>
      </c>
      <c r="DH161" s="89">
        <v>128604.1</v>
      </c>
      <c r="DI161" s="89"/>
      <c r="DJ161" s="89"/>
      <c r="DK161" s="89">
        <v>49165</v>
      </c>
      <c r="DL161" s="89">
        <v>-9128.5</v>
      </c>
      <c r="DM161" s="88">
        <v>2376772.3324763398</v>
      </c>
      <c r="DN161" s="89">
        <v>1254598.855</v>
      </c>
      <c r="DO161" s="89">
        <v>1187811.355</v>
      </c>
      <c r="DP161" s="89">
        <v>66787.5</v>
      </c>
      <c r="DQ161" s="89">
        <v>1122173.477</v>
      </c>
      <c r="DR161" s="89"/>
      <c r="DS161" s="88">
        <v>44136.694742931839</v>
      </c>
      <c r="DT161" s="89">
        <v>43022.043010270012</v>
      </c>
      <c r="DU161" s="89">
        <v>42685.02546527001</v>
      </c>
      <c r="DV161" s="89">
        <v>337.01754499999998</v>
      </c>
      <c r="DW161" s="89">
        <v>11664.26440296</v>
      </c>
      <c r="DX161" s="89">
        <v>-10549.612670298176</v>
      </c>
      <c r="DY161" s="88">
        <v>5807.9129929999999</v>
      </c>
      <c r="DZ161" s="89">
        <f t="shared" si="8"/>
        <v>-145.28379300000006</v>
      </c>
      <c r="EA161" s="89">
        <v>640.15442099999996</v>
      </c>
      <c r="EB161" s="89">
        <v>-785.43821400000002</v>
      </c>
      <c r="EC161" s="89">
        <v>5953.1967860000004</v>
      </c>
      <c r="ED161" s="89"/>
      <c r="EE161" s="88">
        <v>7976.9747538166012</v>
      </c>
      <c r="EF161" s="89">
        <v>-953.22081944799947</v>
      </c>
      <c r="EG161" s="89">
        <v>-954.2923107179995</v>
      </c>
      <c r="EH161" s="89">
        <v>1.0714912700000001</v>
      </c>
      <c r="EI161" s="89">
        <v>11044.42130032</v>
      </c>
      <c r="EJ161" s="89">
        <v>-2114.2257270554005</v>
      </c>
      <c r="EK161" s="88">
        <v>8350846.8763049999</v>
      </c>
      <c r="EL161" s="89">
        <v>1020573.1279999996</v>
      </c>
      <c r="EM161" s="89">
        <v>1000188.5269999995</v>
      </c>
      <c r="EN161" s="89">
        <v>20384.60100000005</v>
      </c>
      <c r="EO161" s="89">
        <v>7261976.973305</v>
      </c>
      <c r="EP161" s="89">
        <v>68296.774999999994</v>
      </c>
      <c r="EQ161" s="88">
        <v>25199.612724359999</v>
      </c>
      <c r="ER161" s="89">
        <v>-8824.1537104400013</v>
      </c>
      <c r="ES161" s="89"/>
      <c r="ET161" s="89"/>
      <c r="EU161" s="89">
        <v>55851.595392399991</v>
      </c>
      <c r="EV161" s="89">
        <v>-21827.828957599995</v>
      </c>
      <c r="EW161" s="88">
        <v>180091.78391424019</v>
      </c>
      <c r="EX161" s="89">
        <f t="shared" si="14"/>
        <v>1398.252534999996</v>
      </c>
      <c r="EY161" s="89">
        <v>-4638.2169890000041</v>
      </c>
      <c r="EZ161" s="89">
        <v>6036.4695240000001</v>
      </c>
      <c r="FA161" s="89">
        <v>163293.39016817999</v>
      </c>
      <c r="FB161" s="89">
        <v>15400.14121106021</v>
      </c>
      <c r="FC161" s="88"/>
      <c r="FD161" s="89"/>
      <c r="FE161" s="89"/>
      <c r="FF161" s="89"/>
      <c r="FG161" s="89"/>
      <c r="FH161" s="89"/>
      <c r="FI161" s="88"/>
      <c r="FJ161" s="89"/>
      <c r="FK161" s="89"/>
      <c r="FL161" s="89"/>
      <c r="FM161" s="89"/>
      <c r="FN161" s="89"/>
      <c r="FO161" s="88"/>
      <c r="FP161" s="89"/>
      <c r="FQ161" s="89"/>
      <c r="FR161" s="89"/>
      <c r="FS161" s="89"/>
      <c r="FT161" s="89"/>
      <c r="FU161" s="88"/>
      <c r="FV161" s="89"/>
      <c r="FW161" s="89"/>
      <c r="FX161" s="89"/>
      <c r="FY161" s="89"/>
      <c r="FZ161" s="89"/>
      <c r="GA161" s="120">
        <v>15834.6</v>
      </c>
      <c r="GB161" s="121">
        <v>-934.69999999999982</v>
      </c>
      <c r="GC161" s="121">
        <v>-3376.1</v>
      </c>
      <c r="GD161" s="121">
        <v>2441.4</v>
      </c>
      <c r="GE161" s="121">
        <v>16769.2</v>
      </c>
      <c r="GF161" s="89"/>
      <c r="GG161" s="88"/>
      <c r="GH161" s="89"/>
      <c r="GI161" s="89"/>
      <c r="GJ161" s="89"/>
      <c r="GK161" s="89"/>
      <c r="GL161" s="89"/>
      <c r="GM161" s="88">
        <v>17350.82813997646</v>
      </c>
      <c r="GN161" s="89">
        <v>4996.5466176383507</v>
      </c>
      <c r="GO161" s="89">
        <v>4963.5024374436798</v>
      </c>
      <c r="GP161" s="89">
        <v>33.044180194670332</v>
      </c>
      <c r="GQ161" s="89">
        <v>9907.1133558253296</v>
      </c>
      <c r="GR161" s="89">
        <v>2447.1681665127799</v>
      </c>
      <c r="GS161" s="88"/>
      <c r="GT161" s="87"/>
      <c r="GU161" s="87"/>
      <c r="GV161" s="87"/>
      <c r="GW161" s="87"/>
      <c r="GX161" s="87"/>
      <c r="GY161" s="87"/>
      <c r="GZ161" s="88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8"/>
      <c r="HM161" s="87"/>
      <c r="HN161" s="87"/>
      <c r="HO161" s="87"/>
      <c r="HP161" s="87"/>
      <c r="HQ161" s="87"/>
      <c r="HR161" s="87"/>
      <c r="HS161" s="87"/>
    </row>
    <row r="162" spans="1:227">
      <c r="A162" s="69"/>
      <c r="B162" s="87" t="s">
        <v>491</v>
      </c>
      <c r="C162" s="88"/>
      <c r="D162" s="87"/>
      <c r="E162" s="87"/>
      <c r="F162" s="87"/>
      <c r="G162" s="87"/>
      <c r="H162" s="87"/>
      <c r="I162" s="88">
        <v>133484.27899999998</v>
      </c>
      <c r="J162" s="89">
        <v>140551.94699999999</v>
      </c>
      <c r="K162" s="89"/>
      <c r="L162" s="89"/>
      <c r="M162" s="89">
        <v>44490.562999999995</v>
      </c>
      <c r="N162" s="89">
        <v>-51558.231</v>
      </c>
      <c r="O162" s="90"/>
      <c r="P162" s="91"/>
      <c r="Q162" s="91"/>
      <c r="R162" s="91"/>
      <c r="S162" s="91"/>
      <c r="T162" s="91"/>
      <c r="U162" s="90">
        <v>3595.0940000000001</v>
      </c>
      <c r="V162" s="91">
        <v>867.9</v>
      </c>
      <c r="W162" s="91">
        <v>637.6</v>
      </c>
      <c r="X162" s="91">
        <v>230.30500000000001</v>
      </c>
      <c r="Y162" s="91">
        <v>2727.194</v>
      </c>
      <c r="Z162" s="91"/>
      <c r="AA162" s="88">
        <v>1048.2940000000001</v>
      </c>
      <c r="AB162" s="89">
        <v>133.80199999999999</v>
      </c>
      <c r="AC162" s="89">
        <v>110.642</v>
      </c>
      <c r="AD162" s="89">
        <v>23.16</v>
      </c>
      <c r="AE162" s="89">
        <v>914.49199999999996</v>
      </c>
      <c r="AF162" s="89"/>
      <c r="AG162" s="88">
        <v>38220.924695164002</v>
      </c>
      <c r="AH162" s="89">
        <v>9356.2206951639982</v>
      </c>
      <c r="AI162" s="89">
        <v>9356.2206951639982</v>
      </c>
      <c r="AJ162" s="89"/>
      <c r="AK162" s="89">
        <v>28864.704000000002</v>
      </c>
      <c r="AL162" s="89"/>
      <c r="AM162" s="88"/>
      <c r="AN162" s="89"/>
      <c r="AO162" s="89"/>
      <c r="AP162" s="89"/>
      <c r="AQ162" s="89"/>
      <c r="AR162" s="89"/>
      <c r="AS162" s="88">
        <v>29164000</v>
      </c>
      <c r="AT162" s="89">
        <v>3340000</v>
      </c>
      <c r="AU162" s="89">
        <v>3340000</v>
      </c>
      <c r="AV162" s="89"/>
      <c r="AW162" s="89">
        <v>31250000</v>
      </c>
      <c r="AX162" s="89">
        <v>-5426000</v>
      </c>
      <c r="AY162" s="88">
        <v>71567101.007340118</v>
      </c>
      <c r="AZ162" s="89">
        <f t="shared" si="13"/>
        <v>22536932.310513582</v>
      </c>
      <c r="BA162" s="89">
        <v>15429906.791082574</v>
      </c>
      <c r="BB162" s="89">
        <v>7107025.519431008</v>
      </c>
      <c r="BC162" s="89">
        <v>49030168.696826525</v>
      </c>
      <c r="BD162" s="89"/>
      <c r="BE162" s="88">
        <v>2594792.3682689802</v>
      </c>
      <c r="BF162" s="89">
        <v>262028.64148433</v>
      </c>
      <c r="BG162" s="89">
        <v>234553.41915781001</v>
      </c>
      <c r="BH162" s="89">
        <v>27475.222326520001</v>
      </c>
      <c r="BI162" s="89">
        <v>1899726.7287792899</v>
      </c>
      <c r="BJ162" s="89">
        <v>433036.99800536002</v>
      </c>
      <c r="BK162" s="88"/>
      <c r="BL162" s="89"/>
      <c r="BM162" s="89"/>
      <c r="BN162" s="89"/>
      <c r="BO162" s="89"/>
      <c r="BP162" s="89"/>
      <c r="BQ162" s="88">
        <v>4946.3999999999996</v>
      </c>
      <c r="BR162" s="89">
        <v>-250.29999999999998</v>
      </c>
      <c r="BS162" s="89">
        <v>244.1</v>
      </c>
      <c r="BT162" s="89">
        <v>-494.4</v>
      </c>
      <c r="BU162" s="89">
        <v>5196.6000000000004</v>
      </c>
      <c r="BV162" s="89"/>
      <c r="BW162" s="88">
        <v>5212.4160806828577</v>
      </c>
      <c r="BX162" s="89">
        <v>365.92262592857151</v>
      </c>
      <c r="BY162" s="89">
        <v>297.04376878857147</v>
      </c>
      <c r="BZ162" s="89">
        <v>68.878857140000008</v>
      </c>
      <c r="CA162" s="89">
        <v>5855.3757403071431</v>
      </c>
      <c r="CB162" s="89">
        <v>-1008.8830067328574</v>
      </c>
      <c r="CC162" s="88"/>
      <c r="CD162" s="89"/>
      <c r="CE162" s="89"/>
      <c r="CF162" s="89"/>
      <c r="CG162" s="89"/>
      <c r="CH162" s="89"/>
      <c r="CI162" s="88">
        <v>43553.1</v>
      </c>
      <c r="CJ162" s="89">
        <v>9310.0999999999985</v>
      </c>
      <c r="CK162" s="89">
        <v>9075.2999999999993</v>
      </c>
      <c r="CL162" s="89">
        <v>234.8</v>
      </c>
      <c r="CM162" s="89">
        <v>34778.1</v>
      </c>
      <c r="CN162" s="89">
        <v>-535.1</v>
      </c>
      <c r="CO162" s="88">
        <v>24432.5</v>
      </c>
      <c r="CP162" s="89">
        <v>-15712.4</v>
      </c>
      <c r="CQ162" s="89">
        <v>-9741.7999999999993</v>
      </c>
      <c r="CR162" s="89">
        <v>-5970.6</v>
      </c>
      <c r="CS162" s="89">
        <v>48467.199999999997</v>
      </c>
      <c r="CT162" s="89">
        <v>-8322.2999999999993</v>
      </c>
      <c r="CU162" s="88">
        <v>36186.850205791459</v>
      </c>
      <c r="CV162" s="89">
        <v>17655.569730445313</v>
      </c>
      <c r="CW162" s="89">
        <v>17742.473571045201</v>
      </c>
      <c r="CX162" s="89">
        <v>-86.903840599888113</v>
      </c>
      <c r="CY162" s="89">
        <v>18531.28047534615</v>
      </c>
      <c r="CZ162" s="89"/>
      <c r="DA162" s="88">
        <v>30314.300475782853</v>
      </c>
      <c r="DB162" s="89">
        <v>-2547.657834420198</v>
      </c>
      <c r="DC162" s="89">
        <v>-3145.5341847901982</v>
      </c>
      <c r="DD162" s="89">
        <v>597.87635036999995</v>
      </c>
      <c r="DE162" s="89">
        <v>49092.88534406828</v>
      </c>
      <c r="DF162" s="89">
        <v>-16230.927033865228</v>
      </c>
      <c r="DG162" s="88">
        <v>159971.94</v>
      </c>
      <c r="DH162" s="89">
        <v>119654.08</v>
      </c>
      <c r="DI162" s="89"/>
      <c r="DJ162" s="89"/>
      <c r="DK162" s="89">
        <v>50293.26</v>
      </c>
      <c r="DL162" s="89">
        <v>-9975.4</v>
      </c>
      <c r="DM162" s="88">
        <v>2404243.9018291803</v>
      </c>
      <c r="DN162" s="89">
        <v>1284736.355</v>
      </c>
      <c r="DO162" s="89">
        <v>1223925.9550000001</v>
      </c>
      <c r="DP162" s="89">
        <v>60810.400000000001</v>
      </c>
      <c r="DQ162" s="89">
        <v>1119507.547</v>
      </c>
      <c r="DR162" s="89"/>
      <c r="DS162" s="88">
        <v>44320.741735303767</v>
      </c>
      <c r="DT162" s="89">
        <v>42924.625551729994</v>
      </c>
      <c r="DU162" s="89">
        <v>42637.533738729995</v>
      </c>
      <c r="DV162" s="89">
        <v>287.091813</v>
      </c>
      <c r="DW162" s="89">
        <v>11625.705255140001</v>
      </c>
      <c r="DX162" s="89">
        <v>-10229.589071566234</v>
      </c>
      <c r="DY162" s="88">
        <v>5675.1304529999998</v>
      </c>
      <c r="DZ162" s="89">
        <f t="shared" si="8"/>
        <v>-268.44010000000003</v>
      </c>
      <c r="EA162" s="89">
        <v>493.00234699999999</v>
      </c>
      <c r="EB162" s="89">
        <v>-761.44244700000002</v>
      </c>
      <c r="EC162" s="89">
        <v>5943.5705530000005</v>
      </c>
      <c r="ED162" s="89"/>
      <c r="EE162" s="88">
        <v>7841.258397804635</v>
      </c>
      <c r="EF162" s="89">
        <v>-916.08742041799974</v>
      </c>
      <c r="EG162" s="89">
        <v>-917.15889661799974</v>
      </c>
      <c r="EH162" s="89">
        <v>1.0714762</v>
      </c>
      <c r="EI162" s="89">
        <v>11087.169467879998</v>
      </c>
      <c r="EJ162" s="89">
        <v>-2329.8236496573627</v>
      </c>
      <c r="EK162" s="88">
        <v>8388982.0490000006</v>
      </c>
      <c r="EL162" s="89">
        <v>1143923.3169999996</v>
      </c>
      <c r="EM162" s="89">
        <v>1174392.8149999995</v>
      </c>
      <c r="EN162" s="89">
        <v>-30469.497999999985</v>
      </c>
      <c r="EO162" s="89">
        <v>7180596.7210000008</v>
      </c>
      <c r="EP162" s="89">
        <v>64462.010999999999</v>
      </c>
      <c r="EQ162" s="88">
        <v>25118.64154470999</v>
      </c>
      <c r="ER162" s="89">
        <v>-9260.4240117600002</v>
      </c>
      <c r="ES162" s="89"/>
      <c r="ET162" s="89"/>
      <c r="EU162" s="89">
        <v>56084.274161149995</v>
      </c>
      <c r="EV162" s="89">
        <v>-21705.208604680003</v>
      </c>
      <c r="EW162" s="88">
        <v>201859.74000489924</v>
      </c>
      <c r="EX162" s="89">
        <f t="shared" si="14"/>
        <v>1863.8231619999997</v>
      </c>
      <c r="EY162" s="89">
        <v>-4218.7890200000002</v>
      </c>
      <c r="EZ162" s="89">
        <v>6082.6121819999998</v>
      </c>
      <c r="FA162" s="89">
        <v>174643.67514959001</v>
      </c>
      <c r="FB162" s="89">
        <v>25352.241693309235</v>
      </c>
      <c r="FC162" s="88"/>
      <c r="FD162" s="89"/>
      <c r="FE162" s="89"/>
      <c r="FF162" s="89"/>
      <c r="FG162" s="89"/>
      <c r="FH162" s="89"/>
      <c r="FI162" s="88"/>
      <c r="FJ162" s="89"/>
      <c r="FK162" s="89"/>
      <c r="FL162" s="89"/>
      <c r="FM162" s="89"/>
      <c r="FN162" s="89"/>
      <c r="FO162" s="88"/>
      <c r="FP162" s="89"/>
      <c r="FQ162" s="89"/>
      <c r="FR162" s="89"/>
      <c r="FS162" s="89"/>
      <c r="FT162" s="89"/>
      <c r="FU162" s="88"/>
      <c r="FV162" s="89"/>
      <c r="FW162" s="89"/>
      <c r="FX162" s="89"/>
      <c r="FY162" s="89"/>
      <c r="FZ162" s="89"/>
      <c r="GA162" s="88">
        <v>15667.6</v>
      </c>
      <c r="GB162" s="89">
        <v>-1140.3000000000002</v>
      </c>
      <c r="GC162" s="89">
        <v>-3557.3</v>
      </c>
      <c r="GD162" s="89">
        <v>2417</v>
      </c>
      <c r="GE162" s="89">
        <v>16807.8</v>
      </c>
      <c r="GF162" s="89"/>
      <c r="GG162" s="88"/>
      <c r="GH162" s="89"/>
      <c r="GI162" s="89"/>
      <c r="GJ162" s="89"/>
      <c r="GK162" s="89"/>
      <c r="GL162" s="89"/>
      <c r="GM162" s="96">
        <v>16915.978100488992</v>
      </c>
      <c r="GN162" s="89">
        <v>4703.0180942006491</v>
      </c>
      <c r="GO162" s="89">
        <v>4673.4831168503606</v>
      </c>
      <c r="GP162" s="94">
        <v>29.534977350289001</v>
      </c>
      <c r="GQ162" s="89">
        <v>9460.2736469262418</v>
      </c>
      <c r="GR162" s="89">
        <v>2752.6863593621001</v>
      </c>
      <c r="GS162" s="96"/>
      <c r="GT162" s="87"/>
      <c r="GU162" s="87"/>
      <c r="GV162" s="87"/>
      <c r="GW162" s="87"/>
      <c r="GX162" s="87"/>
      <c r="GY162" s="87"/>
      <c r="GZ162" s="88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8"/>
      <c r="HM162" s="87"/>
      <c r="HN162" s="87"/>
      <c r="HO162" s="87"/>
      <c r="HP162" s="87"/>
      <c r="HQ162" s="87"/>
      <c r="HR162" s="87"/>
      <c r="HS162" s="87"/>
    </row>
    <row r="163" spans="1:227">
      <c r="A163" s="69"/>
      <c r="B163" s="87" t="s">
        <v>492</v>
      </c>
      <c r="C163" s="88"/>
      <c r="D163" s="87"/>
      <c r="E163" s="87"/>
      <c r="F163" s="87"/>
      <c r="G163" s="87"/>
      <c r="H163" s="87"/>
      <c r="I163" s="88">
        <v>131917.70500000002</v>
      </c>
      <c r="J163" s="89">
        <v>138452.73300000001</v>
      </c>
      <c r="K163" s="89"/>
      <c r="L163" s="89"/>
      <c r="M163" s="89">
        <v>43972.014999999999</v>
      </c>
      <c r="N163" s="89">
        <v>-50507.042999999998</v>
      </c>
      <c r="O163" s="90"/>
      <c r="P163" s="91"/>
      <c r="Q163" s="91"/>
      <c r="R163" s="91"/>
      <c r="S163" s="91"/>
      <c r="T163" s="91"/>
      <c r="U163" s="90">
        <v>3721.886</v>
      </c>
      <c r="V163" s="91">
        <v>1001.4</v>
      </c>
      <c r="W163" s="91">
        <v>771.4</v>
      </c>
      <c r="X163" s="91">
        <v>229.929</v>
      </c>
      <c r="Y163" s="91">
        <v>2720.4859999999999</v>
      </c>
      <c r="Z163" s="91"/>
      <c r="AA163" s="88">
        <v>1083.4459999999999</v>
      </c>
      <c r="AB163" s="89">
        <v>150.61199999999999</v>
      </c>
      <c r="AC163" s="89">
        <v>127.646</v>
      </c>
      <c r="AD163" s="89">
        <v>22.966000000000001</v>
      </c>
      <c r="AE163" s="89">
        <v>932.83399999999995</v>
      </c>
      <c r="AF163" s="89"/>
      <c r="AG163" s="88">
        <v>38294.581340122</v>
      </c>
      <c r="AH163" s="89">
        <v>9391.9893401219997</v>
      </c>
      <c r="AI163" s="89">
        <v>9391.9893401219997</v>
      </c>
      <c r="AJ163" s="89"/>
      <c r="AK163" s="89">
        <v>28902.592000000001</v>
      </c>
      <c r="AL163" s="89"/>
      <c r="AM163" s="88"/>
      <c r="AN163" s="89"/>
      <c r="AO163" s="89"/>
      <c r="AP163" s="89"/>
      <c r="AQ163" s="89"/>
      <c r="AR163" s="89"/>
      <c r="AS163" s="88">
        <v>29680000</v>
      </c>
      <c r="AT163" s="89">
        <v>3548000</v>
      </c>
      <c r="AU163" s="89">
        <v>3548000</v>
      </c>
      <c r="AV163" s="89"/>
      <c r="AW163" s="89">
        <v>31659000</v>
      </c>
      <c r="AX163" s="89">
        <v>-5527000</v>
      </c>
      <c r="AY163" s="88">
        <v>73365140.886154696</v>
      </c>
      <c r="AZ163" s="89">
        <f t="shared" si="13"/>
        <v>23031179.954479646</v>
      </c>
      <c r="BA163" s="89">
        <v>16753608.715872757</v>
      </c>
      <c r="BB163" s="89">
        <v>6277571.2386068888</v>
      </c>
      <c r="BC163" s="89">
        <v>50333960.931675047</v>
      </c>
      <c r="BD163" s="89"/>
      <c r="BE163" s="88">
        <v>2769076.2465542699</v>
      </c>
      <c r="BF163" s="89">
        <v>400171.74260464997</v>
      </c>
      <c r="BG163" s="89">
        <v>373431.98227789998</v>
      </c>
      <c r="BH163" s="89">
        <v>26739.760326750002</v>
      </c>
      <c r="BI163" s="89">
        <v>1913464.2213198799</v>
      </c>
      <c r="BJ163" s="89">
        <v>455440.28262974002</v>
      </c>
      <c r="BK163" s="88"/>
      <c r="BL163" s="89"/>
      <c r="BM163" s="89"/>
      <c r="BN163" s="89"/>
      <c r="BO163" s="89"/>
      <c r="BP163" s="89"/>
      <c r="BQ163" s="88">
        <v>4750.2</v>
      </c>
      <c r="BR163" s="89">
        <v>-468.7</v>
      </c>
      <c r="BS163" s="89">
        <v>57.3</v>
      </c>
      <c r="BT163" s="89">
        <v>-526</v>
      </c>
      <c r="BU163" s="89">
        <v>5219</v>
      </c>
      <c r="BV163" s="89"/>
      <c r="BW163" s="88">
        <v>5308.7899584128581</v>
      </c>
      <c r="BX163" s="89">
        <v>381.30242867857135</v>
      </c>
      <c r="BY163" s="89">
        <v>318.31057153857137</v>
      </c>
      <c r="BZ163" s="89">
        <v>62.99185714</v>
      </c>
      <c r="CA163" s="89">
        <v>5917.1969910871439</v>
      </c>
      <c r="CB163" s="89">
        <v>-989.70946135285681</v>
      </c>
      <c r="CC163" s="88"/>
      <c r="CD163" s="89"/>
      <c r="CE163" s="89"/>
      <c r="CF163" s="89"/>
      <c r="CG163" s="89"/>
      <c r="CH163" s="89"/>
      <c r="CI163" s="88">
        <v>43383.7</v>
      </c>
      <c r="CJ163" s="89">
        <v>8946.1</v>
      </c>
      <c r="CK163" s="89">
        <v>8674.1</v>
      </c>
      <c r="CL163" s="89">
        <v>272</v>
      </c>
      <c r="CM163" s="89">
        <v>34843</v>
      </c>
      <c r="CN163" s="89">
        <v>-405.4</v>
      </c>
      <c r="CO163" s="88"/>
      <c r="CP163" s="89"/>
      <c r="CQ163" s="89"/>
      <c r="CR163" s="89"/>
      <c r="CS163" s="89"/>
      <c r="CT163" s="89"/>
      <c r="CU163" s="88">
        <v>36501.9007711495</v>
      </c>
      <c r="CV163" s="89">
        <v>17863.45951978727</v>
      </c>
      <c r="CW163" s="89">
        <v>18072.851843638786</v>
      </c>
      <c r="CX163" s="89">
        <v>-209.39232385151607</v>
      </c>
      <c r="CY163" s="89">
        <v>18638.44125136223</v>
      </c>
      <c r="CZ163" s="89"/>
      <c r="DA163" s="88">
        <v>29810.477284432636</v>
      </c>
      <c r="DB163" s="89">
        <v>-2603.3792407297046</v>
      </c>
      <c r="DC163" s="89">
        <v>-3159.8742406797046</v>
      </c>
      <c r="DD163" s="89">
        <v>556.49499994999996</v>
      </c>
      <c r="DE163" s="89">
        <v>49651.276628618361</v>
      </c>
      <c r="DF163" s="89">
        <v>-17237.420103456017</v>
      </c>
      <c r="DG163" s="88">
        <v>187198.2</v>
      </c>
      <c r="DH163" s="89">
        <v>142735.4</v>
      </c>
      <c r="DI163" s="89"/>
      <c r="DJ163" s="89"/>
      <c r="DK163" s="89">
        <v>53332.3</v>
      </c>
      <c r="DL163" s="89">
        <v>-8869.5</v>
      </c>
      <c r="DM163" s="88">
        <v>2376193.5643708901</v>
      </c>
      <c r="DN163" s="89">
        <v>1235277.4339999999</v>
      </c>
      <c r="DO163" s="89">
        <v>1174323.034</v>
      </c>
      <c r="DP163" s="89">
        <v>60954.400000000001</v>
      </c>
      <c r="DQ163" s="89">
        <v>1140916.1299999999</v>
      </c>
      <c r="DR163" s="89"/>
      <c r="DS163" s="88">
        <v>44499.893205850429</v>
      </c>
      <c r="DT163" s="89">
        <v>42742.25427967</v>
      </c>
      <c r="DU163" s="89">
        <v>42432.693722670003</v>
      </c>
      <c r="DV163" s="89">
        <v>309.56055699999996</v>
      </c>
      <c r="DW163" s="89">
        <v>11783.232355190001</v>
      </c>
      <c r="DX163" s="89">
        <v>-10025.593429009577</v>
      </c>
      <c r="DY163" s="88">
        <v>5613.0548449999997</v>
      </c>
      <c r="DZ163" s="89">
        <f t="shared" si="8"/>
        <v>-324.589472</v>
      </c>
      <c r="EA163" s="89">
        <v>455.915211</v>
      </c>
      <c r="EB163" s="89">
        <v>-780.504683</v>
      </c>
      <c r="EC163" s="89">
        <v>5937.6443170000002</v>
      </c>
      <c r="ED163" s="89"/>
      <c r="EE163" s="88">
        <v>7775.9039892227065</v>
      </c>
      <c r="EF163" s="89">
        <v>-878.37774835799985</v>
      </c>
      <c r="EG163" s="89">
        <v>-879.45899079799983</v>
      </c>
      <c r="EH163" s="89">
        <v>1.08124244</v>
      </c>
      <c r="EI163" s="89">
        <v>11085.506886519999</v>
      </c>
      <c r="EJ163" s="89">
        <v>-2431.2251489392934</v>
      </c>
      <c r="EK163" s="88">
        <v>8375161.0129999984</v>
      </c>
      <c r="EL163" s="89">
        <v>1220099.8119999992</v>
      </c>
      <c r="EM163" s="89">
        <v>1231014.2239999992</v>
      </c>
      <c r="EN163" s="89">
        <v>-10914.411999999968</v>
      </c>
      <c r="EO163" s="89">
        <v>7085490.7929999996</v>
      </c>
      <c r="EP163" s="89">
        <v>69570.407999999996</v>
      </c>
      <c r="EQ163" s="88">
        <v>25840.820536660001</v>
      </c>
      <c r="ER163" s="89">
        <v>-9130.0223735800009</v>
      </c>
      <c r="ES163" s="89"/>
      <c r="ET163" s="89"/>
      <c r="EU163" s="89">
        <v>57021.37923454</v>
      </c>
      <c r="EV163" s="89">
        <v>-22050.536324299996</v>
      </c>
      <c r="EW163" s="88">
        <v>235365.63914801838</v>
      </c>
      <c r="EX163" s="89">
        <f t="shared" si="14"/>
        <v>12428.061601000001</v>
      </c>
      <c r="EY163" s="89">
        <v>5418.4311369999996</v>
      </c>
      <c r="EZ163" s="89">
        <v>7009.6304640000008</v>
      </c>
      <c r="FA163" s="89">
        <v>173351.39325695997</v>
      </c>
      <c r="FB163" s="89">
        <v>49586.184290058402</v>
      </c>
      <c r="FC163" s="88"/>
      <c r="FD163" s="89"/>
      <c r="FE163" s="89"/>
      <c r="FF163" s="89"/>
      <c r="FG163" s="89"/>
      <c r="FH163" s="89"/>
      <c r="FI163" s="88"/>
      <c r="FJ163" s="89"/>
      <c r="FK163" s="89"/>
      <c r="FL163" s="89"/>
      <c r="FM163" s="89"/>
      <c r="FN163" s="89"/>
      <c r="FO163" s="88"/>
      <c r="FP163" s="89"/>
      <c r="FQ163" s="89"/>
      <c r="FR163" s="89"/>
      <c r="FS163" s="89"/>
      <c r="FT163" s="89"/>
      <c r="FU163" s="88"/>
      <c r="FV163" s="89"/>
      <c r="FW163" s="89"/>
      <c r="FX163" s="89"/>
      <c r="FY163" s="89"/>
      <c r="FZ163" s="89"/>
      <c r="GA163" s="120">
        <v>15168.6</v>
      </c>
      <c r="GB163" s="121">
        <v>-1537.8000000000002</v>
      </c>
      <c r="GC163" s="121">
        <v>-3753.4</v>
      </c>
      <c r="GD163" s="121">
        <v>2215.6</v>
      </c>
      <c r="GE163" s="121">
        <v>16706.3</v>
      </c>
      <c r="GF163" s="89"/>
      <c r="GG163" s="88"/>
      <c r="GH163" s="89"/>
      <c r="GI163" s="89"/>
      <c r="GJ163" s="89"/>
      <c r="GK163" s="89"/>
      <c r="GL163" s="89"/>
      <c r="GM163" s="96">
        <v>16923.103172615582</v>
      </c>
      <c r="GN163" s="89">
        <v>4444.9180765700303</v>
      </c>
      <c r="GO163" s="89">
        <v>4418.2588471901699</v>
      </c>
      <c r="GP163" s="94">
        <v>26.659229379860683</v>
      </c>
      <c r="GQ163" s="89">
        <v>9097.6951876251605</v>
      </c>
      <c r="GR163" s="89">
        <v>3380.4899084203898</v>
      </c>
      <c r="GS163" s="96"/>
      <c r="GT163" s="87"/>
      <c r="GU163" s="87"/>
      <c r="GV163" s="87"/>
      <c r="GW163" s="87"/>
      <c r="GX163" s="87"/>
      <c r="GY163" s="87"/>
      <c r="GZ163" s="88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8"/>
      <c r="HM163" s="87"/>
      <c r="HN163" s="87"/>
      <c r="HO163" s="87"/>
      <c r="HP163" s="87"/>
      <c r="HQ163" s="87"/>
      <c r="HR163" s="87"/>
      <c r="HS163" s="87"/>
    </row>
    <row r="164" spans="1:227">
      <c r="A164" s="69"/>
      <c r="B164" s="87" t="s">
        <v>493</v>
      </c>
      <c r="C164" s="88"/>
      <c r="D164" s="87"/>
      <c r="E164" s="87"/>
      <c r="F164" s="87"/>
      <c r="G164" s="87"/>
      <c r="H164" s="87"/>
      <c r="I164" s="88">
        <v>135767.337</v>
      </c>
      <c r="J164" s="89">
        <v>143755.236</v>
      </c>
      <c r="K164" s="89"/>
      <c r="L164" s="89"/>
      <c r="M164" s="89">
        <v>43456.004999999997</v>
      </c>
      <c r="N164" s="89">
        <v>-51443.904000000002</v>
      </c>
      <c r="O164" s="90"/>
      <c r="P164" s="91"/>
      <c r="Q164" s="91"/>
      <c r="R164" s="91"/>
      <c r="S164" s="91"/>
      <c r="T164" s="91"/>
      <c r="U164" s="90">
        <v>3660.8509999999997</v>
      </c>
      <c r="V164" s="91">
        <v>938.7</v>
      </c>
      <c r="W164" s="91">
        <v>706.1</v>
      </c>
      <c r="X164" s="91">
        <v>232.61700000000002</v>
      </c>
      <c r="Y164" s="91">
        <v>2722.1509999999998</v>
      </c>
      <c r="Z164" s="91"/>
      <c r="AA164" s="88">
        <v>1071.452</v>
      </c>
      <c r="AB164" s="89">
        <v>129.17700000000002</v>
      </c>
      <c r="AC164" s="89">
        <v>106.03700000000001</v>
      </c>
      <c r="AD164" s="89">
        <v>23.14</v>
      </c>
      <c r="AE164" s="89">
        <v>942.27499999999998</v>
      </c>
      <c r="AF164" s="89"/>
      <c r="AG164" s="88">
        <v>38779.759822038002</v>
      </c>
      <c r="AH164" s="89">
        <v>9519.6888220379988</v>
      </c>
      <c r="AI164" s="89">
        <v>9519.6888220379988</v>
      </c>
      <c r="AJ164" s="89"/>
      <c r="AK164" s="89">
        <v>29260.071</v>
      </c>
      <c r="AL164" s="89"/>
      <c r="AM164" s="88"/>
      <c r="AN164" s="89"/>
      <c r="AO164" s="89"/>
      <c r="AP164" s="89"/>
      <c r="AQ164" s="89"/>
      <c r="AR164" s="89"/>
      <c r="AS164" s="88">
        <v>29084000</v>
      </c>
      <c r="AT164" s="89">
        <v>3656000</v>
      </c>
      <c r="AU164" s="89">
        <v>3656000</v>
      </c>
      <c r="AV164" s="89"/>
      <c r="AW164" s="89">
        <v>31558000</v>
      </c>
      <c r="AX164" s="89">
        <v>-6130000</v>
      </c>
      <c r="AY164" s="88">
        <v>73778120.531085327</v>
      </c>
      <c r="AZ164" s="89">
        <f t="shared" si="13"/>
        <v>22858422.904574465</v>
      </c>
      <c r="BA164" s="89">
        <v>16740741.952156918</v>
      </c>
      <c r="BB164" s="89">
        <v>6117680.9524175469</v>
      </c>
      <c r="BC164" s="89">
        <v>50919697.626510851</v>
      </c>
      <c r="BD164" s="89"/>
      <c r="BE164" s="88">
        <v>2801974.2449857402</v>
      </c>
      <c r="BF164" s="89">
        <v>403518.64560622</v>
      </c>
      <c r="BG164" s="89">
        <v>377652.86197082</v>
      </c>
      <c r="BH164" s="89">
        <v>25865.783635399999</v>
      </c>
      <c r="BI164" s="89">
        <v>1936801.6817043498</v>
      </c>
      <c r="BJ164" s="89">
        <v>461653.91767517</v>
      </c>
      <c r="BK164" s="88"/>
      <c r="BL164" s="89"/>
      <c r="BM164" s="89"/>
      <c r="BN164" s="89"/>
      <c r="BO164" s="89"/>
      <c r="BP164" s="89"/>
      <c r="BQ164" s="88">
        <v>4747.5</v>
      </c>
      <c r="BR164" s="89">
        <v>-562.69999999999993</v>
      </c>
      <c r="BS164" s="89">
        <v>-48.3</v>
      </c>
      <c r="BT164" s="89">
        <v>-514.4</v>
      </c>
      <c r="BU164" s="89">
        <v>5310.2</v>
      </c>
      <c r="BV164" s="89"/>
      <c r="BW164" s="88">
        <v>5252.8769201528567</v>
      </c>
      <c r="BX164" s="89">
        <v>354.65311029857139</v>
      </c>
      <c r="BY164" s="89">
        <v>286.59039601857137</v>
      </c>
      <c r="BZ164" s="89">
        <v>68.062714279999994</v>
      </c>
      <c r="CA164" s="89">
        <v>5897.7809670971428</v>
      </c>
      <c r="CB164" s="89">
        <v>-999.55715724285767</v>
      </c>
      <c r="CC164" s="88"/>
      <c r="CD164" s="89"/>
      <c r="CE164" s="89"/>
      <c r="CF164" s="89"/>
      <c r="CG164" s="89"/>
      <c r="CH164" s="89"/>
      <c r="CI164" s="88">
        <v>43845.1</v>
      </c>
      <c r="CJ164" s="89">
        <v>9125.5</v>
      </c>
      <c r="CK164" s="89">
        <v>8804.1</v>
      </c>
      <c r="CL164" s="89">
        <v>321.40000000000003</v>
      </c>
      <c r="CM164" s="89">
        <v>35234.1</v>
      </c>
      <c r="CN164" s="89">
        <v>-514.5</v>
      </c>
      <c r="CO164" s="88"/>
      <c r="CP164" s="89"/>
      <c r="CQ164" s="89"/>
      <c r="CR164" s="89"/>
      <c r="CS164" s="89"/>
      <c r="CT164" s="89"/>
      <c r="CU164" s="88">
        <v>36605.149478630774</v>
      </c>
      <c r="CV164" s="89">
        <v>17932.102314562399</v>
      </c>
      <c r="CW164" s="89">
        <v>18079.807519890001</v>
      </c>
      <c r="CX164" s="89">
        <v>-147.70520532760017</v>
      </c>
      <c r="CY164" s="89">
        <v>18673.047164068379</v>
      </c>
      <c r="CZ164" s="89"/>
      <c r="DA164" s="88">
        <v>30409.324951704795</v>
      </c>
      <c r="DB164" s="89">
        <v>-1997.7340482749046</v>
      </c>
      <c r="DC164" s="89">
        <v>-2542.0546230549044</v>
      </c>
      <c r="DD164" s="89">
        <v>544.32057478000002</v>
      </c>
      <c r="DE164" s="89">
        <v>49775.31602542194</v>
      </c>
      <c r="DF164" s="89">
        <v>-17368.257025442239</v>
      </c>
      <c r="DG164" s="88">
        <v>191796.4</v>
      </c>
      <c r="DH164" s="89">
        <v>145028.9</v>
      </c>
      <c r="DI164" s="89"/>
      <c r="DJ164" s="89"/>
      <c r="DK164" s="89">
        <v>56132.6</v>
      </c>
      <c r="DL164" s="89">
        <v>-9365.1</v>
      </c>
      <c r="DM164" s="88">
        <v>2415881.5996120898</v>
      </c>
      <c r="DN164" s="89">
        <v>1267370.507</v>
      </c>
      <c r="DO164" s="89">
        <v>1204770.7069999999</v>
      </c>
      <c r="DP164" s="89">
        <v>62599.8</v>
      </c>
      <c r="DQ164" s="89">
        <v>1148511.0930000001</v>
      </c>
      <c r="DR164" s="89"/>
      <c r="DS164" s="88">
        <v>44141.487063509921</v>
      </c>
      <c r="DT164" s="89">
        <v>42049.569656589993</v>
      </c>
      <c r="DU164" s="89">
        <v>41667.978061589994</v>
      </c>
      <c r="DV164" s="89">
        <v>381.59159499999998</v>
      </c>
      <c r="DW164" s="89">
        <v>11881.41799233</v>
      </c>
      <c r="DX164" s="89">
        <v>-9789.5005854100746</v>
      </c>
      <c r="DY164" s="88">
        <v>5622.4285580000005</v>
      </c>
      <c r="DZ164" s="89">
        <f t="shared" si="8"/>
        <v>-327.29501499999998</v>
      </c>
      <c r="EA164" s="89">
        <v>476.75241199999999</v>
      </c>
      <c r="EB164" s="89">
        <v>-804.04742699999997</v>
      </c>
      <c r="EC164" s="89">
        <v>5949.7235730000002</v>
      </c>
      <c r="ED164" s="89"/>
      <c r="EE164" s="88">
        <v>7874.3922018004469</v>
      </c>
      <c r="EF164" s="89">
        <v>-799.75861187800035</v>
      </c>
      <c r="EG164" s="89">
        <v>-800.83056597800032</v>
      </c>
      <c r="EH164" s="89">
        <v>1.0719541000000001</v>
      </c>
      <c r="EI164" s="89">
        <v>11113.318449139999</v>
      </c>
      <c r="EJ164" s="89">
        <v>-2439.167635461552</v>
      </c>
      <c r="EK164" s="88">
        <v>7546537.438000001</v>
      </c>
      <c r="EL164" s="89">
        <v>1213397.6840000001</v>
      </c>
      <c r="EM164" s="89">
        <v>1118846.3820000002</v>
      </c>
      <c r="EN164" s="89">
        <v>94551.301999999996</v>
      </c>
      <c r="EO164" s="89">
        <v>6269363.8330000006</v>
      </c>
      <c r="EP164" s="89">
        <v>63775.921000000002</v>
      </c>
      <c r="EQ164" s="88">
        <v>25958.850064000009</v>
      </c>
      <c r="ER164" s="89">
        <v>-8752.0842190000003</v>
      </c>
      <c r="ES164" s="89"/>
      <c r="ET164" s="89"/>
      <c r="EU164" s="89">
        <v>57388.411004499998</v>
      </c>
      <c r="EV164" s="89">
        <v>-22677.476721499988</v>
      </c>
      <c r="EW164" s="88">
        <v>253153.0335640877</v>
      </c>
      <c r="EX164" s="89">
        <f t="shared" si="14"/>
        <v>13346.201521000001</v>
      </c>
      <c r="EY164" s="89">
        <v>4322.4423330000009</v>
      </c>
      <c r="EZ164" s="89">
        <v>9023.759188</v>
      </c>
      <c r="FA164" s="89">
        <v>184857.79745774</v>
      </c>
      <c r="FB164" s="89">
        <v>54949.03458534769</v>
      </c>
      <c r="FC164" s="88"/>
      <c r="FD164" s="89"/>
      <c r="FE164" s="89"/>
      <c r="FF164" s="89"/>
      <c r="FG164" s="89"/>
      <c r="FH164" s="89"/>
      <c r="FI164" s="88"/>
      <c r="FJ164" s="89"/>
      <c r="FK164" s="89"/>
      <c r="FL164" s="89"/>
      <c r="FM164" s="89"/>
      <c r="FN164" s="89"/>
      <c r="FO164" s="88"/>
      <c r="FP164" s="89"/>
      <c r="FQ164" s="89"/>
      <c r="FR164" s="89"/>
      <c r="FS164" s="89"/>
      <c r="FT164" s="89"/>
      <c r="FU164" s="88"/>
      <c r="FV164" s="89"/>
      <c r="FW164" s="89"/>
      <c r="FX164" s="89"/>
      <c r="FY164" s="89"/>
      <c r="FZ164" s="89"/>
      <c r="GA164" s="120">
        <v>15318.1</v>
      </c>
      <c r="GB164" s="121">
        <v>-1036.5</v>
      </c>
      <c r="GC164" s="121">
        <v>-3151.1</v>
      </c>
      <c r="GD164" s="121">
        <v>2114.6</v>
      </c>
      <c r="GE164" s="121">
        <v>16354.5</v>
      </c>
      <c r="GF164" s="89"/>
      <c r="GG164" s="88"/>
      <c r="GH164" s="89"/>
      <c r="GI164" s="89"/>
      <c r="GJ164" s="89"/>
      <c r="GK164" s="89"/>
      <c r="GL164" s="89"/>
      <c r="GM164" s="96">
        <v>18589.698550405428</v>
      </c>
      <c r="GN164" s="89">
        <v>4424.6505881471312</v>
      </c>
      <c r="GO164" s="89">
        <v>4403.6726742054607</v>
      </c>
      <c r="GP164" s="94">
        <v>20.977913941670209</v>
      </c>
      <c r="GQ164" s="89">
        <v>9036.7636274133292</v>
      </c>
      <c r="GR164" s="89">
        <v>5128.2843348449705</v>
      </c>
      <c r="GS164" s="96"/>
      <c r="GT164" s="87"/>
      <c r="GU164" s="87"/>
      <c r="GV164" s="87"/>
      <c r="GW164" s="87"/>
      <c r="GX164" s="87"/>
      <c r="GY164" s="87"/>
      <c r="GZ164" s="88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8"/>
      <c r="HM164" s="87"/>
      <c r="HN164" s="87"/>
      <c r="HO164" s="87"/>
      <c r="HP164" s="87"/>
      <c r="HQ164" s="87"/>
      <c r="HR164" s="87"/>
      <c r="HS164" s="87"/>
    </row>
    <row r="165" spans="1:227">
      <c r="A165" s="69"/>
      <c r="B165" s="87" t="s">
        <v>494</v>
      </c>
      <c r="C165" s="88"/>
      <c r="D165" s="87"/>
      <c r="E165" s="87"/>
      <c r="F165" s="87"/>
      <c r="G165" s="87"/>
      <c r="H165" s="87"/>
      <c r="I165" s="88">
        <v>137125.91899999999</v>
      </c>
      <c r="J165" s="89">
        <v>146306.02900000001</v>
      </c>
      <c r="K165" s="89"/>
      <c r="L165" s="89"/>
      <c r="M165" s="89">
        <v>42155.760999999999</v>
      </c>
      <c r="N165" s="89">
        <v>-51335.870999999999</v>
      </c>
      <c r="O165" s="90"/>
      <c r="P165" s="91"/>
      <c r="Q165" s="91"/>
      <c r="R165" s="91"/>
      <c r="S165" s="91"/>
      <c r="T165" s="91"/>
      <c r="U165" s="90">
        <v>3637.9020000000005</v>
      </c>
      <c r="V165" s="91">
        <v>911.9</v>
      </c>
      <c r="W165" s="91">
        <v>678.7</v>
      </c>
      <c r="X165" s="91">
        <v>233.22200000000001</v>
      </c>
      <c r="Y165" s="91">
        <v>2726.0020000000004</v>
      </c>
      <c r="Z165" s="91"/>
      <c r="AA165" s="88">
        <v>1013.069</v>
      </c>
      <c r="AB165" s="89">
        <v>46.453000000000003</v>
      </c>
      <c r="AC165" s="89">
        <v>22.818999999999999</v>
      </c>
      <c r="AD165" s="89">
        <v>23.634</v>
      </c>
      <c r="AE165" s="89">
        <v>966.61599999999999</v>
      </c>
      <c r="AF165" s="89"/>
      <c r="AG165" s="88">
        <v>38837.870177912002</v>
      </c>
      <c r="AH165" s="89">
        <v>9697.9161779120004</v>
      </c>
      <c r="AI165" s="89">
        <v>9697.9161779120004</v>
      </c>
      <c r="AJ165" s="89"/>
      <c r="AK165" s="89">
        <v>29139.954000000002</v>
      </c>
      <c r="AL165" s="89"/>
      <c r="AM165" s="88"/>
      <c r="AN165" s="89"/>
      <c r="AO165" s="89"/>
      <c r="AP165" s="89"/>
      <c r="AQ165" s="89"/>
      <c r="AR165" s="89"/>
      <c r="AS165" s="88">
        <v>29718000</v>
      </c>
      <c r="AT165" s="89">
        <v>3712000</v>
      </c>
      <c r="AU165" s="89">
        <v>3712000</v>
      </c>
      <c r="AV165" s="89"/>
      <c r="AW165" s="89">
        <v>31374000</v>
      </c>
      <c r="AX165" s="89">
        <v>-5368000</v>
      </c>
      <c r="AY165" s="88">
        <v>73771559.860554159</v>
      </c>
      <c r="AZ165" s="89">
        <f t="shared" si="13"/>
        <v>22946977.122556575</v>
      </c>
      <c r="BA165" s="89">
        <v>16626889.718129246</v>
      </c>
      <c r="BB165" s="89">
        <v>6320087.4044273281</v>
      </c>
      <c r="BC165" s="89">
        <v>50824582.737997591</v>
      </c>
      <c r="BD165" s="89"/>
      <c r="BE165" s="88">
        <v>2796637.60888283</v>
      </c>
      <c r="BF165" s="89">
        <v>427050.48135163001</v>
      </c>
      <c r="BG165" s="89">
        <v>392194.07724125002</v>
      </c>
      <c r="BH165" s="89">
        <v>34856.404110379997</v>
      </c>
      <c r="BI165" s="89">
        <v>1938822.4363476699</v>
      </c>
      <c r="BJ165" s="89">
        <v>430764.69118353003</v>
      </c>
      <c r="BK165" s="88"/>
      <c r="BL165" s="89"/>
      <c r="BM165" s="89"/>
      <c r="BN165" s="89"/>
      <c r="BO165" s="89"/>
      <c r="BP165" s="89"/>
      <c r="BQ165" s="88">
        <v>4726.7</v>
      </c>
      <c r="BR165" s="89">
        <v>-576.9</v>
      </c>
      <c r="BS165" s="89">
        <v>-34</v>
      </c>
      <c r="BT165" s="89">
        <v>-542.9</v>
      </c>
      <c r="BU165" s="89">
        <v>5303.6</v>
      </c>
      <c r="BV165" s="89"/>
      <c r="BW165" s="88">
        <v>5322.2338694628579</v>
      </c>
      <c r="BX165" s="89">
        <v>420.5665476885714</v>
      </c>
      <c r="BY165" s="89">
        <v>352.90183340857141</v>
      </c>
      <c r="BZ165" s="89">
        <v>67.664714279999998</v>
      </c>
      <c r="CA165" s="89">
        <v>5953.6488285371433</v>
      </c>
      <c r="CB165" s="89">
        <v>-1051.9823322328575</v>
      </c>
      <c r="CC165" s="88"/>
      <c r="CD165" s="89"/>
      <c r="CE165" s="89"/>
      <c r="CF165" s="89"/>
      <c r="CG165" s="89"/>
      <c r="CH165" s="89"/>
      <c r="CI165" s="88">
        <v>44146.9</v>
      </c>
      <c r="CJ165" s="89">
        <v>8829.2000000000007</v>
      </c>
      <c r="CK165" s="89">
        <v>8502.1</v>
      </c>
      <c r="CL165" s="89">
        <v>327.10000000000002</v>
      </c>
      <c r="CM165" s="89">
        <v>35223.800000000003</v>
      </c>
      <c r="CN165" s="89">
        <v>94.1</v>
      </c>
      <c r="CO165" s="88">
        <v>23823.200000000001</v>
      </c>
      <c r="CP165" s="89">
        <v>-14973.5</v>
      </c>
      <c r="CQ165" s="89">
        <v>-8067.6</v>
      </c>
      <c r="CR165" s="89">
        <v>-6905.9</v>
      </c>
      <c r="CS165" s="89">
        <v>47969.2</v>
      </c>
      <c r="CT165" s="89">
        <v>-9172.4</v>
      </c>
      <c r="CU165" s="88">
        <v>37486.280080224598</v>
      </c>
      <c r="CV165" s="89">
        <v>18263.469775808164</v>
      </c>
      <c r="CW165" s="89">
        <v>18408.064320450001</v>
      </c>
      <c r="CX165" s="89">
        <v>-144.59454464183924</v>
      </c>
      <c r="CY165" s="89">
        <v>19222.810304416435</v>
      </c>
      <c r="CZ165" s="89"/>
      <c r="DA165" s="88">
        <v>30466.148711965394</v>
      </c>
      <c r="DB165" s="89">
        <v>-2485.4470561639</v>
      </c>
      <c r="DC165" s="89">
        <v>-2987.3461233038997</v>
      </c>
      <c r="DD165" s="89">
        <v>501.89906714000006</v>
      </c>
      <c r="DE165" s="89">
        <v>50175.852239859429</v>
      </c>
      <c r="DF165" s="89">
        <v>-17224.256471730132</v>
      </c>
      <c r="DG165" s="88">
        <v>195009.2</v>
      </c>
      <c r="DH165" s="89">
        <v>147195</v>
      </c>
      <c r="DI165" s="89"/>
      <c r="DJ165" s="89"/>
      <c r="DK165" s="89">
        <v>57067.6</v>
      </c>
      <c r="DL165" s="89">
        <v>-9253.4</v>
      </c>
      <c r="DM165" s="88">
        <v>2378291.0413291603</v>
      </c>
      <c r="DN165" s="89">
        <v>1222638.0900000001</v>
      </c>
      <c r="DO165" s="89">
        <v>1152879.371</v>
      </c>
      <c r="DP165" s="89">
        <v>69758.718999999997</v>
      </c>
      <c r="DQ165" s="89">
        <v>1155652.952</v>
      </c>
      <c r="DR165" s="89"/>
      <c r="DS165" s="88">
        <v>44334.988038825075</v>
      </c>
      <c r="DT165" s="89">
        <v>42265.560513090008</v>
      </c>
      <c r="DU165" s="89">
        <v>41890.64621109001</v>
      </c>
      <c r="DV165" s="89">
        <v>374.91430200000002</v>
      </c>
      <c r="DW165" s="89">
        <v>12092.044831810001</v>
      </c>
      <c r="DX165" s="89">
        <v>-10022.617306074932</v>
      </c>
      <c r="DY165" s="88">
        <v>5654.1429859999998</v>
      </c>
      <c r="DZ165" s="89">
        <f t="shared" si="8"/>
        <v>-292.37912399999999</v>
      </c>
      <c r="EA165" s="89">
        <v>509.82476600000001</v>
      </c>
      <c r="EB165" s="89">
        <v>-802.20389</v>
      </c>
      <c r="EC165" s="89">
        <v>5946.5221099999999</v>
      </c>
      <c r="ED165" s="89"/>
      <c r="EE165" s="88">
        <v>7830.7567313298241</v>
      </c>
      <c r="EF165" s="89">
        <v>-820.97529608800005</v>
      </c>
      <c r="EG165" s="89">
        <v>-822.03677228800007</v>
      </c>
      <c r="EH165" s="89">
        <v>1.0614762</v>
      </c>
      <c r="EI165" s="89">
        <v>11172.85990859</v>
      </c>
      <c r="EJ165" s="89">
        <v>-2521.1278811721768</v>
      </c>
      <c r="EK165" s="88">
        <v>7441592.7640000004</v>
      </c>
      <c r="EL165" s="89">
        <v>1257128.4640000004</v>
      </c>
      <c r="EM165" s="89">
        <v>1170764.8910000003</v>
      </c>
      <c r="EN165" s="89">
        <v>86363.573000000033</v>
      </c>
      <c r="EO165" s="89">
        <v>6124020.659</v>
      </c>
      <c r="EP165" s="89">
        <v>60443.641000000003</v>
      </c>
      <c r="EQ165" s="88">
        <v>27682.306611970002</v>
      </c>
      <c r="ER165" s="89">
        <v>-7041.5324289000009</v>
      </c>
      <c r="ES165" s="89"/>
      <c r="ET165" s="89"/>
      <c r="EU165" s="89">
        <v>57423.621163690004</v>
      </c>
      <c r="EV165" s="89">
        <v>-22699.782122820005</v>
      </c>
      <c r="EW165" s="88">
        <v>286316.50930294913</v>
      </c>
      <c r="EX165" s="89">
        <f t="shared" si="14"/>
        <v>12701.318628999998</v>
      </c>
      <c r="EY165" s="89">
        <v>4712.4941759999983</v>
      </c>
      <c r="EZ165" s="89">
        <v>7988.8244529999993</v>
      </c>
      <c r="FA165" s="89">
        <v>212517.78965767997</v>
      </c>
      <c r="FB165" s="89">
        <v>61097.401016269163</v>
      </c>
      <c r="FC165" s="88"/>
      <c r="FD165" s="89"/>
      <c r="FE165" s="89"/>
      <c r="FF165" s="89"/>
      <c r="FG165" s="89"/>
      <c r="FH165" s="89"/>
      <c r="FI165" s="88"/>
      <c r="FJ165" s="89"/>
      <c r="FK165" s="89"/>
      <c r="FL165" s="89"/>
      <c r="FM165" s="89"/>
      <c r="FN165" s="89"/>
      <c r="FO165" s="88"/>
      <c r="FP165" s="89"/>
      <c r="FQ165" s="89"/>
      <c r="FR165" s="89"/>
      <c r="FS165" s="89"/>
      <c r="FT165" s="89"/>
      <c r="FU165" s="88"/>
      <c r="FV165" s="89"/>
      <c r="FW165" s="89"/>
      <c r="FX165" s="89"/>
      <c r="FY165" s="89"/>
      <c r="FZ165" s="89"/>
      <c r="GA165" s="88">
        <v>14681</v>
      </c>
      <c r="GB165" s="89">
        <v>-1698.0000000000002</v>
      </c>
      <c r="GC165" s="89">
        <v>-3598.8</v>
      </c>
      <c r="GD165" s="89">
        <v>1900.8</v>
      </c>
      <c r="GE165" s="89">
        <v>16379.9</v>
      </c>
      <c r="GF165" s="89"/>
      <c r="GG165" s="88"/>
      <c r="GH165" s="89"/>
      <c r="GI165" s="89"/>
      <c r="GJ165" s="89"/>
      <c r="GK165" s="89"/>
      <c r="GL165" s="89"/>
      <c r="GM165" s="96">
        <v>19660.774782205306</v>
      </c>
      <c r="GN165" s="89">
        <v>4127.8713845370303</v>
      </c>
      <c r="GO165" s="89">
        <v>4111.9174779775303</v>
      </c>
      <c r="GP165" s="94">
        <v>15.953906559500378</v>
      </c>
      <c r="GQ165" s="89">
        <v>8911.2202115630171</v>
      </c>
      <c r="GR165" s="89">
        <v>6621.6831861052597</v>
      </c>
      <c r="GS165" s="96"/>
      <c r="GT165" s="87"/>
      <c r="GU165" s="87"/>
      <c r="GV165" s="87"/>
      <c r="GW165" s="87"/>
      <c r="GX165" s="87"/>
      <c r="GY165" s="87"/>
      <c r="GZ165" s="88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8"/>
      <c r="HM165" s="87"/>
      <c r="HN165" s="87"/>
      <c r="HO165" s="87"/>
      <c r="HP165" s="87"/>
      <c r="HQ165" s="87"/>
      <c r="HR165" s="87"/>
      <c r="HS165" s="87"/>
    </row>
    <row r="166" spans="1:227">
      <c r="A166" s="69"/>
      <c r="B166" s="87" t="s">
        <v>495</v>
      </c>
      <c r="C166" s="88"/>
      <c r="D166" s="87"/>
      <c r="E166" s="87"/>
      <c r="F166" s="87"/>
      <c r="G166" s="87"/>
      <c r="H166" s="87"/>
      <c r="I166" s="88">
        <v>136469.73300000001</v>
      </c>
      <c r="J166" s="89">
        <v>148078.647</v>
      </c>
      <c r="K166" s="89"/>
      <c r="L166" s="89"/>
      <c r="M166" s="89">
        <v>41498.574999999997</v>
      </c>
      <c r="N166" s="89">
        <v>-53107.489000000001</v>
      </c>
      <c r="O166" s="90"/>
      <c r="P166" s="91"/>
      <c r="Q166" s="91"/>
      <c r="R166" s="91"/>
      <c r="S166" s="91"/>
      <c r="T166" s="91"/>
      <c r="U166" s="90">
        <v>3741.799</v>
      </c>
      <c r="V166" s="91">
        <v>1012.7</v>
      </c>
      <c r="W166" s="91">
        <v>770.2</v>
      </c>
      <c r="X166" s="91">
        <v>242.52500000000001</v>
      </c>
      <c r="Y166" s="91">
        <v>2729.0990000000002</v>
      </c>
      <c r="Z166" s="91"/>
      <c r="AA166" s="88">
        <v>1024.069</v>
      </c>
      <c r="AB166" s="89">
        <v>45.746000000000002</v>
      </c>
      <c r="AC166" s="89">
        <v>22.324000000000002</v>
      </c>
      <c r="AD166" s="89">
        <v>23.422000000000001</v>
      </c>
      <c r="AE166" s="89">
        <v>978.32299999999998</v>
      </c>
      <c r="AF166" s="89"/>
      <c r="AG166" s="88">
        <v>39069.500531785998</v>
      </c>
      <c r="AH166" s="89">
        <v>9807.7385317860007</v>
      </c>
      <c r="AI166" s="89">
        <v>9807.7385317860007</v>
      </c>
      <c r="AJ166" s="89"/>
      <c r="AK166" s="89">
        <v>29261.761999999999</v>
      </c>
      <c r="AL166" s="89"/>
      <c r="AM166" s="88"/>
      <c r="AN166" s="89"/>
      <c r="AO166" s="89"/>
      <c r="AP166" s="89"/>
      <c r="AQ166" s="89"/>
      <c r="AR166" s="89"/>
      <c r="AS166" s="88">
        <v>29597000</v>
      </c>
      <c r="AT166" s="89">
        <v>3788000</v>
      </c>
      <c r="AU166" s="89">
        <v>3788000</v>
      </c>
      <c r="AV166" s="89"/>
      <c r="AW166" s="89">
        <v>31484000</v>
      </c>
      <c r="AX166" s="89">
        <v>-5675000</v>
      </c>
      <c r="AY166" s="88">
        <v>75145076.630523667</v>
      </c>
      <c r="AZ166" s="89">
        <f t="shared" si="13"/>
        <v>23895474.633574605</v>
      </c>
      <c r="BA166" s="89">
        <v>18074630.969639458</v>
      </c>
      <c r="BB166" s="89">
        <v>5820843.6639351472</v>
      </c>
      <c r="BC166" s="89">
        <v>51249601.996949069</v>
      </c>
      <c r="BD166" s="89"/>
      <c r="BE166" s="88">
        <v>2837439.8700639098</v>
      </c>
      <c r="BF166" s="89">
        <v>435995.51996100001</v>
      </c>
      <c r="BG166" s="89">
        <v>402875.43563466001</v>
      </c>
      <c r="BH166" s="89">
        <v>33120.084326340002</v>
      </c>
      <c r="BI166" s="89">
        <v>1974011.23852443</v>
      </c>
      <c r="BJ166" s="89">
        <v>427433.11157847999</v>
      </c>
      <c r="BK166" s="88"/>
      <c r="BL166" s="89"/>
      <c r="BM166" s="89"/>
      <c r="BN166" s="89"/>
      <c r="BO166" s="89"/>
      <c r="BP166" s="89"/>
      <c r="BQ166" s="88">
        <v>4665.1000000000004</v>
      </c>
      <c r="BR166" s="89">
        <v>-716.3</v>
      </c>
      <c r="BS166" s="89">
        <v>-146.69999999999999</v>
      </c>
      <c r="BT166" s="89">
        <v>-569.6</v>
      </c>
      <c r="BU166" s="89">
        <v>5381.4</v>
      </c>
      <c r="BV166" s="89"/>
      <c r="BW166" s="88">
        <v>5419.1504972871444</v>
      </c>
      <c r="BX166" s="89">
        <v>533.78657267857159</v>
      </c>
      <c r="BY166" s="89">
        <v>465.74085839857162</v>
      </c>
      <c r="BZ166" s="89">
        <v>68.045714279999999</v>
      </c>
      <c r="CA166" s="89">
        <v>6035.1344507971435</v>
      </c>
      <c r="CB166" s="89">
        <v>-1149.7705261885715</v>
      </c>
      <c r="CC166" s="88"/>
      <c r="CD166" s="89"/>
      <c r="CE166" s="89"/>
      <c r="CF166" s="89"/>
      <c r="CG166" s="89"/>
      <c r="CH166" s="89"/>
      <c r="CI166" s="88">
        <v>43728.1</v>
      </c>
      <c r="CJ166" s="89">
        <v>9361.5</v>
      </c>
      <c r="CK166" s="89">
        <v>9051.2999999999993</v>
      </c>
      <c r="CL166" s="89">
        <v>310.20000000000005</v>
      </c>
      <c r="CM166" s="89">
        <v>35185.5</v>
      </c>
      <c r="CN166" s="89">
        <v>-819</v>
      </c>
      <c r="CO166" s="88"/>
      <c r="CP166" s="89"/>
      <c r="CQ166" s="89"/>
      <c r="CR166" s="89"/>
      <c r="CS166" s="89"/>
      <c r="CT166" s="89"/>
      <c r="CU166" s="88">
        <v>37094.280037216638</v>
      </c>
      <c r="CV166" s="89">
        <v>18036.161439833428</v>
      </c>
      <c r="CW166" s="89">
        <v>18292.347673130003</v>
      </c>
      <c r="CX166" s="89">
        <v>-256.18623329657311</v>
      </c>
      <c r="CY166" s="89">
        <v>19058.118597383207</v>
      </c>
      <c r="CZ166" s="89"/>
      <c r="DA166" s="88">
        <v>31145.761290101822</v>
      </c>
      <c r="DB166" s="89">
        <v>-2343.428378039629</v>
      </c>
      <c r="DC166" s="89">
        <v>-2815.5981340296294</v>
      </c>
      <c r="DD166" s="89">
        <v>472.16975599</v>
      </c>
      <c r="DE166" s="89">
        <v>50771.859425930794</v>
      </c>
      <c r="DF166" s="89">
        <v>-17282.669757789343</v>
      </c>
      <c r="DG166" s="88">
        <v>197642.30000000002</v>
      </c>
      <c r="DH166" s="89">
        <v>147697.4</v>
      </c>
      <c r="DI166" s="89"/>
      <c r="DJ166" s="89"/>
      <c r="DK166" s="89">
        <v>58442.3</v>
      </c>
      <c r="DL166" s="89">
        <v>-8497.4</v>
      </c>
      <c r="DM166" s="88">
        <v>2387448.2900811899</v>
      </c>
      <c r="DN166" s="89">
        <v>1218356.5449999999</v>
      </c>
      <c r="DO166" s="89">
        <v>1151968.43</v>
      </c>
      <c r="DP166" s="89">
        <v>66388.114999999991</v>
      </c>
      <c r="DQ166" s="89">
        <v>1169091.7450000001</v>
      </c>
      <c r="DR166" s="89"/>
      <c r="DS166" s="88">
        <v>44874.069470004266</v>
      </c>
      <c r="DT166" s="89">
        <v>42948.085694290006</v>
      </c>
      <c r="DU166" s="89">
        <v>42568.799834290003</v>
      </c>
      <c r="DV166" s="89">
        <v>379.28586000000001</v>
      </c>
      <c r="DW166" s="89">
        <v>12468.06167658</v>
      </c>
      <c r="DX166" s="89">
        <v>-10542.07790086573</v>
      </c>
      <c r="DY166" s="88">
        <v>5526.391224</v>
      </c>
      <c r="DZ166" s="89">
        <f t="shared" si="8"/>
        <v>-343.73722799999996</v>
      </c>
      <c r="EA166" s="89">
        <v>503.44132000000002</v>
      </c>
      <c r="EB166" s="89">
        <v>-847.17854799999998</v>
      </c>
      <c r="EC166" s="89">
        <v>5870.1284519999999</v>
      </c>
      <c r="ED166" s="89"/>
      <c r="EE166" s="88">
        <v>7969.3917927921539</v>
      </c>
      <c r="EF166" s="89">
        <v>-516.12645275799991</v>
      </c>
      <c r="EG166" s="89">
        <v>-517.1699289579999</v>
      </c>
      <c r="EH166" s="89">
        <v>1.0434762</v>
      </c>
      <c r="EI166" s="89">
        <v>11180.118119459999</v>
      </c>
      <c r="EJ166" s="89">
        <v>-2694.5998739098472</v>
      </c>
      <c r="EK166" s="88">
        <v>7329511.4560000002</v>
      </c>
      <c r="EL166" s="89">
        <v>1340891.6150000002</v>
      </c>
      <c r="EM166" s="89">
        <v>1263508.9660000002</v>
      </c>
      <c r="EN166" s="89">
        <v>77382.649000000063</v>
      </c>
      <c r="EO166" s="89">
        <v>5926974.79</v>
      </c>
      <c r="EP166" s="89">
        <v>61645.051000000007</v>
      </c>
      <c r="EQ166" s="88">
        <v>29247.316278440008</v>
      </c>
      <c r="ER166" s="89">
        <v>-6056.0670643999983</v>
      </c>
      <c r="ES166" s="89"/>
      <c r="ET166" s="89"/>
      <c r="EU166" s="89">
        <v>57581.076218980001</v>
      </c>
      <c r="EV166" s="89">
        <v>-22277.69287613999</v>
      </c>
      <c r="EW166" s="88">
        <v>303125.94767689705</v>
      </c>
      <c r="EX166" s="89">
        <f t="shared" si="14"/>
        <v>17194.950663999996</v>
      </c>
      <c r="EY166" s="89">
        <v>8671.3744359999982</v>
      </c>
      <c r="EZ166" s="89">
        <v>8523.5762279999999</v>
      </c>
      <c r="FA166" s="89">
        <v>219800.79521047996</v>
      </c>
      <c r="FB166" s="89">
        <v>66130.201802417097</v>
      </c>
      <c r="FC166" s="88"/>
      <c r="FD166" s="89"/>
      <c r="FE166" s="89"/>
      <c r="FF166" s="89"/>
      <c r="FG166" s="89"/>
      <c r="FH166" s="89"/>
      <c r="FI166" s="88"/>
      <c r="FJ166" s="89"/>
      <c r="FK166" s="89"/>
      <c r="FL166" s="89"/>
      <c r="FM166" s="89"/>
      <c r="FN166" s="89"/>
      <c r="FO166" s="88"/>
      <c r="FP166" s="89"/>
      <c r="FQ166" s="89"/>
      <c r="FR166" s="89"/>
      <c r="FS166" s="89"/>
      <c r="FT166" s="89"/>
      <c r="FU166" s="88"/>
      <c r="FV166" s="89"/>
      <c r="FW166" s="89"/>
      <c r="FX166" s="89"/>
      <c r="FY166" s="89"/>
      <c r="FZ166" s="89"/>
      <c r="GA166" s="120">
        <v>14488.4</v>
      </c>
      <c r="GB166" s="121">
        <v>-2289.6</v>
      </c>
      <c r="GC166" s="121">
        <v>-4298.5</v>
      </c>
      <c r="GD166" s="121">
        <v>2008.9</v>
      </c>
      <c r="GE166" s="121">
        <v>16778</v>
      </c>
      <c r="GF166" s="89"/>
      <c r="GG166" s="88"/>
      <c r="GH166" s="89"/>
      <c r="GI166" s="89"/>
      <c r="GJ166" s="89"/>
      <c r="GK166" s="89"/>
      <c r="GL166" s="89"/>
      <c r="GM166" s="96">
        <v>19120.739873607479</v>
      </c>
      <c r="GN166" s="89">
        <v>4142.1417479828197</v>
      </c>
      <c r="GO166" s="89">
        <v>4129.6778782892197</v>
      </c>
      <c r="GP166" s="94">
        <v>12.463869693600106</v>
      </c>
      <c r="GQ166" s="89">
        <v>9100.9494522467485</v>
      </c>
      <c r="GR166" s="89">
        <v>5877.6486733779093</v>
      </c>
      <c r="GS166" s="96"/>
      <c r="GT166" s="87"/>
      <c r="GU166" s="87"/>
      <c r="GV166" s="87"/>
      <c r="GW166" s="87"/>
      <c r="GX166" s="87"/>
      <c r="GY166" s="87"/>
      <c r="GZ166" s="88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8"/>
      <c r="HM166" s="87"/>
      <c r="HN166" s="87"/>
      <c r="HO166" s="87"/>
      <c r="HP166" s="87"/>
      <c r="HQ166" s="87"/>
      <c r="HR166" s="87"/>
      <c r="HS166" s="87"/>
    </row>
    <row r="167" spans="1:227">
      <c r="A167" s="69"/>
      <c r="B167" s="87" t="s">
        <v>496</v>
      </c>
      <c r="C167" s="88"/>
      <c r="D167" s="87"/>
      <c r="E167" s="87"/>
      <c r="F167" s="87"/>
      <c r="G167" s="87"/>
      <c r="H167" s="87"/>
      <c r="I167" s="88">
        <v>140713.802</v>
      </c>
      <c r="J167" s="89">
        <v>152945.84099999999</v>
      </c>
      <c r="K167" s="89"/>
      <c r="L167" s="89"/>
      <c r="M167" s="89">
        <v>41522.952000000005</v>
      </c>
      <c r="N167" s="91">
        <v>-53754.991000000002</v>
      </c>
      <c r="O167" s="90"/>
      <c r="P167" s="91"/>
      <c r="Q167" s="91"/>
      <c r="R167" s="91"/>
      <c r="S167" s="91"/>
      <c r="T167" s="91"/>
      <c r="U167" s="90">
        <v>3577.4269999999997</v>
      </c>
      <c r="V167" s="91">
        <v>876.3</v>
      </c>
      <c r="W167" s="91">
        <v>624.70000000000005</v>
      </c>
      <c r="X167" s="91">
        <v>251.58099999999999</v>
      </c>
      <c r="Y167" s="91">
        <v>2701.127</v>
      </c>
      <c r="Z167" s="91"/>
      <c r="AA167" s="88">
        <v>1067.1869999999999</v>
      </c>
      <c r="AB167" s="89">
        <v>71.433999999999997</v>
      </c>
      <c r="AC167" s="89">
        <v>50.295999999999999</v>
      </c>
      <c r="AD167" s="89">
        <v>21.138000000000002</v>
      </c>
      <c r="AE167" s="89">
        <v>995.75300000000004</v>
      </c>
      <c r="AF167" s="89"/>
      <c r="AG167" s="88">
        <v>39386.806240617996</v>
      </c>
      <c r="AH167" s="89">
        <v>10021.588240617999</v>
      </c>
      <c r="AI167" s="89">
        <v>10021.588240617999</v>
      </c>
      <c r="AJ167" s="89"/>
      <c r="AK167" s="89">
        <v>29365.218000000001</v>
      </c>
      <c r="AL167" s="89"/>
      <c r="AM167" s="88"/>
      <c r="AN167" s="89"/>
      <c r="AO167" s="89"/>
      <c r="AP167" s="89"/>
      <c r="AQ167" s="89"/>
      <c r="AR167" s="89"/>
      <c r="AS167" s="88">
        <v>29783000</v>
      </c>
      <c r="AT167" s="89">
        <v>3777000</v>
      </c>
      <c r="AU167" s="89">
        <v>3777000</v>
      </c>
      <c r="AV167" s="89"/>
      <c r="AW167" s="89">
        <v>31655000</v>
      </c>
      <c r="AX167" s="89">
        <v>-5649000</v>
      </c>
      <c r="AY167" s="88">
        <v>76545549.160816357</v>
      </c>
      <c r="AZ167" s="89">
        <f t="shared" si="13"/>
        <v>24909497.661313768</v>
      </c>
      <c r="BA167" s="89">
        <v>19035615.15679542</v>
      </c>
      <c r="BB167" s="89">
        <v>5873882.5045183478</v>
      </c>
      <c r="BC167" s="89">
        <v>51636051.499502592</v>
      </c>
      <c r="BD167" s="89"/>
      <c r="BE167" s="88">
        <v>2855211.2675200002</v>
      </c>
      <c r="BF167" s="89">
        <v>462395.17228564998</v>
      </c>
      <c r="BG167" s="89">
        <v>429091.66203299997</v>
      </c>
      <c r="BH167" s="89">
        <v>33303.510252649998</v>
      </c>
      <c r="BI167" s="89">
        <v>1984618.7502908199</v>
      </c>
      <c r="BJ167" s="89">
        <v>408197.34494352998</v>
      </c>
      <c r="BK167" s="88"/>
      <c r="BL167" s="89"/>
      <c r="BM167" s="89"/>
      <c r="BN167" s="89"/>
      <c r="BO167" s="89"/>
      <c r="BP167" s="89"/>
      <c r="BQ167" s="88">
        <v>4716.8</v>
      </c>
      <c r="BR167" s="89">
        <v>-732.5</v>
      </c>
      <c r="BS167" s="89">
        <v>-145.9</v>
      </c>
      <c r="BT167" s="89">
        <v>-586.6</v>
      </c>
      <c r="BU167" s="89">
        <v>5449.3</v>
      </c>
      <c r="BV167" s="89"/>
      <c r="BW167" s="88">
        <v>5448.1681743371437</v>
      </c>
      <c r="BX167" s="89">
        <v>584.21699149857147</v>
      </c>
      <c r="BY167" s="89">
        <v>515.95227721857145</v>
      </c>
      <c r="BZ167" s="89">
        <v>68.264714279999993</v>
      </c>
      <c r="CA167" s="89">
        <v>6036.8573327871427</v>
      </c>
      <c r="CB167" s="89">
        <v>-1172.9061499485715</v>
      </c>
      <c r="CC167" s="88"/>
      <c r="CD167" s="89"/>
      <c r="CE167" s="89"/>
      <c r="CF167" s="89"/>
      <c r="CG167" s="89"/>
      <c r="CH167" s="89"/>
      <c r="CI167" s="88">
        <v>42169.7</v>
      </c>
      <c r="CJ167" s="89">
        <v>7123.9</v>
      </c>
      <c r="CK167" s="89">
        <v>6754.2</v>
      </c>
      <c r="CL167" s="89">
        <v>369.7</v>
      </c>
      <c r="CM167" s="89">
        <v>35526.300000000003</v>
      </c>
      <c r="CN167" s="89">
        <v>-480.5</v>
      </c>
      <c r="CO167" s="88"/>
      <c r="CP167" s="89"/>
      <c r="CQ167" s="89"/>
      <c r="CR167" s="89"/>
      <c r="CS167" s="89"/>
      <c r="CT167" s="89"/>
      <c r="CU167" s="88">
        <v>37280.788741639226</v>
      </c>
      <c r="CV167" s="89">
        <v>18520.127992929858</v>
      </c>
      <c r="CW167" s="89">
        <v>18661.370940499997</v>
      </c>
      <c r="CX167" s="89">
        <v>-141.24294757014013</v>
      </c>
      <c r="CY167" s="89">
        <v>18760.660748709368</v>
      </c>
      <c r="CZ167" s="89"/>
      <c r="DA167" s="88">
        <v>31762.824829281355</v>
      </c>
      <c r="DB167" s="89">
        <v>-2358.3126474236242</v>
      </c>
      <c r="DC167" s="89">
        <v>-2827.0892847236246</v>
      </c>
      <c r="DD167" s="89">
        <v>468.7766373</v>
      </c>
      <c r="DE167" s="89">
        <v>51523.497147126152</v>
      </c>
      <c r="DF167" s="89">
        <v>-17402.35967042117</v>
      </c>
      <c r="DG167" s="88">
        <v>205015.49999999997</v>
      </c>
      <c r="DH167" s="89">
        <v>152326.79999999999</v>
      </c>
      <c r="DI167" s="89"/>
      <c r="DJ167" s="89"/>
      <c r="DK167" s="89">
        <v>61725.4</v>
      </c>
      <c r="DL167" s="89">
        <v>-9036.7000000000007</v>
      </c>
      <c r="DM167" s="88">
        <v>2409993.2559249601</v>
      </c>
      <c r="DN167" s="89">
        <v>1233240.993</v>
      </c>
      <c r="DO167" s="89">
        <v>1161782.993</v>
      </c>
      <c r="DP167" s="89">
        <v>71458</v>
      </c>
      <c r="DQ167" s="89">
        <v>1176752.263</v>
      </c>
      <c r="DR167" s="89"/>
      <c r="DS167" s="88">
        <v>45354.385305425421</v>
      </c>
      <c r="DT167" s="89">
        <v>43150.9766322</v>
      </c>
      <c r="DU167" s="89">
        <v>42616.847543199998</v>
      </c>
      <c r="DV167" s="89">
        <v>534.12908900000002</v>
      </c>
      <c r="DW167" s="89">
        <v>12875.508477930001</v>
      </c>
      <c r="DX167" s="89">
        <v>-10672.09980470458</v>
      </c>
      <c r="DY167" s="88">
        <v>5679.1649989999996</v>
      </c>
      <c r="DZ167" s="89">
        <f t="shared" si="8"/>
        <v>-278.62470100000007</v>
      </c>
      <c r="EA167" s="89">
        <v>544.00359900000001</v>
      </c>
      <c r="EB167" s="89">
        <v>-822.62830000000008</v>
      </c>
      <c r="EC167" s="89">
        <v>5957.7897000000003</v>
      </c>
      <c r="ED167" s="89"/>
      <c r="EE167" s="88">
        <v>8093.1082305655145</v>
      </c>
      <c r="EF167" s="89">
        <v>-540.2929147079999</v>
      </c>
      <c r="EG167" s="89">
        <v>-541.8374700679999</v>
      </c>
      <c r="EH167" s="89">
        <v>1.5445553599999999</v>
      </c>
      <c r="EI167" s="89">
        <v>11209.76994645</v>
      </c>
      <c r="EJ167" s="89">
        <v>-2576.3688011764866</v>
      </c>
      <c r="EK167" s="88">
        <v>7255820.4579999978</v>
      </c>
      <c r="EL167" s="89">
        <v>1289105.6809999992</v>
      </c>
      <c r="EM167" s="89">
        <v>1190670.9639999992</v>
      </c>
      <c r="EN167" s="89">
        <v>98434.717000000004</v>
      </c>
      <c r="EO167" s="89">
        <v>5903711.2649999987</v>
      </c>
      <c r="EP167" s="89">
        <v>63003.512000000002</v>
      </c>
      <c r="EQ167" s="88">
        <v>29854.380088080004</v>
      </c>
      <c r="ER167" s="89">
        <v>-5560.3360324400001</v>
      </c>
      <c r="ES167" s="89"/>
      <c r="ET167" s="89"/>
      <c r="EU167" s="89">
        <v>57829.02636928</v>
      </c>
      <c r="EV167" s="89">
        <v>-22414.310248759997</v>
      </c>
      <c r="EW167" s="88">
        <v>299381.30444664694</v>
      </c>
      <c r="EX167" s="89">
        <f t="shared" si="14"/>
        <v>16281.768671</v>
      </c>
      <c r="EY167" s="89">
        <v>7677.0391570000011</v>
      </c>
      <c r="EZ167" s="89">
        <v>8604.7295139999987</v>
      </c>
      <c r="FA167" s="89">
        <v>221607.43882680999</v>
      </c>
      <c r="FB167" s="89">
        <v>61492.096948836901</v>
      </c>
      <c r="FC167" s="88"/>
      <c r="FD167" s="89"/>
      <c r="FE167" s="89"/>
      <c r="FF167" s="89"/>
      <c r="FG167" s="89"/>
      <c r="FH167" s="89"/>
      <c r="FI167" s="88"/>
      <c r="FJ167" s="89"/>
      <c r="FK167" s="89"/>
      <c r="FL167" s="89"/>
      <c r="FM167" s="89"/>
      <c r="FN167" s="89"/>
      <c r="FO167" s="88"/>
      <c r="FP167" s="89"/>
      <c r="FQ167" s="89"/>
      <c r="FR167" s="89"/>
      <c r="FS167" s="89"/>
      <c r="FT167" s="89"/>
      <c r="FU167" s="88"/>
      <c r="FV167" s="89"/>
      <c r="FW167" s="89"/>
      <c r="FX167" s="89"/>
      <c r="FY167" s="89"/>
      <c r="FZ167" s="89"/>
      <c r="GA167" s="120">
        <v>16000</v>
      </c>
      <c r="GB167" s="121">
        <v>-1142.5999999999999</v>
      </c>
      <c r="GC167" s="121">
        <v>-3497</v>
      </c>
      <c r="GD167" s="121">
        <v>2354.4</v>
      </c>
      <c r="GE167" s="121">
        <v>17142.400000000001</v>
      </c>
      <c r="GF167" s="89"/>
      <c r="GG167" s="88"/>
      <c r="GH167" s="89"/>
      <c r="GI167" s="89"/>
      <c r="GJ167" s="89"/>
      <c r="GK167" s="89"/>
      <c r="GL167" s="89"/>
      <c r="GM167" s="88">
        <v>20645.237541357154</v>
      </c>
      <c r="GN167" s="89">
        <v>4411.2931493042606</v>
      </c>
      <c r="GO167" s="89">
        <v>4399.8184889778504</v>
      </c>
      <c r="GP167" s="89">
        <v>11.474660326410085</v>
      </c>
      <c r="GQ167" s="89">
        <v>9437.3983910027691</v>
      </c>
      <c r="GR167" s="89">
        <v>6796.5460010501201</v>
      </c>
      <c r="GS167" s="88"/>
      <c r="GT167" s="87"/>
      <c r="GU167" s="87"/>
      <c r="GV167" s="87"/>
      <c r="GW167" s="87"/>
      <c r="GX167" s="87"/>
      <c r="GY167" s="87"/>
      <c r="GZ167" s="88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8"/>
      <c r="HM167" s="87"/>
      <c r="HN167" s="87"/>
      <c r="HO167" s="87"/>
      <c r="HP167" s="87"/>
      <c r="HQ167" s="87"/>
      <c r="HR167" s="87"/>
      <c r="HS167" s="87"/>
    </row>
    <row r="168" spans="1:227">
      <c r="A168" s="69"/>
      <c r="B168" s="87" t="s">
        <v>497</v>
      </c>
      <c r="C168" s="88"/>
      <c r="D168" s="87"/>
      <c r="E168" s="87"/>
      <c r="F168" s="87"/>
      <c r="G168" s="87"/>
      <c r="H168" s="87"/>
      <c r="I168" s="88">
        <v>142425.454</v>
      </c>
      <c r="J168" s="89">
        <v>154860.37400000001</v>
      </c>
      <c r="K168" s="89"/>
      <c r="L168" s="89"/>
      <c r="M168" s="89">
        <v>40511.044000000002</v>
      </c>
      <c r="N168" s="89">
        <v>-52945.964</v>
      </c>
      <c r="O168" s="90"/>
      <c r="P168" s="91"/>
      <c r="Q168" s="91"/>
      <c r="R168" s="91"/>
      <c r="S168" s="91"/>
      <c r="T168" s="91"/>
      <c r="U168" s="90">
        <v>3612.5</v>
      </c>
      <c r="V168" s="91">
        <v>912.6</v>
      </c>
      <c r="W168" s="91">
        <v>653.20000000000005</v>
      </c>
      <c r="X168" s="91">
        <v>259.45299999999997</v>
      </c>
      <c r="Y168" s="91">
        <v>2699.9</v>
      </c>
      <c r="Z168" s="91"/>
      <c r="AA168" s="88">
        <v>1111.019</v>
      </c>
      <c r="AB168" s="89">
        <v>105.104</v>
      </c>
      <c r="AC168" s="89">
        <v>83.653999999999996</v>
      </c>
      <c r="AD168" s="89">
        <v>21.45</v>
      </c>
      <c r="AE168" s="89">
        <v>1005.915</v>
      </c>
      <c r="AF168" s="89"/>
      <c r="AG168" s="88">
        <v>39275.288161534001</v>
      </c>
      <c r="AH168" s="89">
        <v>9905.4371615339987</v>
      </c>
      <c r="AI168" s="89">
        <v>9905.4371615339987</v>
      </c>
      <c r="AJ168" s="89"/>
      <c r="AK168" s="89">
        <v>29369.850999999999</v>
      </c>
      <c r="AL168" s="89"/>
      <c r="AM168" s="88"/>
      <c r="AN168" s="89"/>
      <c r="AO168" s="89"/>
      <c r="AP168" s="89"/>
      <c r="AQ168" s="89"/>
      <c r="AR168" s="89"/>
      <c r="AS168" s="88">
        <v>30274000</v>
      </c>
      <c r="AT168" s="89">
        <v>3300000</v>
      </c>
      <c r="AU168" s="89">
        <v>3300000</v>
      </c>
      <c r="AV168" s="89"/>
      <c r="AW168" s="89">
        <v>31675000</v>
      </c>
      <c r="AX168" s="89">
        <v>-4701000</v>
      </c>
      <c r="AY168" s="88">
        <v>74521135.611869484</v>
      </c>
      <c r="AZ168" s="89">
        <f t="shared" si="13"/>
        <v>22556122.377187945</v>
      </c>
      <c r="BA168" s="89">
        <v>16423436.648655038</v>
      </c>
      <c r="BB168" s="89">
        <v>6132685.7285329085</v>
      </c>
      <c r="BC168" s="89">
        <v>51965013.234681539</v>
      </c>
      <c r="BD168" s="89"/>
      <c r="BE168" s="88">
        <v>2915018.5352254598</v>
      </c>
      <c r="BF168" s="89">
        <v>474953.89435156999</v>
      </c>
      <c r="BG168" s="89">
        <v>441568.83377406001</v>
      </c>
      <c r="BH168" s="89">
        <v>33385.060577509998</v>
      </c>
      <c r="BI168" s="89">
        <v>2021535.5688495</v>
      </c>
      <c r="BJ168" s="89">
        <v>418529.07202438999</v>
      </c>
      <c r="BK168" s="88"/>
      <c r="BL168" s="89"/>
      <c r="BM168" s="89"/>
      <c r="BN168" s="89"/>
      <c r="BO168" s="89"/>
      <c r="BP168" s="89"/>
      <c r="BQ168" s="88">
        <v>4683.5</v>
      </c>
      <c r="BR168" s="89">
        <v>-873.69999999999993</v>
      </c>
      <c r="BS168" s="89">
        <v>-257.39999999999998</v>
      </c>
      <c r="BT168" s="89">
        <v>-616.29999999999995</v>
      </c>
      <c r="BU168" s="89">
        <v>5557.2</v>
      </c>
      <c r="BV168" s="89"/>
      <c r="BW168" s="88">
        <v>5449.5529688271426</v>
      </c>
      <c r="BX168" s="89">
        <v>613.53896090857143</v>
      </c>
      <c r="BY168" s="89">
        <v>545.20024662857145</v>
      </c>
      <c r="BZ168" s="89">
        <v>68.338714280000005</v>
      </c>
      <c r="CA168" s="89">
        <v>6075.4373583371435</v>
      </c>
      <c r="CB168" s="89">
        <v>-1239.4233504185713</v>
      </c>
      <c r="CC168" s="88"/>
      <c r="CD168" s="89"/>
      <c r="CE168" s="89"/>
      <c r="CF168" s="89"/>
      <c r="CG168" s="89"/>
      <c r="CH168" s="89"/>
      <c r="CI168" s="88">
        <v>42551.5</v>
      </c>
      <c r="CJ168" s="89">
        <v>7187.7000000000007</v>
      </c>
      <c r="CK168" s="89">
        <v>6808.6</v>
      </c>
      <c r="CL168" s="89">
        <v>379.09999999999997</v>
      </c>
      <c r="CM168" s="89">
        <v>35937.899999999994</v>
      </c>
      <c r="CN168" s="89">
        <v>-574.1</v>
      </c>
      <c r="CO168" s="88">
        <v>26279</v>
      </c>
      <c r="CP168" s="89">
        <v>-10771.4</v>
      </c>
      <c r="CQ168" s="89">
        <v>-4095.1</v>
      </c>
      <c r="CR168" s="89">
        <v>-6676.2999999999993</v>
      </c>
      <c r="CS168" s="89">
        <v>47426</v>
      </c>
      <c r="CT168" s="89">
        <v>-10375.6</v>
      </c>
      <c r="CU168" s="88">
        <v>37529.579465401272</v>
      </c>
      <c r="CV168" s="89">
        <v>18400.696069239795</v>
      </c>
      <c r="CW168" s="89">
        <v>18323.072839323941</v>
      </c>
      <c r="CX168" s="89">
        <v>92.467052606755814</v>
      </c>
      <c r="CY168" s="89">
        <v>19128.88339616148</v>
      </c>
      <c r="CZ168" s="89"/>
      <c r="DA168" s="88">
        <v>31779.224677698992</v>
      </c>
      <c r="DB168" s="89">
        <v>-2267.1027080599597</v>
      </c>
      <c r="DC168" s="89">
        <v>-2896.9804151099597</v>
      </c>
      <c r="DD168" s="89">
        <v>629.87770705000003</v>
      </c>
      <c r="DE168" s="89">
        <v>51874.468773675173</v>
      </c>
      <c r="DF168" s="89">
        <v>-17828.141387916221</v>
      </c>
      <c r="DG168" s="88">
        <v>203274</v>
      </c>
      <c r="DH168" s="89">
        <v>149941.1</v>
      </c>
      <c r="DI168" s="89"/>
      <c r="DJ168" s="89"/>
      <c r="DK168" s="89">
        <v>62978.2</v>
      </c>
      <c r="DL168" s="89">
        <v>-9645.2999999999993</v>
      </c>
      <c r="DM168" s="88">
        <v>2485224.2838551402</v>
      </c>
      <c r="DN168" s="89">
        <v>1281371.82</v>
      </c>
      <c r="DO168" s="89">
        <v>1209178.3060000001</v>
      </c>
      <c r="DP168" s="89">
        <v>72193.513999999996</v>
      </c>
      <c r="DQ168" s="89">
        <v>1203852.4639999999</v>
      </c>
      <c r="DR168" s="89"/>
      <c r="DS168" s="88">
        <v>45426.258230887994</v>
      </c>
      <c r="DT168" s="89">
        <v>41880.803743930002</v>
      </c>
      <c r="DU168" s="89">
        <v>41342.291568929999</v>
      </c>
      <c r="DV168" s="89">
        <v>538.51217500000007</v>
      </c>
      <c r="DW168" s="89">
        <v>13397.64560055</v>
      </c>
      <c r="DX168" s="89">
        <v>-9852.1911135920109</v>
      </c>
      <c r="DY168" s="88">
        <v>5811.2840120000001</v>
      </c>
      <c r="DZ168" s="89">
        <f t="shared" si="8"/>
        <v>-207.19109899999989</v>
      </c>
      <c r="EA168" s="89">
        <v>547.52379000000008</v>
      </c>
      <c r="EB168" s="89">
        <v>-754.71488899999997</v>
      </c>
      <c r="EC168" s="89">
        <v>6018.4751109999997</v>
      </c>
      <c r="ED168" s="89"/>
      <c r="EE168" s="88">
        <v>8194.9982672510432</v>
      </c>
      <c r="EF168" s="89">
        <v>-418.34993659399993</v>
      </c>
      <c r="EG168" s="89">
        <v>-419.89341279399991</v>
      </c>
      <c r="EH168" s="89">
        <v>1.5434762</v>
      </c>
      <c r="EI168" s="89">
        <v>11174.502855089999</v>
      </c>
      <c r="EJ168" s="89">
        <v>-2561.1546512449554</v>
      </c>
      <c r="EK168" s="88">
        <v>7027658.3839999987</v>
      </c>
      <c r="EL168" s="89">
        <v>1133613.0729999999</v>
      </c>
      <c r="EM168" s="89">
        <v>1061269.5719999999</v>
      </c>
      <c r="EN168" s="89">
        <v>72343.501000000033</v>
      </c>
      <c r="EO168" s="89">
        <v>5833109.7679999992</v>
      </c>
      <c r="EP168" s="89">
        <v>60935.543000000005</v>
      </c>
      <c r="EQ168" s="88">
        <v>30381.437052720001</v>
      </c>
      <c r="ER168" s="89">
        <v>-4833.6321543600006</v>
      </c>
      <c r="ES168" s="89"/>
      <c r="ET168" s="89"/>
      <c r="EU168" s="89">
        <v>57796.51224964</v>
      </c>
      <c r="EV168" s="89">
        <v>-22581.44304256</v>
      </c>
      <c r="EW168" s="88">
        <v>300690.20924597851</v>
      </c>
      <c r="EX168" s="89">
        <f t="shared" si="14"/>
        <v>16611.289683000003</v>
      </c>
      <c r="EY168" s="89">
        <v>8594.6995600000027</v>
      </c>
      <c r="EZ168" s="89">
        <v>8016.590122999999</v>
      </c>
      <c r="FA168" s="89">
        <v>223520.58739975002</v>
      </c>
      <c r="FB168" s="89">
        <v>60558.332163228508</v>
      </c>
      <c r="FC168" s="88"/>
      <c r="FD168" s="89"/>
      <c r="FE168" s="89"/>
      <c r="FF168" s="89"/>
      <c r="FG168" s="89"/>
      <c r="FH168" s="89"/>
      <c r="FI168" s="88"/>
      <c r="FJ168" s="89"/>
      <c r="FK168" s="89"/>
      <c r="FL168" s="89"/>
      <c r="FM168" s="89"/>
      <c r="FN168" s="89"/>
      <c r="FO168" s="88"/>
      <c r="FP168" s="89"/>
      <c r="FQ168" s="89"/>
      <c r="FR168" s="89"/>
      <c r="FS168" s="89"/>
      <c r="FT168" s="89"/>
      <c r="FU168" s="88"/>
      <c r="FV168" s="89"/>
      <c r="FW168" s="89"/>
      <c r="FX168" s="89"/>
      <c r="FY168" s="89"/>
      <c r="FZ168" s="89"/>
      <c r="GA168" s="88">
        <v>14235.1</v>
      </c>
      <c r="GB168" s="89">
        <v>-3072.8</v>
      </c>
      <c r="GC168" s="89">
        <v>-5281.3</v>
      </c>
      <c r="GD168" s="89">
        <v>2208.5</v>
      </c>
      <c r="GE168" s="89">
        <v>17307.8</v>
      </c>
      <c r="GF168" s="89"/>
      <c r="GG168" s="88"/>
      <c r="GH168" s="89"/>
      <c r="GI168" s="89"/>
      <c r="GJ168" s="89"/>
      <c r="GK168" s="89"/>
      <c r="GL168" s="89"/>
      <c r="GM168" s="88">
        <v>21147.470790195479</v>
      </c>
      <c r="GN168" s="89">
        <v>4766.1255027932211</v>
      </c>
      <c r="GO168" s="89">
        <v>4755.3596984889109</v>
      </c>
      <c r="GP168" s="89">
        <v>10.765804304310121</v>
      </c>
      <c r="GQ168" s="89">
        <v>9495.851226172781</v>
      </c>
      <c r="GR168" s="89">
        <v>6885.4940612294804</v>
      </c>
      <c r="GS168" s="88"/>
      <c r="GT168" s="87"/>
      <c r="GU168" s="87"/>
      <c r="GV168" s="87"/>
      <c r="GW168" s="87"/>
      <c r="GX168" s="87"/>
      <c r="GY168" s="87"/>
      <c r="GZ168" s="88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8"/>
      <c r="HM168" s="87"/>
      <c r="HN168" s="87"/>
      <c r="HO168" s="87"/>
      <c r="HP168" s="87"/>
      <c r="HQ168" s="87"/>
      <c r="HR168" s="87"/>
      <c r="HS168" s="87"/>
    </row>
    <row r="169" spans="1:227">
      <c r="A169" s="69"/>
      <c r="B169" s="87" t="s">
        <v>498</v>
      </c>
      <c r="C169" s="88"/>
      <c r="D169" s="87"/>
      <c r="E169" s="87"/>
      <c r="F169" s="87"/>
      <c r="G169" s="87"/>
      <c r="H169" s="87"/>
      <c r="I169" s="88">
        <v>143405.321</v>
      </c>
      <c r="J169" s="89">
        <v>153691.027</v>
      </c>
      <c r="K169" s="89"/>
      <c r="L169" s="89"/>
      <c r="M169" s="89">
        <v>40581.373</v>
      </c>
      <c r="N169" s="91">
        <v>-50867.078999999998</v>
      </c>
      <c r="O169" s="90"/>
      <c r="P169" s="91"/>
      <c r="Q169" s="91"/>
      <c r="R169" s="91"/>
      <c r="S169" s="91"/>
      <c r="T169" s="91"/>
      <c r="U169" s="90">
        <v>3688.422</v>
      </c>
      <c r="V169" s="91">
        <v>995</v>
      </c>
      <c r="W169" s="91">
        <v>730.2</v>
      </c>
      <c r="X169" s="91">
        <v>264.779</v>
      </c>
      <c r="Y169" s="91">
        <v>2693.422</v>
      </c>
      <c r="Z169" s="91"/>
      <c r="AA169" s="88">
        <v>1131.3589999999999</v>
      </c>
      <c r="AB169" s="89">
        <v>115.73700000000001</v>
      </c>
      <c r="AC169" s="89">
        <v>94.882000000000005</v>
      </c>
      <c r="AD169" s="89">
        <v>20.855</v>
      </c>
      <c r="AE169" s="89">
        <v>1015.622</v>
      </c>
      <c r="AF169" s="89"/>
      <c r="AG169" s="88">
        <v>39244.334830156899</v>
      </c>
      <c r="AH169" s="89">
        <v>9757.8528392168992</v>
      </c>
      <c r="AI169" s="89">
        <v>9757.8528392168992</v>
      </c>
      <c r="AJ169" s="89"/>
      <c r="AK169" s="89">
        <v>29486.481990939999</v>
      </c>
      <c r="AL169" s="89"/>
      <c r="AM169" s="88"/>
      <c r="AN169" s="89"/>
      <c r="AO169" s="89"/>
      <c r="AP169" s="89"/>
      <c r="AQ169" s="89"/>
      <c r="AR169" s="89"/>
      <c r="AS169" s="88">
        <v>30694000</v>
      </c>
      <c r="AT169" s="89">
        <v>3375000</v>
      </c>
      <c r="AU169" s="89">
        <v>3375000</v>
      </c>
      <c r="AV169" s="89"/>
      <c r="AW169" s="89">
        <v>31919000</v>
      </c>
      <c r="AX169" s="89">
        <v>-4600000</v>
      </c>
      <c r="AY169" s="88">
        <v>78011837.099898785</v>
      </c>
      <c r="AZ169" s="89">
        <f t="shared" si="13"/>
        <v>24975971.12327563</v>
      </c>
      <c r="BA169" s="89">
        <v>19148615.756006654</v>
      </c>
      <c r="BB169" s="89">
        <v>5827355.3672689777</v>
      </c>
      <c r="BC169" s="89">
        <v>53035865.97662314</v>
      </c>
      <c r="BD169" s="89"/>
      <c r="BE169" s="88">
        <v>2914787.6973895701</v>
      </c>
      <c r="BF169" s="89">
        <v>436795.33326081</v>
      </c>
      <c r="BG169" s="89">
        <v>404011.74509664997</v>
      </c>
      <c r="BH169" s="89">
        <v>32783.588164159999</v>
      </c>
      <c r="BI169" s="89">
        <v>2052735.71993605</v>
      </c>
      <c r="BJ169" s="89">
        <v>425256.64419273002</v>
      </c>
      <c r="BK169" s="88"/>
      <c r="BL169" s="89"/>
      <c r="BM169" s="89"/>
      <c r="BN169" s="89"/>
      <c r="BO169" s="89"/>
      <c r="BP169" s="89"/>
      <c r="BQ169" s="88">
        <v>4610.3</v>
      </c>
      <c r="BR169" s="89">
        <v>-945.3</v>
      </c>
      <c r="BS169" s="89">
        <v>-259.39999999999998</v>
      </c>
      <c r="BT169" s="89">
        <v>-685.9</v>
      </c>
      <c r="BU169" s="89">
        <v>5555.5</v>
      </c>
      <c r="BV169" s="89"/>
      <c r="BW169" s="88">
        <v>5500.4173081943945</v>
      </c>
      <c r="BX169" s="89">
        <v>631.46067374297149</v>
      </c>
      <c r="BY169" s="89">
        <v>563.88895946297146</v>
      </c>
      <c r="BZ169" s="89">
        <v>67.571714280000009</v>
      </c>
      <c r="CA169" s="89">
        <v>6088.5500485771445</v>
      </c>
      <c r="CB169" s="89">
        <v>-1219.5934141257214</v>
      </c>
      <c r="CC169" s="88"/>
      <c r="CD169" s="89"/>
      <c r="CE169" s="89"/>
      <c r="CF169" s="89"/>
      <c r="CG169" s="89"/>
      <c r="CH169" s="89"/>
      <c r="CI169" s="88">
        <v>43928.7</v>
      </c>
      <c r="CJ169" s="89">
        <v>8035.5</v>
      </c>
      <c r="CK169" s="89">
        <v>7654.6</v>
      </c>
      <c r="CL169" s="89">
        <v>380.90000000000003</v>
      </c>
      <c r="CM169" s="89">
        <v>36371.5</v>
      </c>
      <c r="CN169" s="89">
        <v>-478.3</v>
      </c>
      <c r="CO169" s="88"/>
      <c r="CP169" s="89"/>
      <c r="CQ169" s="89"/>
      <c r="CR169" s="89"/>
      <c r="CS169" s="89"/>
      <c r="CT169" s="89"/>
      <c r="CU169" s="88">
        <v>38251.378883041267</v>
      </c>
      <c r="CV169" s="89">
        <v>18404.507030876073</v>
      </c>
      <c r="CW169" s="89">
        <v>18460.53617431</v>
      </c>
      <c r="CX169" s="89">
        <v>-56.02914343392419</v>
      </c>
      <c r="CY169" s="89">
        <v>19846.871852165197</v>
      </c>
      <c r="CZ169" s="89"/>
      <c r="DA169" s="88">
        <v>32712.547093835732</v>
      </c>
      <c r="DB169" s="89">
        <v>-1728.9738104713965</v>
      </c>
      <c r="DC169" s="89">
        <v>-2427.6607716413964</v>
      </c>
      <c r="DD169" s="89">
        <v>698.6869611699999</v>
      </c>
      <c r="DE169" s="89">
        <v>52426.694568373248</v>
      </c>
      <c r="DF169" s="89">
        <v>-17985.173664066126</v>
      </c>
      <c r="DG169" s="88">
        <v>211577.4</v>
      </c>
      <c r="DH169" s="89">
        <v>155518.29999999999</v>
      </c>
      <c r="DI169" s="89"/>
      <c r="DJ169" s="89"/>
      <c r="DK169" s="89">
        <v>64428.1</v>
      </c>
      <c r="DL169" s="89">
        <v>-8369</v>
      </c>
      <c r="DM169" s="88">
        <v>2462931.3458359102</v>
      </c>
      <c r="DN169" s="89">
        <v>1243762.3459999999</v>
      </c>
      <c r="DO169" s="89">
        <v>1170768.3459999999</v>
      </c>
      <c r="DP169" s="89">
        <v>72994</v>
      </c>
      <c r="DQ169" s="89">
        <v>1219169</v>
      </c>
      <c r="DR169" s="89"/>
      <c r="DS169" s="88">
        <v>45641.791253175455</v>
      </c>
      <c r="DT169" s="89">
        <v>41730.476401139989</v>
      </c>
      <c r="DU169" s="89">
        <v>41175.58687313999</v>
      </c>
      <c r="DV169" s="89">
        <v>554.88952800000004</v>
      </c>
      <c r="DW169" s="89">
        <v>13604.141433370001</v>
      </c>
      <c r="DX169" s="89">
        <v>-9692.826581334537</v>
      </c>
      <c r="DY169" s="88">
        <v>5799.7680780000001</v>
      </c>
      <c r="DZ169" s="89">
        <f t="shared" si="8"/>
        <v>-235.77145399999995</v>
      </c>
      <c r="EA169" s="89">
        <v>558.489014</v>
      </c>
      <c r="EB169" s="89">
        <v>-794.26046799999995</v>
      </c>
      <c r="EC169" s="89">
        <v>6035.5395319999998</v>
      </c>
      <c r="ED169" s="89"/>
      <c r="EE169" s="88">
        <v>8319.8247532965324</v>
      </c>
      <c r="EF169" s="89">
        <v>-328.42516855500003</v>
      </c>
      <c r="EG169" s="89">
        <v>-329.96864475500001</v>
      </c>
      <c r="EH169" s="89">
        <v>1.5434762</v>
      </c>
      <c r="EI169" s="89">
        <v>11203.690009819999</v>
      </c>
      <c r="EJ169" s="89">
        <v>-2555.4400879684663</v>
      </c>
      <c r="EK169" s="88">
        <v>6736046.0519999992</v>
      </c>
      <c r="EL169" s="89">
        <v>788770.33699999994</v>
      </c>
      <c r="EM169" s="89">
        <v>774127.10499999998</v>
      </c>
      <c r="EN169" s="89">
        <v>14643.231999999989</v>
      </c>
      <c r="EO169" s="89">
        <v>5884308.9619999994</v>
      </c>
      <c r="EP169" s="89">
        <v>62966.752999999997</v>
      </c>
      <c r="EQ169" s="88">
        <v>31017.530115219997</v>
      </c>
      <c r="ER169" s="89">
        <v>-4539.0914301300008</v>
      </c>
      <c r="ES169" s="89"/>
      <c r="ET169" s="89"/>
      <c r="EU169" s="89">
        <v>57989.120893169995</v>
      </c>
      <c r="EV169" s="89">
        <v>-22432.499347819998</v>
      </c>
      <c r="EW169" s="88">
        <v>315159.04640478629</v>
      </c>
      <c r="EX169" s="89">
        <f t="shared" si="14"/>
        <v>18207.143858999996</v>
      </c>
      <c r="EY169" s="89">
        <v>8497.7108029999981</v>
      </c>
      <c r="EZ169" s="89">
        <v>9709.4330559999999</v>
      </c>
      <c r="FA169" s="89">
        <v>231266.53125480999</v>
      </c>
      <c r="FB169" s="89">
        <v>65685.371290976327</v>
      </c>
      <c r="FC169" s="88"/>
      <c r="FD169" s="89"/>
      <c r="FE169" s="89"/>
      <c r="FF169" s="89"/>
      <c r="FG169" s="89"/>
      <c r="FH169" s="89"/>
      <c r="FI169" s="88"/>
      <c r="FJ169" s="89"/>
      <c r="FK169" s="89"/>
      <c r="FL169" s="89"/>
      <c r="FM169" s="89"/>
      <c r="FN169" s="89"/>
      <c r="FO169" s="88"/>
      <c r="FP169" s="89"/>
      <c r="FQ169" s="89"/>
      <c r="FR169" s="89"/>
      <c r="FS169" s="89"/>
      <c r="FT169" s="89"/>
      <c r="FU169" s="88"/>
      <c r="FV169" s="89"/>
      <c r="FW169" s="89"/>
      <c r="FX169" s="89"/>
      <c r="FY169" s="89"/>
      <c r="FZ169" s="89"/>
      <c r="GA169" s="120">
        <v>14413.8</v>
      </c>
      <c r="GB169" s="121">
        <v>-2775.6</v>
      </c>
      <c r="GC169" s="121">
        <v>-4849.5</v>
      </c>
      <c r="GD169" s="121">
        <v>2073.9</v>
      </c>
      <c r="GE169" s="121">
        <v>17189.5</v>
      </c>
      <c r="GF169" s="89"/>
      <c r="GG169" s="88"/>
      <c r="GH169" s="89"/>
      <c r="GI169" s="89"/>
      <c r="GJ169" s="89"/>
      <c r="GK169" s="89"/>
      <c r="GL169" s="89"/>
      <c r="GM169" s="96">
        <v>22390.273059867501</v>
      </c>
      <c r="GN169" s="89">
        <v>4730.8721243192495</v>
      </c>
      <c r="GO169" s="89">
        <v>4720.2014374094397</v>
      </c>
      <c r="GP169" s="94">
        <v>10.670686909809708</v>
      </c>
      <c r="GQ169" s="89">
        <v>9607.6415255548109</v>
      </c>
      <c r="GR169" s="89">
        <v>8051.7574099934191</v>
      </c>
      <c r="GS169" s="96"/>
      <c r="GT169" s="87"/>
      <c r="GU169" s="87"/>
      <c r="GV169" s="87"/>
      <c r="GW169" s="87"/>
      <c r="GX169" s="87"/>
      <c r="GY169" s="87"/>
      <c r="GZ169" s="88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8"/>
      <c r="HM169" s="87"/>
      <c r="HN169" s="87"/>
      <c r="HO169" s="87"/>
      <c r="HP169" s="87"/>
      <c r="HQ169" s="87"/>
      <c r="HR169" s="87"/>
      <c r="HS169" s="87"/>
    </row>
    <row r="170" spans="1:227">
      <c r="A170" s="69"/>
      <c r="B170" s="87" t="s">
        <v>499</v>
      </c>
      <c r="C170" s="88"/>
      <c r="D170" s="87"/>
      <c r="E170" s="87"/>
      <c r="F170" s="87"/>
      <c r="G170" s="87"/>
      <c r="H170" s="87"/>
      <c r="I170" s="88">
        <v>143927.08800000002</v>
      </c>
      <c r="J170" s="89">
        <v>156218.99100000001</v>
      </c>
      <c r="K170" s="89"/>
      <c r="L170" s="89"/>
      <c r="M170" s="89">
        <v>40973.896000000001</v>
      </c>
      <c r="N170" s="89">
        <v>-53265.798999999999</v>
      </c>
      <c r="O170" s="90"/>
      <c r="P170" s="91"/>
      <c r="Q170" s="91"/>
      <c r="R170" s="91"/>
      <c r="S170" s="91"/>
      <c r="T170" s="91"/>
      <c r="U170" s="90">
        <v>3751.0749999999998</v>
      </c>
      <c r="V170" s="91">
        <v>1019.7</v>
      </c>
      <c r="W170" s="91">
        <v>740.1</v>
      </c>
      <c r="X170" s="91">
        <v>279.59199999999998</v>
      </c>
      <c r="Y170" s="91">
        <v>2731.375</v>
      </c>
      <c r="Z170" s="91"/>
      <c r="AA170" s="88">
        <v>1077.0229999999999</v>
      </c>
      <c r="AB170" s="89">
        <v>58.372</v>
      </c>
      <c r="AC170" s="89">
        <v>38.148000000000003</v>
      </c>
      <c r="AD170" s="89">
        <v>20.224</v>
      </c>
      <c r="AE170" s="89">
        <v>1018.651</v>
      </c>
      <c r="AF170" s="89"/>
      <c r="AG170" s="88">
        <v>39390.006237674796</v>
      </c>
      <c r="AH170" s="89">
        <v>9818.7620533659992</v>
      </c>
      <c r="AI170" s="89">
        <v>9818.7620533659992</v>
      </c>
      <c r="AJ170" s="89"/>
      <c r="AK170" s="89">
        <v>29571.244184308795</v>
      </c>
      <c r="AL170" s="89"/>
      <c r="AM170" s="88"/>
      <c r="AN170" s="89"/>
      <c r="AO170" s="89"/>
      <c r="AP170" s="89"/>
      <c r="AQ170" s="89"/>
      <c r="AR170" s="89"/>
      <c r="AS170" s="88">
        <v>30897000</v>
      </c>
      <c r="AT170" s="89">
        <v>2994000</v>
      </c>
      <c r="AU170" s="89">
        <v>2994000</v>
      </c>
      <c r="AV170" s="89"/>
      <c r="AW170" s="89">
        <v>32153000</v>
      </c>
      <c r="AX170" s="89">
        <v>-4250000</v>
      </c>
      <c r="AY170" s="88">
        <v>78953978.782343671</v>
      </c>
      <c r="AZ170" s="89">
        <f t="shared" si="13"/>
        <v>25862369.311067149</v>
      </c>
      <c r="BA170" s="89">
        <v>20074666.711249921</v>
      </c>
      <c r="BB170" s="89">
        <v>5787702.5998172276</v>
      </c>
      <c r="BC170" s="89">
        <v>53091609.471276522</v>
      </c>
      <c r="BD170" s="89"/>
      <c r="BE170" s="88">
        <v>2963168.0508933701</v>
      </c>
      <c r="BF170" s="89">
        <v>435549.07251282001</v>
      </c>
      <c r="BG170" s="89">
        <v>401780.06628318998</v>
      </c>
      <c r="BH170" s="89">
        <v>33769.006229630002</v>
      </c>
      <c r="BI170" s="89">
        <v>2102814.9888620898</v>
      </c>
      <c r="BJ170" s="89">
        <v>424803.98951846</v>
      </c>
      <c r="BK170" s="88"/>
      <c r="BL170" s="89"/>
      <c r="BM170" s="89"/>
      <c r="BN170" s="89"/>
      <c r="BO170" s="89"/>
      <c r="BP170" s="89"/>
      <c r="BQ170" s="88">
        <v>4742.5</v>
      </c>
      <c r="BR170" s="89">
        <v>-881.19999999999993</v>
      </c>
      <c r="BS170" s="89">
        <v>-172.9</v>
      </c>
      <c r="BT170" s="89">
        <v>-708.3</v>
      </c>
      <c r="BU170" s="89">
        <v>5623.8</v>
      </c>
      <c r="BV170" s="89"/>
      <c r="BW170" s="88">
        <v>5601.1844464583928</v>
      </c>
      <c r="BX170" s="89">
        <v>599.03554960982126</v>
      </c>
      <c r="BY170" s="89">
        <v>527.21097818982128</v>
      </c>
      <c r="BZ170" s="89">
        <v>71.824571419999998</v>
      </c>
      <c r="CA170" s="89">
        <v>6188.7624164971439</v>
      </c>
      <c r="CB170" s="89">
        <v>-1186.6135489685719</v>
      </c>
      <c r="CC170" s="88"/>
      <c r="CD170" s="89"/>
      <c r="CE170" s="89"/>
      <c r="CF170" s="89"/>
      <c r="CG170" s="89"/>
      <c r="CH170" s="89"/>
      <c r="CI170" s="88">
        <v>44742.3</v>
      </c>
      <c r="CJ170" s="89">
        <v>7719.4000000000005</v>
      </c>
      <c r="CK170" s="89">
        <v>7279.1</v>
      </c>
      <c r="CL170" s="89">
        <v>440.3</v>
      </c>
      <c r="CM170" s="89">
        <v>36760.699999999997</v>
      </c>
      <c r="CN170" s="89">
        <v>262.2</v>
      </c>
      <c r="CO170" s="88"/>
      <c r="CP170" s="89"/>
      <c r="CQ170" s="89"/>
      <c r="CR170" s="89"/>
      <c r="CS170" s="89"/>
      <c r="CT170" s="89"/>
      <c r="CU170" s="88">
        <v>39481.643688455777</v>
      </c>
      <c r="CV170" s="89">
        <v>18911.562995224205</v>
      </c>
      <c r="CW170" s="89">
        <v>19070.378347680002</v>
      </c>
      <c r="CX170" s="89">
        <v>-158.81535245579914</v>
      </c>
      <c r="CY170" s="89">
        <v>20570.080693231568</v>
      </c>
      <c r="CZ170" s="89"/>
      <c r="DA170" s="88">
        <v>33995.260207541476</v>
      </c>
      <c r="DB170" s="89">
        <v>-1474.6137130236157</v>
      </c>
      <c r="DC170" s="89">
        <v>-2220.1408276836155</v>
      </c>
      <c r="DD170" s="89">
        <v>745.52711466000005</v>
      </c>
      <c r="DE170" s="89">
        <v>54049.010996110468</v>
      </c>
      <c r="DF170" s="89">
        <v>-18579.137075545375</v>
      </c>
      <c r="DG170" s="88">
        <v>215399.3</v>
      </c>
      <c r="DH170" s="89">
        <v>157500.4</v>
      </c>
      <c r="DI170" s="89"/>
      <c r="DJ170" s="89"/>
      <c r="DK170" s="89">
        <v>66137.3</v>
      </c>
      <c r="DL170" s="89">
        <v>-8238.4</v>
      </c>
      <c r="DM170" s="88">
        <v>2485770.5956837502</v>
      </c>
      <c r="DN170" s="89">
        <v>1241396.5959999999</v>
      </c>
      <c r="DO170" s="89">
        <v>1169067.5959999999</v>
      </c>
      <c r="DP170" s="89">
        <v>72329</v>
      </c>
      <c r="DQ170" s="89">
        <v>1244374</v>
      </c>
      <c r="DR170" s="89"/>
      <c r="DS170" s="88">
        <v>46463.226573030188</v>
      </c>
      <c r="DT170" s="89">
        <v>41720.218959250007</v>
      </c>
      <c r="DU170" s="89">
        <v>41146.224832250009</v>
      </c>
      <c r="DV170" s="89">
        <v>573.99412700000005</v>
      </c>
      <c r="DW170" s="89">
        <v>13991.563074457001</v>
      </c>
      <c r="DX170" s="89">
        <v>-9248.5554606768164</v>
      </c>
      <c r="DY170" s="88">
        <v>5926.9372960000001</v>
      </c>
      <c r="DZ170" s="89">
        <f t="shared" si="8"/>
        <v>-209.27501300000006</v>
      </c>
      <c r="EA170" s="89">
        <v>526.05867799999999</v>
      </c>
      <c r="EB170" s="89">
        <v>-735.33369100000004</v>
      </c>
      <c r="EC170" s="89">
        <v>6136.2123090000005</v>
      </c>
      <c r="ED170" s="89"/>
      <c r="EE170" s="88">
        <v>8416.3877967532189</v>
      </c>
      <c r="EF170" s="89">
        <v>-219.22033653499966</v>
      </c>
      <c r="EG170" s="89">
        <v>-220.76381273499965</v>
      </c>
      <c r="EH170" s="89">
        <v>1.5434762</v>
      </c>
      <c r="EI170" s="89">
        <v>11222.34862363</v>
      </c>
      <c r="EJ170" s="89">
        <v>-2586.7404903417805</v>
      </c>
      <c r="EK170" s="88">
        <v>6575024.8271599989</v>
      </c>
      <c r="EL170" s="89">
        <v>678673.9222499996</v>
      </c>
      <c r="EM170" s="89">
        <v>669690.71746999957</v>
      </c>
      <c r="EN170" s="89">
        <v>8983.2047799999855</v>
      </c>
      <c r="EO170" s="89">
        <v>5828602.5759999994</v>
      </c>
      <c r="EP170" s="89">
        <v>67748.328909999997</v>
      </c>
      <c r="EQ170" s="88">
        <v>28794.975695239998</v>
      </c>
      <c r="ER170" s="89">
        <v>-7045.85133408</v>
      </c>
      <c r="ES170" s="89"/>
      <c r="ET170" s="89"/>
      <c r="EU170" s="89">
        <v>58621.464178120004</v>
      </c>
      <c r="EV170" s="89">
        <v>-22780.637148800008</v>
      </c>
      <c r="EW170" s="88">
        <v>326455.55301384279</v>
      </c>
      <c r="EX170" s="89">
        <f t="shared" si="14"/>
        <v>14564.092124000003</v>
      </c>
      <c r="EY170" s="89">
        <v>5645.7933150000026</v>
      </c>
      <c r="EZ170" s="89">
        <v>8918.2988089999999</v>
      </c>
      <c r="FA170" s="89">
        <v>247955.75633030001</v>
      </c>
      <c r="FB170" s="89">
        <v>63935.704559542748</v>
      </c>
      <c r="FC170" s="88"/>
      <c r="FD170" s="89"/>
      <c r="FE170" s="89"/>
      <c r="FF170" s="89"/>
      <c r="FG170" s="89"/>
      <c r="FH170" s="89"/>
      <c r="FI170" s="88"/>
      <c r="FJ170" s="89"/>
      <c r="FK170" s="89"/>
      <c r="FL170" s="89"/>
      <c r="FM170" s="89"/>
      <c r="FN170" s="89"/>
      <c r="FO170" s="88"/>
      <c r="FP170" s="89"/>
      <c r="FQ170" s="89"/>
      <c r="FR170" s="89"/>
      <c r="FS170" s="89"/>
      <c r="FT170" s="89"/>
      <c r="FU170" s="88"/>
      <c r="FV170" s="89"/>
      <c r="FW170" s="89"/>
      <c r="FX170" s="89"/>
      <c r="FY170" s="89"/>
      <c r="FZ170" s="89"/>
      <c r="GA170" s="120">
        <v>15767.5</v>
      </c>
      <c r="GB170" s="121">
        <v>-1843.0000000000002</v>
      </c>
      <c r="GC170" s="121">
        <v>-3886.8</v>
      </c>
      <c r="GD170" s="121">
        <v>2043.8</v>
      </c>
      <c r="GE170" s="121">
        <v>17610.5</v>
      </c>
      <c r="GF170" s="89"/>
      <c r="GG170" s="88"/>
      <c r="GH170" s="89"/>
      <c r="GI170" s="89"/>
      <c r="GJ170" s="89"/>
      <c r="GK170" s="89"/>
      <c r="GL170" s="89"/>
      <c r="GM170" s="88">
        <v>23985.251476291269</v>
      </c>
      <c r="GN170" s="89">
        <v>5585.2848357930889</v>
      </c>
      <c r="GO170" s="89">
        <v>5574.52168974916</v>
      </c>
      <c r="GP170" s="89">
        <v>10.763146043929272</v>
      </c>
      <c r="GQ170" s="89">
        <v>10682.75206340391</v>
      </c>
      <c r="GR170" s="89">
        <v>7717.2145770942698</v>
      </c>
      <c r="GS170" s="88"/>
      <c r="GT170" s="87"/>
      <c r="GU170" s="87"/>
      <c r="GV170" s="87"/>
      <c r="GW170" s="87"/>
      <c r="GX170" s="87"/>
      <c r="GY170" s="87"/>
      <c r="GZ170" s="88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8"/>
      <c r="HM170" s="87"/>
      <c r="HN170" s="87"/>
      <c r="HO170" s="87"/>
      <c r="HP170" s="87"/>
      <c r="HQ170" s="87"/>
      <c r="HR170" s="87"/>
      <c r="HS170" s="87"/>
    </row>
    <row r="171" spans="1:227" ht="12" thickBot="1">
      <c r="A171" s="102"/>
      <c r="B171" s="130" t="s">
        <v>500</v>
      </c>
      <c r="C171" s="104">
        <v>1689.8579999999999</v>
      </c>
      <c r="D171" s="105">
        <v>125.529</v>
      </c>
      <c r="E171" s="105">
        <v>292.70400000000001</v>
      </c>
      <c r="F171" s="105">
        <v>-167.17500000000001</v>
      </c>
      <c r="G171" s="105">
        <v>1564.329</v>
      </c>
      <c r="H171" s="105"/>
      <c r="I171" s="104">
        <v>142598.98200000002</v>
      </c>
      <c r="J171" s="105">
        <v>158807.133</v>
      </c>
      <c r="K171" s="105"/>
      <c r="L171" s="105"/>
      <c r="M171" s="105">
        <v>40458.034</v>
      </c>
      <c r="N171" s="105">
        <v>-56666.184999999998</v>
      </c>
      <c r="O171" s="104">
        <v>4974</v>
      </c>
      <c r="P171" s="105">
        <v>879.4</v>
      </c>
      <c r="Q171" s="105">
        <v>506.5</v>
      </c>
      <c r="R171" s="105">
        <v>372.9</v>
      </c>
      <c r="S171" s="105">
        <v>4094.6</v>
      </c>
      <c r="T171" s="105"/>
      <c r="U171" s="104">
        <v>3801.75</v>
      </c>
      <c r="V171" s="105">
        <v>1032.5</v>
      </c>
      <c r="W171" s="105">
        <v>698.8</v>
      </c>
      <c r="X171" s="105">
        <v>333.63299999999998</v>
      </c>
      <c r="Y171" s="105">
        <v>2769.25</v>
      </c>
      <c r="Z171" s="105"/>
      <c r="AA171" s="104">
        <v>1138.4570000000001</v>
      </c>
      <c r="AB171" s="105">
        <v>120.381</v>
      </c>
      <c r="AC171" s="105">
        <v>99.305999999999997</v>
      </c>
      <c r="AD171" s="105">
        <v>21.074999999999999</v>
      </c>
      <c r="AE171" s="105">
        <v>1018.076</v>
      </c>
      <c r="AF171" s="105"/>
      <c r="AG171" s="104">
        <v>39446.958914155999</v>
      </c>
      <c r="AH171" s="105">
        <v>9829.9809141559999</v>
      </c>
      <c r="AI171" s="105">
        <v>9829.9809141559999</v>
      </c>
      <c r="AJ171" s="105"/>
      <c r="AK171" s="105">
        <v>29616.977999999999</v>
      </c>
      <c r="AL171" s="105"/>
      <c r="AM171" s="104"/>
      <c r="AN171" s="105"/>
      <c r="AO171" s="105"/>
      <c r="AP171" s="105"/>
      <c r="AQ171" s="105"/>
      <c r="AR171" s="105"/>
      <c r="AS171" s="104">
        <v>31477000</v>
      </c>
      <c r="AT171" s="105">
        <v>2644000</v>
      </c>
      <c r="AU171" s="105">
        <v>2644000</v>
      </c>
      <c r="AV171" s="105"/>
      <c r="AW171" s="105">
        <v>32060000</v>
      </c>
      <c r="AX171" s="105">
        <v>-3227000</v>
      </c>
      <c r="AY171" s="104">
        <v>80513025.109134004</v>
      </c>
      <c r="AZ171" s="105">
        <f t="shared" si="13"/>
        <v>28226109.822972279</v>
      </c>
      <c r="BA171" s="105">
        <v>21640991.4504137</v>
      </c>
      <c r="BB171" s="105">
        <v>6585118.3725585788</v>
      </c>
      <c r="BC171" s="105">
        <v>52286915.286161721</v>
      </c>
      <c r="BD171" s="105"/>
      <c r="BE171" s="104">
        <v>3116315.34439418</v>
      </c>
      <c r="BF171" s="105">
        <v>483678.40304855001</v>
      </c>
      <c r="BG171" s="105">
        <v>446983.21474894002</v>
      </c>
      <c r="BH171" s="105">
        <v>36695.188299610003</v>
      </c>
      <c r="BI171" s="105">
        <v>2187512.07660972</v>
      </c>
      <c r="BJ171" s="105">
        <v>445124.86473591003</v>
      </c>
      <c r="BK171" s="104">
        <v>450.11399999999998</v>
      </c>
      <c r="BL171" s="105">
        <v>23.103999999999999</v>
      </c>
      <c r="BM171" s="105">
        <v>27.872</v>
      </c>
      <c r="BN171" s="105">
        <v>-4.7679999999999998</v>
      </c>
      <c r="BO171" s="105">
        <v>427.01</v>
      </c>
      <c r="BP171" s="105"/>
      <c r="BQ171" s="104">
        <v>4939.7</v>
      </c>
      <c r="BR171" s="105">
        <v>-727.7</v>
      </c>
      <c r="BS171" s="105">
        <v>-68.7</v>
      </c>
      <c r="BT171" s="105">
        <v>-659</v>
      </c>
      <c r="BU171" s="105">
        <v>5667.4</v>
      </c>
      <c r="BV171" s="105"/>
      <c r="BW171" s="104">
        <v>5698.3766420596567</v>
      </c>
      <c r="BX171" s="105">
        <v>742.31794514537148</v>
      </c>
      <c r="BY171" s="105">
        <v>667.98737372537153</v>
      </c>
      <c r="BZ171" s="105">
        <v>74.330571419999998</v>
      </c>
      <c r="CA171" s="105">
        <v>6281.3995977071427</v>
      </c>
      <c r="CB171" s="105">
        <v>-1325.3409007928576</v>
      </c>
      <c r="CC171" s="104">
        <v>1049.693</v>
      </c>
      <c r="CD171" s="105">
        <v>65.147999999999996</v>
      </c>
      <c r="CE171" s="105">
        <v>126.592</v>
      </c>
      <c r="CF171" s="105">
        <v>-61.444000000000003</v>
      </c>
      <c r="CG171" s="105">
        <v>984.54399999999998</v>
      </c>
      <c r="CH171" s="105"/>
      <c r="CI171" s="104">
        <v>54681.7</v>
      </c>
      <c r="CJ171" s="105">
        <v>9926.7000000000007</v>
      </c>
      <c r="CK171" s="105">
        <v>9496.2000000000007</v>
      </c>
      <c r="CL171" s="105">
        <v>430.5</v>
      </c>
      <c r="CM171" s="105">
        <v>45668.5</v>
      </c>
      <c r="CN171" s="105">
        <v>-913.5</v>
      </c>
      <c r="CO171" s="104">
        <v>25198.9</v>
      </c>
      <c r="CP171" s="105">
        <v>-13316.6</v>
      </c>
      <c r="CQ171" s="105">
        <v>-5926.8</v>
      </c>
      <c r="CR171" s="105">
        <v>-7389.8</v>
      </c>
      <c r="CS171" s="105">
        <v>48593.7</v>
      </c>
      <c r="CT171" s="105">
        <v>-10078.199999999997</v>
      </c>
      <c r="CU171" s="104">
        <v>41277.587685670354</v>
      </c>
      <c r="CV171" s="105">
        <v>20114.949646448964</v>
      </c>
      <c r="CW171" s="105">
        <v>20195.618382860001</v>
      </c>
      <c r="CX171" s="105">
        <v>-80.668736411034132</v>
      </c>
      <c r="CY171" s="105">
        <v>21162.63803922139</v>
      </c>
      <c r="CZ171" s="103"/>
      <c r="DA171" s="104">
        <v>35586.91597437601</v>
      </c>
      <c r="DB171" s="105">
        <v>379.08713255999987</v>
      </c>
      <c r="DC171" s="105">
        <v>-344.83197929000016</v>
      </c>
      <c r="DD171" s="105">
        <v>723.91911185000004</v>
      </c>
      <c r="DE171" s="105">
        <v>53711.412375519241</v>
      </c>
      <c r="DF171" s="105">
        <v>-18503.583533703233</v>
      </c>
      <c r="DG171" s="104">
        <v>219670.2</v>
      </c>
      <c r="DH171" s="105">
        <v>160785.20000000001</v>
      </c>
      <c r="DI171" s="105"/>
      <c r="DJ171" s="105"/>
      <c r="DK171" s="105">
        <v>67961.2</v>
      </c>
      <c r="DL171" s="105">
        <v>-9076.2000000000007</v>
      </c>
      <c r="DM171" s="104">
        <v>2509566.0008867797</v>
      </c>
      <c r="DN171" s="105">
        <v>1300265.0009999999</v>
      </c>
      <c r="DO171" s="105">
        <v>1209423.0009999999</v>
      </c>
      <c r="DP171" s="105">
        <v>90842</v>
      </c>
      <c r="DQ171" s="105">
        <v>1209301</v>
      </c>
      <c r="DR171" s="105"/>
      <c r="DS171" s="104">
        <v>47193.023952155141</v>
      </c>
      <c r="DT171" s="105">
        <v>43379.76530893</v>
      </c>
      <c r="DU171" s="105">
        <v>42832.579132929997</v>
      </c>
      <c r="DV171" s="105">
        <v>547.18617599999993</v>
      </c>
      <c r="DW171" s="105">
        <v>14213.01667146</v>
      </c>
      <c r="DX171" s="105">
        <v>-10399.758028234868</v>
      </c>
      <c r="DY171" s="104">
        <v>5919.0630580000006</v>
      </c>
      <c r="DZ171" s="105">
        <f t="shared" si="8"/>
        <v>-226.31179699999996</v>
      </c>
      <c r="EA171" s="105">
        <v>522.31334800000002</v>
      </c>
      <c r="EB171" s="105">
        <v>-748.62514499999997</v>
      </c>
      <c r="EC171" s="105">
        <v>6145.374855</v>
      </c>
      <c r="ED171" s="105"/>
      <c r="EE171" s="104">
        <v>8181.6547308020299</v>
      </c>
      <c r="EF171" s="105">
        <v>-510.66916599000024</v>
      </c>
      <c r="EG171" s="105">
        <v>-512.21264219000022</v>
      </c>
      <c r="EH171" s="105">
        <v>1.5434762</v>
      </c>
      <c r="EI171" s="105">
        <v>11267.63225993</v>
      </c>
      <c r="EJ171" s="105">
        <v>-2575.3083631379714</v>
      </c>
      <c r="EK171" s="104">
        <v>6644103.9503547996</v>
      </c>
      <c r="EL171" s="105">
        <v>696805.17242479976</v>
      </c>
      <c r="EM171" s="105">
        <v>690733.05748479976</v>
      </c>
      <c r="EN171" s="105">
        <v>6072.1149400000286</v>
      </c>
      <c r="EO171" s="105">
        <v>5883726.0789999999</v>
      </c>
      <c r="EP171" s="105">
        <v>63572.698929999999</v>
      </c>
      <c r="EQ171" s="104">
        <v>29788.849874660009</v>
      </c>
      <c r="ER171" s="105">
        <v>-5688.2371907599991</v>
      </c>
      <c r="ES171" s="105"/>
      <c r="ET171" s="105"/>
      <c r="EU171" s="105">
        <v>58424.635308140001</v>
      </c>
      <c r="EV171" s="105">
        <v>-22947.54824271999</v>
      </c>
      <c r="EW171" s="104">
        <v>324319.32548946951</v>
      </c>
      <c r="EX171" s="105">
        <f t="shared" si="14"/>
        <v>9855.2042089999959</v>
      </c>
      <c r="EY171" s="105">
        <v>2324.9092559999954</v>
      </c>
      <c r="EZ171" s="105">
        <v>7530.2949530000005</v>
      </c>
      <c r="FA171" s="105">
        <v>231823.33497995001</v>
      </c>
      <c r="FB171" s="105">
        <v>82640.78630051951</v>
      </c>
      <c r="FC171" s="104">
        <v>824.08500000000004</v>
      </c>
      <c r="FD171" s="105">
        <v>51.435000000000002</v>
      </c>
      <c r="FE171" s="105">
        <v>176.48400000000001</v>
      </c>
      <c r="FF171" s="105">
        <v>-125.04900000000001</v>
      </c>
      <c r="FG171" s="105">
        <v>772.65</v>
      </c>
      <c r="FH171" s="105"/>
      <c r="FI171" s="104">
        <v>574.03399999999999</v>
      </c>
      <c r="FJ171" s="105">
        <v>-73.716000000000008</v>
      </c>
      <c r="FK171" s="105">
        <v>47.177999999999997</v>
      </c>
      <c r="FL171" s="105">
        <v>-120.89400000000001</v>
      </c>
      <c r="FM171" s="105">
        <v>647.75</v>
      </c>
      <c r="FN171" s="105"/>
      <c r="FO171" s="104">
        <v>1404.4169999999999</v>
      </c>
      <c r="FP171" s="105">
        <v>-290.80700000000002</v>
      </c>
      <c r="FQ171" s="105">
        <v>-104.399</v>
      </c>
      <c r="FR171" s="105">
        <v>-186.40799999999999</v>
      </c>
      <c r="FS171" s="105">
        <v>1695.2239999999999</v>
      </c>
      <c r="FT171" s="105"/>
      <c r="FU171" s="104"/>
      <c r="FV171" s="105"/>
      <c r="FW171" s="105"/>
      <c r="FX171" s="105"/>
      <c r="FY171" s="105"/>
      <c r="FZ171" s="105"/>
      <c r="GA171" s="104">
        <v>15406.3</v>
      </c>
      <c r="GB171" s="105">
        <v>-2999.5</v>
      </c>
      <c r="GC171" s="105">
        <v>-5040.8</v>
      </c>
      <c r="GD171" s="105">
        <v>2041.3</v>
      </c>
      <c r="GE171" s="105">
        <v>18405.8</v>
      </c>
      <c r="GF171" s="108"/>
      <c r="GG171" s="109"/>
      <c r="GH171" s="108"/>
      <c r="GI171" s="108"/>
      <c r="GJ171" s="108"/>
      <c r="GK171" s="108"/>
      <c r="GL171" s="108"/>
      <c r="GM171" s="109">
        <v>25308.360510869392</v>
      </c>
      <c r="GN171" s="108">
        <v>5373.8936679162107</v>
      </c>
      <c r="GO171" s="108">
        <v>5372.9943259002503</v>
      </c>
      <c r="GP171" s="108">
        <v>0.89934201596025376</v>
      </c>
      <c r="GQ171" s="108">
        <v>11494.46792768263</v>
      </c>
      <c r="GR171" s="129">
        <v>8439.9989152735507</v>
      </c>
    </row>
    <row r="172" spans="1:227">
      <c r="A172" s="86">
        <v>2004</v>
      </c>
      <c r="B172" s="87" t="s">
        <v>489</v>
      </c>
      <c r="C172" s="88">
        <v>1706.3831399999999</v>
      </c>
      <c r="D172" s="87">
        <v>109.63214000000002</v>
      </c>
      <c r="E172" s="87">
        <v>273.72853100000003</v>
      </c>
      <c r="F172" s="87">
        <v>-164.09639100000001</v>
      </c>
      <c r="G172" s="87">
        <v>1596.751</v>
      </c>
      <c r="H172" s="87"/>
      <c r="I172" s="88">
        <v>144095.02500000002</v>
      </c>
      <c r="J172" s="89">
        <v>159997.29</v>
      </c>
      <c r="K172" s="89"/>
      <c r="L172" s="89"/>
      <c r="M172" s="89">
        <v>40642.164000000004</v>
      </c>
      <c r="N172" s="89">
        <v>-56544.428999999996</v>
      </c>
      <c r="O172" s="90"/>
      <c r="P172" s="91"/>
      <c r="Q172" s="91"/>
      <c r="R172" s="91"/>
      <c r="S172" s="91"/>
      <c r="T172" s="91"/>
      <c r="U172" s="90">
        <v>3809.1469999999999</v>
      </c>
      <c r="V172" s="91">
        <v>1022.9</v>
      </c>
      <c r="W172" s="91">
        <v>687.2</v>
      </c>
      <c r="X172" s="91">
        <v>335.661</v>
      </c>
      <c r="Y172" s="91">
        <v>2786.2469999999998</v>
      </c>
      <c r="Z172" s="91"/>
      <c r="AA172" s="88">
        <v>1112.893</v>
      </c>
      <c r="AB172" s="89">
        <v>90.415999999999997</v>
      </c>
      <c r="AC172" s="89">
        <v>70.042000000000002</v>
      </c>
      <c r="AD172" s="89">
        <v>20.373999999999999</v>
      </c>
      <c r="AE172" s="89">
        <v>1022.477</v>
      </c>
      <c r="AF172" s="89"/>
      <c r="AG172" s="88">
        <v>39211.063915728155</v>
      </c>
      <c r="AH172" s="89">
        <v>9952.5682287176005</v>
      </c>
      <c r="AI172" s="89">
        <v>9952.5682287176005</v>
      </c>
      <c r="AJ172" s="89"/>
      <c r="AK172" s="89">
        <v>29258.495687010556</v>
      </c>
      <c r="AL172" s="89"/>
      <c r="AM172" s="88"/>
      <c r="AN172" s="89"/>
      <c r="AO172" s="89"/>
      <c r="AP172" s="89"/>
      <c r="AQ172" s="89"/>
      <c r="AR172" s="89"/>
      <c r="AS172" s="88">
        <v>31186000</v>
      </c>
      <c r="AT172" s="89">
        <v>2557000</v>
      </c>
      <c r="AU172" s="89">
        <v>2557000</v>
      </c>
      <c r="AV172" s="89"/>
      <c r="AW172" s="89">
        <v>32188000</v>
      </c>
      <c r="AX172" s="89">
        <v>-3559000</v>
      </c>
      <c r="AY172" s="88">
        <v>80044579.610814333</v>
      </c>
      <c r="AZ172" s="89">
        <f t="shared" si="13"/>
        <v>27315825.31597621</v>
      </c>
      <c r="BA172" s="89">
        <v>21043368.95693294</v>
      </c>
      <c r="BB172" s="89">
        <v>6272456.3590432685</v>
      </c>
      <c r="BC172" s="89">
        <v>52728754.294838123</v>
      </c>
      <c r="BD172" s="89"/>
      <c r="BE172" s="88">
        <v>3024470.0030410602</v>
      </c>
      <c r="BF172" s="89">
        <v>427627.53789329005</v>
      </c>
      <c r="BG172" s="89">
        <v>389909.43824470002</v>
      </c>
      <c r="BH172" s="89">
        <v>37718.099648590003</v>
      </c>
      <c r="BI172" s="89">
        <v>2182298.2912908401</v>
      </c>
      <c r="BJ172" s="89">
        <v>414544.17385692999</v>
      </c>
      <c r="BK172" s="88">
        <v>441.82928600000002</v>
      </c>
      <c r="BL172" s="89">
        <v>18.122586000000002</v>
      </c>
      <c r="BM172" s="89">
        <v>27.127386000000001</v>
      </c>
      <c r="BN172" s="89">
        <v>-9.0047999999999995</v>
      </c>
      <c r="BO172" s="89">
        <v>423.70699999999999</v>
      </c>
      <c r="BP172" s="89"/>
      <c r="BQ172" s="88">
        <v>4889.6000000000004</v>
      </c>
      <c r="BR172" s="89">
        <v>-752.9</v>
      </c>
      <c r="BS172" s="89">
        <v>-45.1</v>
      </c>
      <c r="BT172" s="89">
        <v>-707.8</v>
      </c>
      <c r="BU172" s="89">
        <v>5642.4</v>
      </c>
      <c r="BV172" s="89"/>
      <c r="BW172" s="88">
        <v>5596.2784875863927</v>
      </c>
      <c r="BX172" s="89">
        <v>691.49722164357138</v>
      </c>
      <c r="BY172" s="89">
        <v>617.55765022357139</v>
      </c>
      <c r="BZ172" s="89">
        <v>73.939571419999993</v>
      </c>
      <c r="CA172" s="89">
        <v>6301.3822782271427</v>
      </c>
      <c r="CB172" s="89">
        <v>-1396.6010122843215</v>
      </c>
      <c r="CC172" s="88">
        <v>1044.0227609999999</v>
      </c>
      <c r="CD172" s="89">
        <v>58.103761000000006</v>
      </c>
      <c r="CE172" s="89">
        <v>111.26462100000001</v>
      </c>
      <c r="CF172" s="89">
        <v>-53.16086</v>
      </c>
      <c r="CG172" s="89">
        <v>985.91899999999998</v>
      </c>
      <c r="CH172" s="89"/>
      <c r="CI172" s="88">
        <v>54578.2</v>
      </c>
      <c r="CJ172" s="89">
        <v>10870.6</v>
      </c>
      <c r="CK172" s="89">
        <v>10431</v>
      </c>
      <c r="CL172" s="89">
        <v>439.59999999999997</v>
      </c>
      <c r="CM172" s="89">
        <v>44591.9</v>
      </c>
      <c r="CN172" s="89">
        <v>-884.2</v>
      </c>
      <c r="CO172" s="88"/>
      <c r="CP172" s="89"/>
      <c r="CQ172" s="89"/>
      <c r="CR172" s="89"/>
      <c r="CS172" s="89"/>
      <c r="CT172" s="89"/>
      <c r="CU172" s="88">
        <v>42286.989860204223</v>
      </c>
      <c r="CV172" s="89">
        <v>20476.933569991772</v>
      </c>
      <c r="CW172" s="89">
        <v>20603.806613290002</v>
      </c>
      <c r="CX172" s="89">
        <v>-126.87304329822823</v>
      </c>
      <c r="CY172" s="89">
        <v>21810.056290212451</v>
      </c>
      <c r="CZ172" s="89"/>
      <c r="DA172" s="88">
        <v>35456.444854823443</v>
      </c>
      <c r="DB172" s="89">
        <v>261.89007505626489</v>
      </c>
      <c r="DC172" s="89">
        <v>-464.83920607373511</v>
      </c>
      <c r="DD172" s="89">
        <v>726.72928113</v>
      </c>
      <c r="DE172" s="89">
        <v>54219.738137205284</v>
      </c>
      <c r="DF172" s="89">
        <v>-19025.183357438109</v>
      </c>
      <c r="DG172" s="88">
        <v>218840.2</v>
      </c>
      <c r="DH172" s="89">
        <v>154895.5</v>
      </c>
      <c r="DI172" s="89"/>
      <c r="DJ172" s="89"/>
      <c r="DK172" s="89">
        <v>70692.7</v>
      </c>
      <c r="DL172" s="89">
        <v>-6748</v>
      </c>
      <c r="DM172" s="88">
        <v>2520389.25523854</v>
      </c>
      <c r="DN172" s="89">
        <v>1315829.2549999999</v>
      </c>
      <c r="DO172" s="89">
        <v>1227860.2549999999</v>
      </c>
      <c r="DP172" s="89">
        <v>87969</v>
      </c>
      <c r="DQ172" s="89">
        <v>1204560</v>
      </c>
      <c r="DR172" s="89"/>
      <c r="DS172" s="88">
        <v>46918.707339918023</v>
      </c>
      <c r="DT172" s="89">
        <v>42441.310820596686</v>
      </c>
      <c r="DU172" s="89">
        <v>41880.399034691836</v>
      </c>
      <c r="DV172" s="89">
        <v>560.91178590484878</v>
      </c>
      <c r="DW172" s="89">
        <v>14172.84641818083</v>
      </c>
      <c r="DX172" s="89">
        <v>-9695.4498988594969</v>
      </c>
      <c r="DY172" s="88">
        <v>5959.813572</v>
      </c>
      <c r="DZ172" s="89">
        <f t="shared" si="8"/>
        <v>-245.73819900000001</v>
      </c>
      <c r="EA172" s="89">
        <v>493.23203000000001</v>
      </c>
      <c r="EB172" s="89">
        <v>-738.97022900000002</v>
      </c>
      <c r="EC172" s="89">
        <v>6205.5517709999995</v>
      </c>
      <c r="ED172" s="89"/>
      <c r="EE172" s="88">
        <v>7923.2582810626918</v>
      </c>
      <c r="EF172" s="89">
        <v>-681.40681800000016</v>
      </c>
      <c r="EG172" s="89">
        <v>-681.90681800000016</v>
      </c>
      <c r="EH172" s="89">
        <v>0.5</v>
      </c>
      <c r="EI172" s="89">
        <v>11356.070195319997</v>
      </c>
      <c r="EJ172" s="89">
        <v>-2751.405096257306</v>
      </c>
      <c r="EK172" s="88">
        <v>6790013.5414000014</v>
      </c>
      <c r="EL172" s="89">
        <v>768079.89460000012</v>
      </c>
      <c r="EM172" s="89">
        <v>766978.21020000009</v>
      </c>
      <c r="EN172" s="89">
        <v>1101.6844000000128</v>
      </c>
      <c r="EO172" s="89">
        <v>5961569.9300000016</v>
      </c>
      <c r="EP172" s="89">
        <v>60363.716799999995</v>
      </c>
      <c r="EQ172" s="88">
        <v>29062.039681499999</v>
      </c>
      <c r="ER172" s="89">
        <v>-5901.6177810000008</v>
      </c>
      <c r="ES172" s="89"/>
      <c r="ET172" s="89"/>
      <c r="EU172" s="89">
        <v>58583.892239000001</v>
      </c>
      <c r="EV172" s="89">
        <v>-23620.234776500001</v>
      </c>
      <c r="EW172" s="88">
        <v>351832.20013929671</v>
      </c>
      <c r="EX172" s="89">
        <f t="shared" si="14"/>
        <v>13079.585296999994</v>
      </c>
      <c r="EY172" s="89">
        <v>1877.7724319999943</v>
      </c>
      <c r="EZ172" s="89">
        <v>11201.812865</v>
      </c>
      <c r="FA172" s="89">
        <v>253788.70955841002</v>
      </c>
      <c r="FB172" s="89">
        <v>84963.905283886677</v>
      </c>
      <c r="FC172" s="88">
        <v>847.53999499999998</v>
      </c>
      <c r="FD172" s="89">
        <v>67.943995000000015</v>
      </c>
      <c r="FE172" s="89">
        <v>184.97633500000001</v>
      </c>
      <c r="FF172" s="89">
        <v>-117.03233999999999</v>
      </c>
      <c r="FG172" s="89">
        <v>779.596</v>
      </c>
      <c r="FH172" s="89"/>
      <c r="FI172" s="88">
        <v>588.609196</v>
      </c>
      <c r="FJ172" s="89">
        <v>-64.128804000000002</v>
      </c>
      <c r="FK172" s="89">
        <v>54.252578999999997</v>
      </c>
      <c r="FL172" s="89">
        <v>-118.381383</v>
      </c>
      <c r="FM172" s="89">
        <v>652.73800000000006</v>
      </c>
      <c r="FN172" s="89"/>
      <c r="FO172" s="88">
        <v>1396.7759149999999</v>
      </c>
      <c r="FP172" s="89">
        <v>-304.56208500000002</v>
      </c>
      <c r="FQ172" s="89">
        <v>-110.63320900000001</v>
      </c>
      <c r="FR172" s="89">
        <v>-193.928876</v>
      </c>
      <c r="FS172" s="89">
        <v>1701.338</v>
      </c>
      <c r="FT172" s="89"/>
      <c r="FU172" s="88"/>
      <c r="FV172" s="89"/>
      <c r="FW172" s="89"/>
      <c r="FX172" s="89"/>
      <c r="FY172" s="89"/>
      <c r="FZ172" s="89"/>
      <c r="GA172" s="120">
        <v>14394.6</v>
      </c>
      <c r="GB172" s="121">
        <v>-3621.5000000000005</v>
      </c>
      <c r="GC172" s="121">
        <v>-5516.6</v>
      </c>
      <c r="GD172" s="121">
        <v>1895.1</v>
      </c>
      <c r="GE172" s="121">
        <v>18016</v>
      </c>
      <c r="GF172" s="89"/>
      <c r="GG172" s="88"/>
      <c r="GH172" s="89"/>
      <c r="GI172" s="89"/>
      <c r="GJ172" s="89"/>
      <c r="GK172" s="89"/>
      <c r="GL172" s="89"/>
      <c r="GM172" s="88">
        <v>26275.867264564462</v>
      </c>
      <c r="GN172" s="89">
        <v>6077.6751283671101</v>
      </c>
      <c r="GO172" s="89">
        <v>6076.7758167709599</v>
      </c>
      <c r="GP172" s="89">
        <v>0.89931159615051004</v>
      </c>
      <c r="GQ172" s="89">
        <v>11079.70402420467</v>
      </c>
      <c r="GR172" s="89">
        <v>9118.4881119926995</v>
      </c>
      <c r="GS172" s="88"/>
      <c r="GT172" s="87"/>
      <c r="GU172" s="87"/>
      <c r="GV172" s="87"/>
      <c r="GW172" s="87"/>
      <c r="GX172" s="87"/>
      <c r="GY172" s="87"/>
      <c r="GZ172" s="88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8"/>
      <c r="HM172" s="87"/>
      <c r="HN172" s="87"/>
      <c r="HO172" s="87"/>
      <c r="HP172" s="87"/>
      <c r="HQ172" s="87"/>
      <c r="HR172" s="87"/>
      <c r="HS172" s="87"/>
    </row>
    <row r="173" spans="1:227">
      <c r="A173" s="69"/>
      <c r="B173" s="87" t="s">
        <v>490</v>
      </c>
      <c r="C173" s="88">
        <v>1696.6366070000001</v>
      </c>
      <c r="D173" s="87">
        <v>108.19760700000003</v>
      </c>
      <c r="E173" s="87">
        <v>274.87799800000005</v>
      </c>
      <c r="F173" s="87">
        <v>-166.68039100000001</v>
      </c>
      <c r="G173" s="87">
        <v>1588.4390000000001</v>
      </c>
      <c r="H173" s="87"/>
      <c r="I173" s="88">
        <v>142561.872</v>
      </c>
      <c r="J173" s="89">
        <v>158500.55300000001</v>
      </c>
      <c r="K173" s="89"/>
      <c r="L173" s="89"/>
      <c r="M173" s="89">
        <v>40488.684999999998</v>
      </c>
      <c r="N173" s="91">
        <v>-56427.366000000002</v>
      </c>
      <c r="O173" s="90"/>
      <c r="P173" s="91"/>
      <c r="Q173" s="91"/>
      <c r="R173" s="91"/>
      <c r="S173" s="91"/>
      <c r="T173" s="91"/>
      <c r="U173" s="90">
        <v>3802.1709999999998</v>
      </c>
      <c r="V173" s="91">
        <v>1010</v>
      </c>
      <c r="W173" s="91">
        <v>675.7</v>
      </c>
      <c r="X173" s="91">
        <v>334.24700000000001</v>
      </c>
      <c r="Y173" s="91">
        <v>2792.1709999999998</v>
      </c>
      <c r="Z173" s="91"/>
      <c r="AA173" s="88">
        <v>1161.6030000000001</v>
      </c>
      <c r="AB173" s="89">
        <v>127.67699999999999</v>
      </c>
      <c r="AC173" s="89">
        <v>101.371</v>
      </c>
      <c r="AD173" s="89">
        <v>26.306000000000001</v>
      </c>
      <c r="AE173" s="89">
        <v>1033.9259999999999</v>
      </c>
      <c r="AF173" s="89"/>
      <c r="AG173" s="88">
        <v>39383.780021479513</v>
      </c>
      <c r="AH173" s="89">
        <v>10215.621007110001</v>
      </c>
      <c r="AI173" s="89">
        <v>10215.621007110001</v>
      </c>
      <c r="AJ173" s="89"/>
      <c r="AK173" s="89">
        <v>29168.15901436951</v>
      </c>
      <c r="AL173" s="89"/>
      <c r="AM173" s="88"/>
      <c r="AN173" s="89"/>
      <c r="AO173" s="89"/>
      <c r="AP173" s="89"/>
      <c r="AQ173" s="89"/>
      <c r="AR173" s="89"/>
      <c r="AS173" s="88">
        <v>31341000</v>
      </c>
      <c r="AT173" s="89">
        <v>2621000</v>
      </c>
      <c r="AU173" s="89">
        <v>2621000</v>
      </c>
      <c r="AV173" s="89"/>
      <c r="AW173" s="89">
        <v>32159000</v>
      </c>
      <c r="AX173" s="89">
        <v>-3439000</v>
      </c>
      <c r="AY173" s="88">
        <v>80509679.270139605</v>
      </c>
      <c r="AZ173" s="89">
        <f t="shared" si="13"/>
        <v>26957906.490046263</v>
      </c>
      <c r="BA173" s="89">
        <v>20640443.168266363</v>
      </c>
      <c r="BB173" s="89">
        <v>6317463.3217798974</v>
      </c>
      <c r="BC173" s="89">
        <v>53551772.780093335</v>
      </c>
      <c r="BD173" s="89"/>
      <c r="BE173" s="88">
        <v>3028796.42744595</v>
      </c>
      <c r="BF173" s="89">
        <v>442963.41844929999</v>
      </c>
      <c r="BG173" s="89">
        <v>407962.88071601</v>
      </c>
      <c r="BH173" s="89">
        <v>35000.537733290003</v>
      </c>
      <c r="BI173" s="89">
        <v>2189333.67024448</v>
      </c>
      <c r="BJ173" s="89">
        <v>396499.33875216998</v>
      </c>
      <c r="BK173" s="88">
        <v>435.39868700000005</v>
      </c>
      <c r="BL173" s="89">
        <v>11.290687000000005</v>
      </c>
      <c r="BM173" s="89">
        <v>20.797911000000006</v>
      </c>
      <c r="BN173" s="89">
        <v>-9.5072240000000008</v>
      </c>
      <c r="BO173" s="89">
        <v>424.108</v>
      </c>
      <c r="BP173" s="89"/>
      <c r="BQ173" s="88">
        <v>4872.8999999999996</v>
      </c>
      <c r="BR173" s="89">
        <v>-770.9</v>
      </c>
      <c r="BS173" s="89">
        <v>-57.9</v>
      </c>
      <c r="BT173" s="89">
        <v>-713</v>
      </c>
      <c r="BU173" s="89">
        <v>5643.9</v>
      </c>
      <c r="BV173" s="89"/>
      <c r="BW173" s="88">
        <v>5683.8876177077427</v>
      </c>
      <c r="BX173" s="89">
        <v>621.96477224917146</v>
      </c>
      <c r="BY173" s="89">
        <v>543.42020082917145</v>
      </c>
      <c r="BZ173" s="89">
        <v>78.544571419999997</v>
      </c>
      <c r="CA173" s="89">
        <v>6356.675571517143</v>
      </c>
      <c r="CB173" s="89">
        <v>-1294.7527260585714</v>
      </c>
      <c r="CC173" s="88">
        <v>1028.6841320000001</v>
      </c>
      <c r="CD173" s="89">
        <v>33.850132000000009</v>
      </c>
      <c r="CE173" s="89">
        <v>91.222698000000008</v>
      </c>
      <c r="CF173" s="89">
        <v>-57.372565999999999</v>
      </c>
      <c r="CG173" s="89">
        <v>994.83399999999995</v>
      </c>
      <c r="CH173" s="89"/>
      <c r="CI173" s="88">
        <v>54766.6</v>
      </c>
      <c r="CJ173" s="89">
        <v>10663.5</v>
      </c>
      <c r="CK173" s="89">
        <v>10301.4</v>
      </c>
      <c r="CL173" s="89">
        <v>362.09999999999997</v>
      </c>
      <c r="CM173" s="89">
        <v>44542.9</v>
      </c>
      <c r="CN173" s="89">
        <v>-439.9</v>
      </c>
      <c r="CO173" s="88"/>
      <c r="CP173" s="89"/>
      <c r="CQ173" s="89"/>
      <c r="CR173" s="89"/>
      <c r="CS173" s="89"/>
      <c r="CT173" s="89"/>
      <c r="CU173" s="88">
        <v>43127.451891314086</v>
      </c>
      <c r="CV173" s="89">
        <v>20918.075851463629</v>
      </c>
      <c r="CW173" s="89">
        <v>20992.672340719997</v>
      </c>
      <c r="CX173" s="89">
        <v>-74.596489256368159</v>
      </c>
      <c r="CY173" s="89">
        <v>22209.376039850456</v>
      </c>
      <c r="CZ173" s="89"/>
      <c r="DA173" s="88">
        <v>35531.331703460535</v>
      </c>
      <c r="DB173" s="89">
        <v>16.154304877448283</v>
      </c>
      <c r="DC173" s="89">
        <v>-688.64531346255171</v>
      </c>
      <c r="DD173" s="89">
        <v>704.79961834000005</v>
      </c>
      <c r="DE173" s="89">
        <v>54941.348169088815</v>
      </c>
      <c r="DF173" s="89">
        <v>-19426.170770505727</v>
      </c>
      <c r="DG173" s="88">
        <v>211997.01300000001</v>
      </c>
      <c r="DH173" s="89">
        <v>147394.4</v>
      </c>
      <c r="DI173" s="89"/>
      <c r="DJ173" s="89"/>
      <c r="DK173" s="89">
        <v>72172.013000000006</v>
      </c>
      <c r="DL173" s="89">
        <v>-7569.4</v>
      </c>
      <c r="DM173" s="88">
        <v>2507230.5771887996</v>
      </c>
      <c r="DN173" s="89">
        <v>1294561.577</v>
      </c>
      <c r="DO173" s="89">
        <v>1204608.577</v>
      </c>
      <c r="DP173" s="89">
        <v>89953</v>
      </c>
      <c r="DQ173" s="89">
        <v>1212669</v>
      </c>
      <c r="DR173" s="89"/>
      <c r="DS173" s="88">
        <v>47088.377937849807</v>
      </c>
      <c r="DT173" s="89">
        <v>42121.509528144277</v>
      </c>
      <c r="DU173" s="89">
        <v>41615.714856837782</v>
      </c>
      <c r="DV173" s="89">
        <v>505.79467130649368</v>
      </c>
      <c r="DW173" s="89">
        <v>14418.415355201207</v>
      </c>
      <c r="DX173" s="89">
        <v>-9451.5469454956838</v>
      </c>
      <c r="DY173" s="88">
        <v>5947.9774939999998</v>
      </c>
      <c r="DZ173" s="89">
        <f t="shared" si="8"/>
        <v>-303.93665499999997</v>
      </c>
      <c r="EA173" s="89">
        <v>471.306196</v>
      </c>
      <c r="EB173" s="89">
        <v>-775.24285099999997</v>
      </c>
      <c r="EC173" s="89">
        <v>6251.9141490000002</v>
      </c>
      <c r="ED173" s="89"/>
      <c r="EE173" s="88">
        <v>8139.0292870817184</v>
      </c>
      <c r="EF173" s="89">
        <v>-493.35149261999982</v>
      </c>
      <c r="EG173" s="89">
        <v>-493.85149261999982</v>
      </c>
      <c r="EH173" s="89">
        <v>0.5</v>
      </c>
      <c r="EI173" s="89">
        <v>11412.54457917</v>
      </c>
      <c r="EJ173" s="89">
        <v>-2780.1637994682815</v>
      </c>
      <c r="EK173" s="88">
        <v>6860281.3139500013</v>
      </c>
      <c r="EL173" s="89">
        <v>775144.1183800007</v>
      </c>
      <c r="EM173" s="89">
        <v>894453.46474000067</v>
      </c>
      <c r="EN173" s="89">
        <v>-119309.34635999992</v>
      </c>
      <c r="EO173" s="89">
        <v>6027000.3670000006</v>
      </c>
      <c r="EP173" s="89">
        <v>58136.828569999998</v>
      </c>
      <c r="EQ173" s="88">
        <v>29722.408667049989</v>
      </c>
      <c r="ER173" s="89">
        <v>-5569.3302118499987</v>
      </c>
      <c r="ES173" s="89"/>
      <c r="ET173" s="89"/>
      <c r="EU173" s="89">
        <v>58216.279475169998</v>
      </c>
      <c r="EV173" s="89">
        <v>-22924.54059627001</v>
      </c>
      <c r="EW173" s="88">
        <v>335845.94086214376</v>
      </c>
      <c r="EX173" s="89">
        <f t="shared" si="14"/>
        <v>7617.6942959999997</v>
      </c>
      <c r="EY173" s="89">
        <v>-3111.5932529999991</v>
      </c>
      <c r="EZ173" s="89">
        <v>10729.287548999999</v>
      </c>
      <c r="FA173" s="89">
        <v>252143.03856740001</v>
      </c>
      <c r="FB173" s="89">
        <v>76085.207998743717</v>
      </c>
      <c r="FC173" s="88">
        <v>870.84268200000008</v>
      </c>
      <c r="FD173" s="89">
        <v>49.928682000000009</v>
      </c>
      <c r="FE173" s="89">
        <v>186.833022</v>
      </c>
      <c r="FF173" s="89">
        <v>-136.90433999999999</v>
      </c>
      <c r="FG173" s="89">
        <v>820.91399999999999</v>
      </c>
      <c r="FH173" s="89"/>
      <c r="FI173" s="88">
        <v>605.58367299999998</v>
      </c>
      <c r="FJ173" s="89">
        <v>-57.811326999999999</v>
      </c>
      <c r="FK173" s="89">
        <v>57.216788000000001</v>
      </c>
      <c r="FL173" s="89">
        <v>-115.028115</v>
      </c>
      <c r="FM173" s="89">
        <v>663.39499999999998</v>
      </c>
      <c r="FN173" s="89"/>
      <c r="FO173" s="88">
        <v>1396.3285650000003</v>
      </c>
      <c r="FP173" s="89">
        <v>-310.18143499999996</v>
      </c>
      <c r="FQ173" s="89">
        <v>-107.186559</v>
      </c>
      <c r="FR173" s="89">
        <v>-202.99487599999998</v>
      </c>
      <c r="FS173" s="89">
        <v>1706.51</v>
      </c>
      <c r="FT173" s="89"/>
      <c r="FU173" s="88"/>
      <c r="FV173" s="89"/>
      <c r="FW173" s="89"/>
      <c r="FX173" s="89"/>
      <c r="FY173" s="89"/>
      <c r="FZ173" s="89"/>
      <c r="GA173" s="120">
        <v>15580.8</v>
      </c>
      <c r="GB173" s="121">
        <v>-3690.2999999999997</v>
      </c>
      <c r="GC173" s="121">
        <v>-5535.9</v>
      </c>
      <c r="GD173" s="121">
        <v>1845.6</v>
      </c>
      <c r="GE173" s="121">
        <v>19273.2</v>
      </c>
      <c r="GF173" s="89"/>
      <c r="GG173" s="88"/>
      <c r="GH173" s="89"/>
      <c r="GI173" s="89"/>
      <c r="GJ173" s="89"/>
      <c r="GK173" s="89"/>
      <c r="GL173" s="89"/>
      <c r="GM173" s="96">
        <v>27927.249990838209</v>
      </c>
      <c r="GN173" s="89">
        <v>7398.9046521991786</v>
      </c>
      <c r="GO173" s="89">
        <v>7397.8547219963684</v>
      </c>
      <c r="GP173" s="94">
        <v>1.0499302028100939</v>
      </c>
      <c r="GQ173" s="89">
        <v>11211.037859385531</v>
      </c>
      <c r="GR173" s="89">
        <v>9317.307479253499</v>
      </c>
      <c r="GS173" s="96"/>
      <c r="GT173" s="87"/>
      <c r="GU173" s="87"/>
      <c r="GV173" s="87"/>
      <c r="GW173" s="87"/>
      <c r="GX173" s="87"/>
      <c r="GY173" s="87"/>
      <c r="GZ173" s="88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8"/>
      <c r="HM173" s="87"/>
      <c r="HN173" s="87"/>
      <c r="HO173" s="87"/>
      <c r="HP173" s="87"/>
      <c r="HQ173" s="87"/>
      <c r="HR173" s="87"/>
      <c r="HS173" s="87"/>
    </row>
    <row r="174" spans="1:227">
      <c r="A174" s="69"/>
      <c r="B174" s="87" t="s">
        <v>491</v>
      </c>
      <c r="C174" s="88">
        <v>1674.97622</v>
      </c>
      <c r="D174" s="87">
        <v>100.95922000000004</v>
      </c>
      <c r="E174" s="87">
        <v>274.08812200000006</v>
      </c>
      <c r="F174" s="87">
        <v>-173.12890200000001</v>
      </c>
      <c r="G174" s="87">
        <v>1574.0170000000001</v>
      </c>
      <c r="H174" s="87"/>
      <c r="I174" s="88">
        <v>143084.163</v>
      </c>
      <c r="J174" s="89">
        <v>156733.655</v>
      </c>
      <c r="K174" s="89"/>
      <c r="L174" s="89"/>
      <c r="M174" s="89">
        <v>40688.882000000005</v>
      </c>
      <c r="N174" s="89">
        <v>-54338.374000000003</v>
      </c>
      <c r="O174" s="90"/>
      <c r="P174" s="91"/>
      <c r="Q174" s="91"/>
      <c r="R174" s="91"/>
      <c r="S174" s="91"/>
      <c r="T174" s="91"/>
      <c r="U174" s="90">
        <v>3922.2739999999999</v>
      </c>
      <c r="V174" s="91">
        <v>1068.0999999999999</v>
      </c>
      <c r="W174" s="91">
        <v>659.3</v>
      </c>
      <c r="X174" s="91">
        <v>408.86900000000003</v>
      </c>
      <c r="Y174" s="91">
        <v>2854.174</v>
      </c>
      <c r="Z174" s="91"/>
      <c r="AA174" s="88">
        <v>1135.1780000000001</v>
      </c>
      <c r="AB174" s="89">
        <v>105.736</v>
      </c>
      <c r="AC174" s="89">
        <v>76.171000000000006</v>
      </c>
      <c r="AD174" s="89">
        <v>29.565000000000001</v>
      </c>
      <c r="AE174" s="89">
        <v>1029.442</v>
      </c>
      <c r="AF174" s="89"/>
      <c r="AG174" s="88">
        <v>39441.872883903998</v>
      </c>
      <c r="AH174" s="89">
        <v>10218.492883903999</v>
      </c>
      <c r="AI174" s="89">
        <v>10218.492883903999</v>
      </c>
      <c r="AJ174" s="89"/>
      <c r="AK174" s="89">
        <v>29223.38</v>
      </c>
      <c r="AL174" s="89"/>
      <c r="AM174" s="88"/>
      <c r="AN174" s="89"/>
      <c r="AO174" s="89"/>
      <c r="AP174" s="89"/>
      <c r="AQ174" s="89"/>
      <c r="AR174" s="89"/>
      <c r="AS174" s="88">
        <v>31625000</v>
      </c>
      <c r="AT174" s="89">
        <v>2816000</v>
      </c>
      <c r="AU174" s="89">
        <v>2816000</v>
      </c>
      <c r="AV174" s="89"/>
      <c r="AW174" s="89">
        <v>32789000</v>
      </c>
      <c r="AX174" s="89">
        <v>-3980000</v>
      </c>
      <c r="AY174" s="88">
        <v>80857537.028606266</v>
      </c>
      <c r="AZ174" s="89">
        <f t="shared" si="13"/>
        <v>27608133.623048775</v>
      </c>
      <c r="BA174" s="89">
        <v>21219929.615253195</v>
      </c>
      <c r="BB174" s="89">
        <v>6388204.0077955788</v>
      </c>
      <c r="BC174" s="89">
        <v>53249403.405557498</v>
      </c>
      <c r="BD174" s="89"/>
      <c r="BE174" s="88">
        <v>3052023.2948479299</v>
      </c>
      <c r="BF174" s="89">
        <v>431444.51426266</v>
      </c>
      <c r="BG174" s="89">
        <v>399715.42243022</v>
      </c>
      <c r="BH174" s="89">
        <v>31729.091832440001</v>
      </c>
      <c r="BI174" s="89">
        <v>2219341.92636362</v>
      </c>
      <c r="BJ174" s="89">
        <v>401236.85422164999</v>
      </c>
      <c r="BK174" s="88">
        <v>440.15501599999999</v>
      </c>
      <c r="BL174" s="89">
        <v>15.998016000000003</v>
      </c>
      <c r="BM174" s="89">
        <v>26.439950000000003</v>
      </c>
      <c r="BN174" s="89">
        <v>-10.441934</v>
      </c>
      <c r="BO174" s="89">
        <v>424.15699999999998</v>
      </c>
      <c r="BP174" s="89"/>
      <c r="BQ174" s="88">
        <v>4927.8999999999996</v>
      </c>
      <c r="BR174" s="89">
        <v>-799.4</v>
      </c>
      <c r="BS174" s="89">
        <v>-45.6</v>
      </c>
      <c r="BT174" s="89">
        <v>-753.8</v>
      </c>
      <c r="BU174" s="89">
        <v>5727.2</v>
      </c>
      <c r="BV174" s="89"/>
      <c r="BW174" s="88">
        <v>5820.3767685997445</v>
      </c>
      <c r="BX174" s="89">
        <v>713.82971366117147</v>
      </c>
      <c r="BY174" s="89">
        <v>633.97314224117144</v>
      </c>
      <c r="BZ174" s="89">
        <v>79.856571419999995</v>
      </c>
      <c r="CA174" s="89">
        <v>6375.6479323871436</v>
      </c>
      <c r="CB174" s="89">
        <v>-1269.1008774485713</v>
      </c>
      <c r="CC174" s="88">
        <v>1026.2080110000002</v>
      </c>
      <c r="CD174" s="89">
        <v>32.452011000000013</v>
      </c>
      <c r="CE174" s="89">
        <v>99.247790000000009</v>
      </c>
      <c r="CF174" s="89">
        <v>-66.795778999999996</v>
      </c>
      <c r="CG174" s="89">
        <v>993.75599999999997</v>
      </c>
      <c r="CH174" s="89"/>
      <c r="CI174" s="88">
        <v>54440.6</v>
      </c>
      <c r="CJ174" s="89">
        <v>10370.5</v>
      </c>
      <c r="CK174" s="89">
        <v>10001.6</v>
      </c>
      <c r="CL174" s="89">
        <v>368.9</v>
      </c>
      <c r="CM174" s="89">
        <v>44764.5</v>
      </c>
      <c r="CN174" s="89">
        <v>-694.4</v>
      </c>
      <c r="CO174" s="88">
        <v>27751.9</v>
      </c>
      <c r="CP174" s="89">
        <v>-8206.2000000000007</v>
      </c>
      <c r="CQ174" s="89">
        <v>-1293.4000000000001</v>
      </c>
      <c r="CR174" s="89">
        <v>-6912.8000000000011</v>
      </c>
      <c r="CS174" s="89">
        <v>47081.5</v>
      </c>
      <c r="CT174" s="89">
        <v>-11123.4</v>
      </c>
      <c r="CU174" s="88">
        <v>41892.977484250921</v>
      </c>
      <c r="CV174" s="89">
        <v>21128.874801457994</v>
      </c>
      <c r="CW174" s="89">
        <v>21370.341478961655</v>
      </c>
      <c r="CX174" s="89">
        <v>-241.46667750366026</v>
      </c>
      <c r="CY174" s="89">
        <v>20764.102682792924</v>
      </c>
      <c r="CZ174" s="89"/>
      <c r="DA174" s="88">
        <v>35199.950409218771</v>
      </c>
      <c r="DB174" s="89">
        <v>-189.0903204607842</v>
      </c>
      <c r="DC174" s="89">
        <v>-900.43843980078418</v>
      </c>
      <c r="DD174" s="89">
        <v>711.34811934000004</v>
      </c>
      <c r="DE174" s="89">
        <v>55748.004794320252</v>
      </c>
      <c r="DF174" s="89">
        <v>-20358.964064640699</v>
      </c>
      <c r="DG174" s="88">
        <v>206946.50000000003</v>
      </c>
      <c r="DH174" s="89">
        <v>140261.20000000001</v>
      </c>
      <c r="DI174" s="89"/>
      <c r="DJ174" s="89"/>
      <c r="DK174" s="89">
        <v>74169.7</v>
      </c>
      <c r="DL174" s="89">
        <v>-7484.4</v>
      </c>
      <c r="DM174" s="88">
        <v>2551305.3391372403</v>
      </c>
      <c r="DN174" s="89">
        <v>1314946.3389999999</v>
      </c>
      <c r="DO174" s="89">
        <v>1221230.3389999999</v>
      </c>
      <c r="DP174" s="89">
        <v>93716</v>
      </c>
      <c r="DQ174" s="89">
        <v>1236359</v>
      </c>
      <c r="DR174" s="89"/>
      <c r="DS174" s="88">
        <v>46635.625954838877</v>
      </c>
      <c r="DT174" s="89">
        <v>41412.032535048842</v>
      </c>
      <c r="DU174" s="89">
        <v>40910.575387205026</v>
      </c>
      <c r="DV174" s="89">
        <v>501.45714784381676</v>
      </c>
      <c r="DW174" s="89">
        <v>14941.502141313562</v>
      </c>
      <c r="DX174" s="89">
        <v>-9717.9087215235249</v>
      </c>
      <c r="DY174" s="88">
        <v>5988.6480179999999</v>
      </c>
      <c r="DZ174" s="89">
        <f t="shared" si="8"/>
        <v>-268.07911899999999</v>
      </c>
      <c r="EA174" s="89">
        <v>500.60274400000003</v>
      </c>
      <c r="EB174" s="89">
        <v>-768.68186300000002</v>
      </c>
      <c r="EC174" s="89">
        <v>6256.7271369999999</v>
      </c>
      <c r="ED174" s="89"/>
      <c r="EE174" s="88">
        <v>8316.4254701709615</v>
      </c>
      <c r="EF174" s="89">
        <v>-424.45396234999976</v>
      </c>
      <c r="EG174" s="89">
        <v>-424.95396234999976</v>
      </c>
      <c r="EH174" s="89">
        <v>0.5</v>
      </c>
      <c r="EI174" s="89">
        <v>11517.224906799998</v>
      </c>
      <c r="EJ174" s="89">
        <v>-2776.3454742790391</v>
      </c>
      <c r="EK174" s="88">
        <v>6542350.5583859999</v>
      </c>
      <c r="EL174" s="89">
        <v>579125.20614000049</v>
      </c>
      <c r="EM174" s="89">
        <v>817381.68780000042</v>
      </c>
      <c r="EN174" s="89">
        <v>-238256.48165999996</v>
      </c>
      <c r="EO174" s="89">
        <v>5906738.1259059999</v>
      </c>
      <c r="EP174" s="89">
        <v>56487.226339999994</v>
      </c>
      <c r="EQ174" s="88">
        <v>30989.862192200009</v>
      </c>
      <c r="ER174" s="89">
        <v>-5364.7048428399985</v>
      </c>
      <c r="ES174" s="89"/>
      <c r="ET174" s="89"/>
      <c r="EU174" s="89">
        <v>59390.478786239997</v>
      </c>
      <c r="EV174" s="89">
        <v>-23035.911751199987</v>
      </c>
      <c r="EW174" s="88">
        <v>329686.48476823099</v>
      </c>
      <c r="EX174" s="89">
        <f t="shared" si="14"/>
        <v>7380.2675659999932</v>
      </c>
      <c r="EY174" s="89">
        <v>-2690.004663000007</v>
      </c>
      <c r="EZ174" s="89">
        <v>10070.272229</v>
      </c>
      <c r="FA174" s="89">
        <v>244503.84795258002</v>
      </c>
      <c r="FB174" s="89">
        <v>77802.369249650976</v>
      </c>
      <c r="FC174" s="88">
        <v>886.48444500000005</v>
      </c>
      <c r="FD174" s="89">
        <v>80.123445000000018</v>
      </c>
      <c r="FE174" s="89">
        <v>208.06829300000001</v>
      </c>
      <c r="FF174" s="89">
        <v>-127.94484799999999</v>
      </c>
      <c r="FG174" s="89">
        <v>806.36099999999999</v>
      </c>
      <c r="FH174" s="89"/>
      <c r="FI174" s="88">
        <v>611.76882000000012</v>
      </c>
      <c r="FJ174" s="89">
        <v>-48.38918000000001</v>
      </c>
      <c r="FK174" s="89">
        <v>53.996693999999991</v>
      </c>
      <c r="FL174" s="89">
        <v>-102.385874</v>
      </c>
      <c r="FM174" s="89">
        <v>660.15800000000002</v>
      </c>
      <c r="FN174" s="89"/>
      <c r="FO174" s="88">
        <v>1429.7326419999999</v>
      </c>
      <c r="FP174" s="89">
        <v>-299.39135800000003</v>
      </c>
      <c r="FQ174" s="89">
        <v>-98.500480999999994</v>
      </c>
      <c r="FR174" s="89">
        <v>-200.89087700000002</v>
      </c>
      <c r="FS174" s="89">
        <v>1729.124</v>
      </c>
      <c r="FT174" s="89"/>
      <c r="FU174" s="88"/>
      <c r="FV174" s="89"/>
      <c r="FW174" s="89"/>
      <c r="FX174" s="89"/>
      <c r="FY174" s="89"/>
      <c r="FZ174" s="89"/>
      <c r="GA174" s="88">
        <v>15465.4</v>
      </c>
      <c r="GB174" s="89">
        <v>-4522.6000000000004</v>
      </c>
      <c r="GC174" s="89">
        <v>-6376.7</v>
      </c>
      <c r="GD174" s="89">
        <v>1854.1</v>
      </c>
      <c r="GE174" s="89">
        <v>19988</v>
      </c>
      <c r="GF174" s="89"/>
      <c r="GG174" s="88"/>
      <c r="GH174" s="89"/>
      <c r="GI174" s="89"/>
      <c r="GJ174" s="89"/>
      <c r="GK174" s="89"/>
      <c r="GL174" s="89"/>
      <c r="GM174" s="88">
        <v>27970.031316649322</v>
      </c>
      <c r="GN174" s="89">
        <v>7751.7339871338208</v>
      </c>
      <c r="GO174" s="89">
        <v>7750.8328189947397</v>
      </c>
      <c r="GP174" s="89">
        <v>0.90116813908051696</v>
      </c>
      <c r="GQ174" s="89">
        <v>12744.756670281011</v>
      </c>
      <c r="GR174" s="89">
        <v>7473.5406592344889</v>
      </c>
      <c r="GS174" s="88"/>
      <c r="GT174" s="87"/>
      <c r="GU174" s="87"/>
      <c r="GV174" s="87"/>
      <c r="GW174" s="87"/>
      <c r="GX174" s="87"/>
      <c r="GY174" s="87"/>
      <c r="GZ174" s="88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8"/>
      <c r="HM174" s="87"/>
      <c r="HN174" s="87"/>
      <c r="HO174" s="87"/>
      <c r="HP174" s="87"/>
      <c r="HQ174" s="87"/>
      <c r="HR174" s="87"/>
      <c r="HS174" s="87"/>
    </row>
    <row r="175" spans="1:227">
      <c r="A175" s="69"/>
      <c r="B175" s="87" t="s">
        <v>492</v>
      </c>
      <c r="C175" s="88">
        <v>1670.1372900000001</v>
      </c>
      <c r="D175" s="87">
        <v>93.210289999999986</v>
      </c>
      <c r="E175" s="87">
        <v>265.44171399999999</v>
      </c>
      <c r="F175" s="87">
        <v>-172.231424</v>
      </c>
      <c r="G175" s="87">
        <v>1576.9269999999999</v>
      </c>
      <c r="H175" s="87"/>
      <c r="I175" s="88">
        <v>141161.08199999999</v>
      </c>
      <c r="J175" s="89">
        <v>154922.06700000001</v>
      </c>
      <c r="K175" s="89"/>
      <c r="L175" s="89"/>
      <c r="M175" s="89">
        <v>41093.375</v>
      </c>
      <c r="N175" s="91">
        <v>-54854.36</v>
      </c>
      <c r="O175" s="90"/>
      <c r="P175" s="91"/>
      <c r="Q175" s="91"/>
      <c r="R175" s="91"/>
      <c r="S175" s="91"/>
      <c r="T175" s="91"/>
      <c r="U175" s="90">
        <v>4026.248</v>
      </c>
      <c r="V175" s="91">
        <v>1193.4000000000001</v>
      </c>
      <c r="W175" s="91">
        <v>751.7</v>
      </c>
      <c r="X175" s="91">
        <v>441.70100000000002</v>
      </c>
      <c r="Y175" s="91">
        <v>2832.848</v>
      </c>
      <c r="Z175" s="91"/>
      <c r="AA175" s="88">
        <v>1085.8579999999999</v>
      </c>
      <c r="AB175" s="89">
        <v>44.467999999999996</v>
      </c>
      <c r="AC175" s="89">
        <v>-35.006999999999998</v>
      </c>
      <c r="AD175" s="89">
        <v>79.474999999999994</v>
      </c>
      <c r="AE175" s="89">
        <v>1041.3900000000001</v>
      </c>
      <c r="AF175" s="89"/>
      <c r="AG175" s="88">
        <v>39719.358807862001</v>
      </c>
      <c r="AH175" s="89">
        <v>10339.009807862001</v>
      </c>
      <c r="AI175" s="89">
        <v>10339.009807862001</v>
      </c>
      <c r="AJ175" s="89"/>
      <c r="AK175" s="89">
        <v>29380.348999999998</v>
      </c>
      <c r="AL175" s="89"/>
      <c r="AM175" s="88"/>
      <c r="AN175" s="89"/>
      <c r="AO175" s="89"/>
      <c r="AP175" s="89"/>
      <c r="AQ175" s="89"/>
      <c r="AR175" s="89"/>
      <c r="AS175" s="88">
        <v>32288000</v>
      </c>
      <c r="AT175" s="89">
        <v>2654000</v>
      </c>
      <c r="AU175" s="89">
        <v>2654000</v>
      </c>
      <c r="AV175" s="89"/>
      <c r="AW175" s="89">
        <v>33275000</v>
      </c>
      <c r="AX175" s="89">
        <v>-3641000</v>
      </c>
      <c r="AY175" s="88">
        <v>80674221.903102934</v>
      </c>
      <c r="AZ175" s="89">
        <f t="shared" si="13"/>
        <v>26703415.652632158</v>
      </c>
      <c r="BA175" s="89">
        <v>20389669.317654133</v>
      </c>
      <c r="BB175" s="89">
        <v>6313746.3349780263</v>
      </c>
      <c r="BC175" s="89">
        <v>53970806.25047078</v>
      </c>
      <c r="BD175" s="89"/>
      <c r="BE175" s="88">
        <v>3207122.3322141902</v>
      </c>
      <c r="BF175" s="89">
        <v>519390.72869228001</v>
      </c>
      <c r="BG175" s="89">
        <v>489153.19618520001</v>
      </c>
      <c r="BH175" s="89">
        <v>30237.532507079999</v>
      </c>
      <c r="BI175" s="89">
        <v>2276873.4049714804</v>
      </c>
      <c r="BJ175" s="89">
        <v>410858.19855043001</v>
      </c>
      <c r="BK175" s="88">
        <v>431.51240100000001</v>
      </c>
      <c r="BL175" s="89">
        <v>4.0684010000000015</v>
      </c>
      <c r="BM175" s="89">
        <v>15.551902000000002</v>
      </c>
      <c r="BN175" s="89">
        <v>-11.483501</v>
      </c>
      <c r="BO175" s="89">
        <v>427.44400000000002</v>
      </c>
      <c r="BP175" s="89"/>
      <c r="BQ175" s="88">
        <v>4951.5</v>
      </c>
      <c r="BR175" s="89">
        <v>-873.3</v>
      </c>
      <c r="BS175" s="89">
        <v>-134.4</v>
      </c>
      <c r="BT175" s="89">
        <v>-738.9</v>
      </c>
      <c r="BU175" s="89">
        <v>5824.9</v>
      </c>
      <c r="BV175" s="89"/>
      <c r="BW175" s="88">
        <v>5785.5306533428566</v>
      </c>
      <c r="BX175" s="89">
        <v>648.02696847857146</v>
      </c>
      <c r="BY175" s="89">
        <v>569.44839705857146</v>
      </c>
      <c r="BZ175" s="89">
        <v>78.578571420000003</v>
      </c>
      <c r="CA175" s="89">
        <v>6418.2449760371428</v>
      </c>
      <c r="CB175" s="89">
        <v>-1280.7412911728577</v>
      </c>
      <c r="CC175" s="88">
        <v>1025.915428</v>
      </c>
      <c r="CD175" s="89">
        <v>24.563427999999988</v>
      </c>
      <c r="CE175" s="89">
        <v>98.201697999999993</v>
      </c>
      <c r="CF175" s="89">
        <v>-73.638270000000006</v>
      </c>
      <c r="CG175" s="89">
        <v>1001.352</v>
      </c>
      <c r="CH175" s="89"/>
      <c r="CI175" s="88">
        <v>55137.4</v>
      </c>
      <c r="CJ175" s="89">
        <v>9790.5</v>
      </c>
      <c r="CK175" s="89">
        <v>9494.9</v>
      </c>
      <c r="CL175" s="89">
        <v>295.60000000000002</v>
      </c>
      <c r="CM175" s="89">
        <v>44928.2</v>
      </c>
      <c r="CN175" s="89">
        <v>418.7</v>
      </c>
      <c r="CO175" s="88"/>
      <c r="CP175" s="89"/>
      <c r="CQ175" s="89"/>
      <c r="CR175" s="89"/>
      <c r="CS175" s="89"/>
      <c r="CT175" s="89"/>
      <c r="CU175" s="88">
        <v>41067.490074306465</v>
      </c>
      <c r="CV175" s="89">
        <v>20501.651816269412</v>
      </c>
      <c r="CW175" s="89">
        <v>20823.862828534981</v>
      </c>
      <c r="CX175" s="89">
        <v>-322.21101226556812</v>
      </c>
      <c r="CY175" s="89">
        <v>20565.838258037056</v>
      </c>
      <c r="CZ175" s="89"/>
      <c r="DA175" s="88">
        <v>33822.806873062393</v>
      </c>
      <c r="DB175" s="89">
        <v>-1744.6292187055301</v>
      </c>
      <c r="DC175" s="89">
        <v>-2469.3279986355301</v>
      </c>
      <c r="DD175" s="89">
        <v>724.69877993</v>
      </c>
      <c r="DE175" s="89">
        <v>56449.750788466074</v>
      </c>
      <c r="DF175" s="89">
        <v>-20882.314696698148</v>
      </c>
      <c r="DG175" s="88">
        <v>210417</v>
      </c>
      <c r="DH175" s="89">
        <v>142843.5</v>
      </c>
      <c r="DI175" s="89"/>
      <c r="DJ175" s="89"/>
      <c r="DK175" s="89">
        <v>75243.8</v>
      </c>
      <c r="DL175" s="89">
        <v>-7670.3</v>
      </c>
      <c r="DM175" s="88">
        <v>2527361.49811354</v>
      </c>
      <c r="DN175" s="89">
        <v>1299745.4979999999</v>
      </c>
      <c r="DO175" s="89">
        <v>1200624.4979999999</v>
      </c>
      <c r="DP175" s="89">
        <v>99121</v>
      </c>
      <c r="DQ175" s="89">
        <v>1227616</v>
      </c>
      <c r="DR175" s="89"/>
      <c r="DS175" s="88">
        <v>47160.170180838119</v>
      </c>
      <c r="DT175" s="89">
        <v>41697.015876555</v>
      </c>
      <c r="DU175" s="89">
        <v>41194.125759384966</v>
      </c>
      <c r="DV175" s="89">
        <v>502.89011717003558</v>
      </c>
      <c r="DW175" s="89">
        <v>14899.271929496223</v>
      </c>
      <c r="DX175" s="89">
        <v>-9436.1176252131027</v>
      </c>
      <c r="DY175" s="88">
        <v>6005.26397</v>
      </c>
      <c r="DZ175" s="89">
        <f t="shared" si="8"/>
        <v>-258.92632300000008</v>
      </c>
      <c r="EA175" s="89">
        <v>511.66738400000003</v>
      </c>
      <c r="EB175" s="89">
        <v>-770.59370700000011</v>
      </c>
      <c r="EC175" s="89">
        <v>6264.1902929999997</v>
      </c>
      <c r="ED175" s="89"/>
      <c r="EE175" s="88">
        <v>8532.8862241704483</v>
      </c>
      <c r="EF175" s="89">
        <v>-370.97811557999984</v>
      </c>
      <c r="EG175" s="89">
        <v>-372.34345500999984</v>
      </c>
      <c r="EH175" s="89">
        <v>1.3653394299999999</v>
      </c>
      <c r="EI175" s="89">
        <v>11566.16191413</v>
      </c>
      <c r="EJ175" s="89">
        <v>-2662.2975743795519</v>
      </c>
      <c r="EK175" s="88">
        <v>6486022.8126839995</v>
      </c>
      <c r="EL175" s="89">
        <v>567157.95400899963</v>
      </c>
      <c r="EM175" s="89">
        <v>676819.07865899964</v>
      </c>
      <c r="EN175" s="89">
        <v>-109661.12464999998</v>
      </c>
      <c r="EO175" s="89">
        <v>5859407.6790000005</v>
      </c>
      <c r="EP175" s="89">
        <v>59457.179674999999</v>
      </c>
      <c r="EQ175" s="88">
        <v>31541.791172240002</v>
      </c>
      <c r="ER175" s="89">
        <v>-5527.6229469600003</v>
      </c>
      <c r="ES175" s="89"/>
      <c r="ET175" s="89"/>
      <c r="EU175" s="89">
        <v>60037.593355039993</v>
      </c>
      <c r="EV175" s="89">
        <v>-22968.179235839991</v>
      </c>
      <c r="EW175" s="88">
        <v>332001.64779941429</v>
      </c>
      <c r="EX175" s="89">
        <f t="shared" si="14"/>
        <v>8637.6593569999859</v>
      </c>
      <c r="EY175" s="89">
        <v>-1782.6293900000128</v>
      </c>
      <c r="EZ175" s="89">
        <v>10420.288746999999</v>
      </c>
      <c r="FA175" s="89">
        <v>243044.72598814001</v>
      </c>
      <c r="FB175" s="89">
        <v>80319.262454274285</v>
      </c>
      <c r="FC175" s="88">
        <v>893.08746400000007</v>
      </c>
      <c r="FD175" s="89">
        <v>94.382463999999999</v>
      </c>
      <c r="FE175" s="89">
        <v>207.382755</v>
      </c>
      <c r="FF175" s="89">
        <v>-113.000291</v>
      </c>
      <c r="FG175" s="89">
        <v>806.25199999999995</v>
      </c>
      <c r="FH175" s="89"/>
      <c r="FI175" s="88">
        <v>645.18689100000006</v>
      </c>
      <c r="FJ175" s="89">
        <v>-34.701109000000002</v>
      </c>
      <c r="FK175" s="89">
        <v>67.399823999999995</v>
      </c>
      <c r="FL175" s="89">
        <v>-102.100933</v>
      </c>
      <c r="FM175" s="89">
        <v>679.88800000000003</v>
      </c>
      <c r="FN175" s="89"/>
      <c r="FO175" s="88">
        <v>1453.7274689999999</v>
      </c>
      <c r="FP175" s="89">
        <v>-278.63553100000001</v>
      </c>
      <c r="FQ175" s="89">
        <v>-74.707655000000003</v>
      </c>
      <c r="FR175" s="89">
        <v>-203.927876</v>
      </c>
      <c r="FS175" s="89">
        <v>1732.3630000000001</v>
      </c>
      <c r="FT175" s="89"/>
      <c r="FU175" s="88"/>
      <c r="FV175" s="89"/>
      <c r="FW175" s="89"/>
      <c r="FX175" s="89"/>
      <c r="FY175" s="89"/>
      <c r="FZ175" s="89"/>
      <c r="GA175" s="120">
        <v>15302.7</v>
      </c>
      <c r="GB175" s="121">
        <v>-5063.3999999999996</v>
      </c>
      <c r="GC175" s="121">
        <v>-7038.5</v>
      </c>
      <c r="GD175" s="121">
        <v>1975.1</v>
      </c>
      <c r="GE175" s="121">
        <v>20366.099999999999</v>
      </c>
      <c r="GF175" s="89"/>
      <c r="GG175" s="88"/>
      <c r="GH175" s="89"/>
      <c r="GI175" s="89"/>
      <c r="GJ175" s="89"/>
      <c r="GK175" s="89"/>
      <c r="GL175" s="89"/>
      <c r="GM175" s="96">
        <v>29586.976114401197</v>
      </c>
      <c r="GN175" s="89">
        <v>7919.0183478974714</v>
      </c>
      <c r="GO175" s="89">
        <v>7918.1170311946607</v>
      </c>
      <c r="GP175" s="94">
        <v>0.90131670281011611</v>
      </c>
      <c r="GQ175" s="89">
        <v>14170.29541488287</v>
      </c>
      <c r="GR175" s="89">
        <v>7497.6623516208592</v>
      </c>
      <c r="GS175" s="96"/>
      <c r="GT175" s="87"/>
      <c r="GU175" s="87"/>
      <c r="GV175" s="87"/>
      <c r="GW175" s="87"/>
      <c r="GX175" s="87"/>
      <c r="GY175" s="87"/>
      <c r="GZ175" s="88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8"/>
      <c r="HM175" s="87"/>
      <c r="HN175" s="87"/>
      <c r="HO175" s="87"/>
      <c r="HP175" s="87"/>
      <c r="HQ175" s="87"/>
      <c r="HR175" s="87"/>
      <c r="HS175" s="87"/>
    </row>
    <row r="176" spans="1:227">
      <c r="A176" s="69"/>
      <c r="B176" s="87" t="s">
        <v>493</v>
      </c>
      <c r="C176" s="88">
        <v>1651.4545159999998</v>
      </c>
      <c r="D176" s="87">
        <v>82.135516000000024</v>
      </c>
      <c r="E176" s="87">
        <v>257.68794000000003</v>
      </c>
      <c r="F176" s="87">
        <v>-175.552424</v>
      </c>
      <c r="G176" s="87">
        <v>1569.319</v>
      </c>
      <c r="H176" s="87"/>
      <c r="I176" s="88">
        <v>142766.72500000001</v>
      </c>
      <c r="J176" s="89">
        <v>159616.48699999999</v>
      </c>
      <c r="K176" s="89"/>
      <c r="L176" s="89"/>
      <c r="M176" s="89">
        <v>41704.390999999996</v>
      </c>
      <c r="N176" s="89">
        <v>-58554.152999999998</v>
      </c>
      <c r="O176" s="90"/>
      <c r="P176" s="91"/>
      <c r="Q176" s="91"/>
      <c r="R176" s="91"/>
      <c r="S176" s="91"/>
      <c r="T176" s="91"/>
      <c r="U176" s="90">
        <v>4008.8629999999998</v>
      </c>
      <c r="V176" s="91">
        <v>1161.9000000000001</v>
      </c>
      <c r="W176" s="91">
        <v>753.7</v>
      </c>
      <c r="X176" s="91">
        <v>408.15600000000001</v>
      </c>
      <c r="Y176" s="91">
        <v>2846.9629999999997</v>
      </c>
      <c r="Z176" s="91"/>
      <c r="AA176" s="88">
        <v>1209.877</v>
      </c>
      <c r="AB176" s="89">
        <v>162.42200000000003</v>
      </c>
      <c r="AC176" s="89">
        <v>82.796000000000006</v>
      </c>
      <c r="AD176" s="89">
        <v>79.626000000000005</v>
      </c>
      <c r="AE176" s="89">
        <v>1047.4549999999999</v>
      </c>
      <c r="AF176" s="89"/>
      <c r="AG176" s="88">
        <v>39393.783127820003</v>
      </c>
      <c r="AH176" s="89">
        <v>10092.171127819998</v>
      </c>
      <c r="AI176" s="89">
        <v>10092.171127819998</v>
      </c>
      <c r="AJ176" s="89"/>
      <c r="AK176" s="89">
        <v>29301.612000000001</v>
      </c>
      <c r="AL176" s="89"/>
      <c r="AM176" s="88"/>
      <c r="AN176" s="89"/>
      <c r="AO176" s="89"/>
      <c r="AP176" s="89"/>
      <c r="AQ176" s="89"/>
      <c r="AR176" s="89"/>
      <c r="AS176" s="88">
        <v>32262000</v>
      </c>
      <c r="AT176" s="89">
        <v>2688000</v>
      </c>
      <c r="AU176" s="89">
        <v>2688000</v>
      </c>
      <c r="AV176" s="89"/>
      <c r="AW176" s="89">
        <v>33598000</v>
      </c>
      <c r="AX176" s="89">
        <v>-4024000</v>
      </c>
      <c r="AY176" s="88">
        <v>84466203.035420999</v>
      </c>
      <c r="AZ176" s="89">
        <f t="shared" si="13"/>
        <v>27085783.992608182</v>
      </c>
      <c r="BA176" s="89">
        <v>20644546.948407233</v>
      </c>
      <c r="BB176" s="89">
        <v>6441237.0442009475</v>
      </c>
      <c r="BC176" s="89">
        <v>57380419.042812817</v>
      </c>
      <c r="BD176" s="89"/>
      <c r="BE176" s="88">
        <v>3422395.9309625998</v>
      </c>
      <c r="BF176" s="89">
        <v>694573.05202047003</v>
      </c>
      <c r="BG176" s="89">
        <v>668070.78826899</v>
      </c>
      <c r="BH176" s="89">
        <v>26502.263751480001</v>
      </c>
      <c r="BI176" s="89">
        <v>2310104.9977595899</v>
      </c>
      <c r="BJ176" s="89">
        <v>417717.88118253998</v>
      </c>
      <c r="BK176" s="88">
        <v>435.39460400000007</v>
      </c>
      <c r="BL176" s="89">
        <v>-2.7523959999999921</v>
      </c>
      <c r="BM176" s="89">
        <v>10.869280000000007</v>
      </c>
      <c r="BN176" s="89">
        <v>-13.621675999999999</v>
      </c>
      <c r="BO176" s="89">
        <v>438.14699999999999</v>
      </c>
      <c r="BP176" s="89"/>
      <c r="BQ176" s="88">
        <v>5135.2</v>
      </c>
      <c r="BR176" s="89">
        <v>-794.4</v>
      </c>
      <c r="BS176" s="89">
        <v>-93.3</v>
      </c>
      <c r="BT176" s="89">
        <v>-701.1</v>
      </c>
      <c r="BU176" s="89">
        <v>5929.6</v>
      </c>
      <c r="BV176" s="89"/>
      <c r="BW176" s="88">
        <v>5902.036417055343</v>
      </c>
      <c r="BX176" s="89">
        <v>747.49844670677135</v>
      </c>
      <c r="BY176" s="89">
        <v>669.45487528677131</v>
      </c>
      <c r="BZ176" s="89">
        <v>78.043571420000006</v>
      </c>
      <c r="CA176" s="89">
        <v>6477.8142615271427</v>
      </c>
      <c r="CB176" s="89">
        <v>-1323.2762911785715</v>
      </c>
      <c r="CC176" s="88">
        <v>1038.2879779999998</v>
      </c>
      <c r="CD176" s="89">
        <v>27.352977999999993</v>
      </c>
      <c r="CE176" s="89">
        <v>103.36714299999998</v>
      </c>
      <c r="CF176" s="89">
        <v>-76.014164999999991</v>
      </c>
      <c r="CG176" s="89">
        <v>1010.9349999999999</v>
      </c>
      <c r="CH176" s="89"/>
      <c r="CI176" s="88">
        <v>55439.8</v>
      </c>
      <c r="CJ176" s="89">
        <v>9546.4</v>
      </c>
      <c r="CK176" s="89">
        <v>9336.6</v>
      </c>
      <c r="CL176" s="89">
        <v>209.8</v>
      </c>
      <c r="CM176" s="89">
        <v>45298.7</v>
      </c>
      <c r="CN176" s="89">
        <v>594.70000000000005</v>
      </c>
      <c r="CO176" s="88"/>
      <c r="CP176" s="89"/>
      <c r="CQ176" s="89"/>
      <c r="CR176" s="89"/>
      <c r="CS176" s="89"/>
      <c r="CT176" s="89"/>
      <c r="CU176" s="88">
        <v>41053.260716486198</v>
      </c>
      <c r="CV176" s="89">
        <v>20421.851576007059</v>
      </c>
      <c r="CW176" s="89">
        <v>20691.948621869939</v>
      </c>
      <c r="CX176" s="89">
        <v>-270.09704586288012</v>
      </c>
      <c r="CY176" s="89">
        <v>20631.40914047914</v>
      </c>
      <c r="CZ176" s="89"/>
      <c r="DA176" s="88">
        <v>34614.741520780248</v>
      </c>
      <c r="DB176" s="89">
        <v>-1641.6799338404126</v>
      </c>
      <c r="DC176" s="89">
        <v>-2346.0212471204122</v>
      </c>
      <c r="DD176" s="89">
        <v>704.34131328000001</v>
      </c>
      <c r="DE176" s="89">
        <v>57243.835112430839</v>
      </c>
      <c r="DF176" s="89">
        <v>-20987.413657810175</v>
      </c>
      <c r="DG176" s="88">
        <v>210089.69999999998</v>
      </c>
      <c r="DH176" s="89">
        <v>141960.4</v>
      </c>
      <c r="DI176" s="89"/>
      <c r="DJ176" s="89"/>
      <c r="DK176" s="89">
        <v>75011.5</v>
      </c>
      <c r="DL176" s="89">
        <v>-6882.2</v>
      </c>
      <c r="DM176" s="88">
        <v>2502625.7482376201</v>
      </c>
      <c r="DN176" s="89">
        <v>1291710.7479999999</v>
      </c>
      <c r="DO176" s="89">
        <v>1188854.7479999999</v>
      </c>
      <c r="DP176" s="89">
        <v>102856</v>
      </c>
      <c r="DQ176" s="89">
        <v>1210915</v>
      </c>
      <c r="DR176" s="89"/>
      <c r="DS176" s="88">
        <v>45545.640665872997</v>
      </c>
      <c r="DT176" s="89">
        <v>41274.306257597535</v>
      </c>
      <c r="DU176" s="89">
        <v>40495.610527309182</v>
      </c>
      <c r="DV176" s="89">
        <v>778.69573028835418</v>
      </c>
      <c r="DW176" s="89">
        <v>15380.43578299699</v>
      </c>
      <c r="DX176" s="89">
        <v>-11109.101374721524</v>
      </c>
      <c r="DY176" s="88">
        <v>6015.9734900000003</v>
      </c>
      <c r="DZ176" s="89">
        <f t="shared" si="8"/>
        <v>-241.85591900000009</v>
      </c>
      <c r="EA176" s="89">
        <v>558.11267199999998</v>
      </c>
      <c r="EB176" s="89">
        <v>-799.96859100000006</v>
      </c>
      <c r="EC176" s="89">
        <v>6257.8294089999999</v>
      </c>
      <c r="ED176" s="89"/>
      <c r="EE176" s="88">
        <v>8724.6764023166361</v>
      </c>
      <c r="EF176" s="89">
        <v>-242.93826129000033</v>
      </c>
      <c r="EG176" s="89">
        <v>-244.46277329000031</v>
      </c>
      <c r="EH176" s="89">
        <v>1.5245119999999999</v>
      </c>
      <c r="EI176" s="89">
        <v>11594.216631759999</v>
      </c>
      <c r="EJ176" s="89">
        <v>-2626.6019681533612</v>
      </c>
      <c r="EK176" s="88">
        <v>6352485.3443239992</v>
      </c>
      <c r="EL176" s="89">
        <v>332888.56521400006</v>
      </c>
      <c r="EM176" s="89">
        <v>425708.43378400011</v>
      </c>
      <c r="EN176" s="89">
        <v>-92819.868570000064</v>
      </c>
      <c r="EO176" s="89">
        <v>5964103.9199999999</v>
      </c>
      <c r="EP176" s="89">
        <v>55492.859110000005</v>
      </c>
      <c r="EQ176" s="88">
        <v>31394.545387499995</v>
      </c>
      <c r="ER176" s="89">
        <v>-6839.0586770899999</v>
      </c>
      <c r="ES176" s="89"/>
      <c r="ET176" s="89"/>
      <c r="EU176" s="89">
        <v>60962.057199389994</v>
      </c>
      <c r="EV176" s="89">
        <v>-22728.453134800002</v>
      </c>
      <c r="EW176" s="88">
        <v>347115.84229888825</v>
      </c>
      <c r="EX176" s="89">
        <f t="shared" si="14"/>
        <v>12550.267969000006</v>
      </c>
      <c r="EY176" s="89">
        <v>3063.7666620000055</v>
      </c>
      <c r="EZ176" s="89">
        <v>9486.5013070000005</v>
      </c>
      <c r="FA176" s="89">
        <v>245529.86632490001</v>
      </c>
      <c r="FB176" s="89">
        <v>89035.708004988264</v>
      </c>
      <c r="FC176" s="88">
        <v>913.48299699999995</v>
      </c>
      <c r="FD176" s="89">
        <v>115.896997</v>
      </c>
      <c r="FE176" s="89">
        <v>228.897288</v>
      </c>
      <c r="FF176" s="89">
        <v>-113.000291</v>
      </c>
      <c r="FG176" s="89">
        <v>797.58600000000001</v>
      </c>
      <c r="FH176" s="89"/>
      <c r="FI176" s="88">
        <v>656.79352100000006</v>
      </c>
      <c r="FJ176" s="89">
        <v>-27.317479000000006</v>
      </c>
      <c r="FK176" s="89">
        <v>96.082453999999998</v>
      </c>
      <c r="FL176" s="89">
        <v>-123.399933</v>
      </c>
      <c r="FM176" s="89">
        <v>684.11099999999999</v>
      </c>
      <c r="FN176" s="89"/>
      <c r="FO176" s="88">
        <v>1451.2513409999997</v>
      </c>
      <c r="FP176" s="89">
        <v>-292.372659</v>
      </c>
      <c r="FQ176" s="89">
        <v>-81.552782000000008</v>
      </c>
      <c r="FR176" s="89">
        <v>-210.81987700000002</v>
      </c>
      <c r="FS176" s="89">
        <v>1743.624</v>
      </c>
      <c r="FT176" s="89"/>
      <c r="FU176" s="88"/>
      <c r="FV176" s="89"/>
      <c r="FW176" s="89"/>
      <c r="FX176" s="89"/>
      <c r="FY176" s="89"/>
      <c r="FZ176" s="89"/>
      <c r="GA176" s="120">
        <v>14413.3</v>
      </c>
      <c r="GB176" s="121">
        <v>-5367</v>
      </c>
      <c r="GC176" s="121">
        <v>-7367.6</v>
      </c>
      <c r="GD176" s="121">
        <v>2000.6</v>
      </c>
      <c r="GE176" s="121">
        <v>19780.3</v>
      </c>
      <c r="GF176" s="89"/>
      <c r="GG176" s="88"/>
      <c r="GH176" s="89"/>
      <c r="GI176" s="89"/>
      <c r="GJ176" s="89"/>
      <c r="GK176" s="89"/>
      <c r="GL176" s="89"/>
      <c r="GM176" s="88">
        <v>31038.95578052348</v>
      </c>
      <c r="GN176" s="89">
        <v>9135.1262053903392</v>
      </c>
      <c r="GO176" s="89">
        <v>9134.1545948425101</v>
      </c>
      <c r="GP176" s="89">
        <v>0.97161054782941936</v>
      </c>
      <c r="GQ176" s="89">
        <v>14700.888497298491</v>
      </c>
      <c r="GR176" s="89">
        <v>7202.9410778346501</v>
      </c>
      <c r="GS176" s="88"/>
      <c r="GT176" s="87"/>
      <c r="GU176" s="87"/>
      <c r="GV176" s="87"/>
      <c r="GW176" s="87"/>
      <c r="GX176" s="87"/>
      <c r="GY176" s="87"/>
      <c r="GZ176" s="88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8"/>
      <c r="HM176" s="87"/>
      <c r="HN176" s="87"/>
      <c r="HO176" s="87"/>
      <c r="HP176" s="87"/>
      <c r="HQ176" s="87"/>
      <c r="HR176" s="87"/>
      <c r="HS176" s="87"/>
    </row>
    <row r="177" spans="1:228">
      <c r="A177" s="69"/>
      <c r="B177" s="87" t="s">
        <v>494</v>
      </c>
      <c r="C177" s="88">
        <v>1664.738267</v>
      </c>
      <c r="D177" s="87">
        <v>82.13726699999998</v>
      </c>
      <c r="E177" s="87">
        <v>259.94020899999998</v>
      </c>
      <c r="F177" s="87">
        <v>-177.802942</v>
      </c>
      <c r="G177" s="87">
        <v>1582.6010000000001</v>
      </c>
      <c r="H177" s="87"/>
      <c r="I177" s="88">
        <v>145013.633</v>
      </c>
      <c r="J177" s="89">
        <v>161978.37400000001</v>
      </c>
      <c r="K177" s="89"/>
      <c r="L177" s="89"/>
      <c r="M177" s="89">
        <v>42612.652999999998</v>
      </c>
      <c r="N177" s="89">
        <v>-59577.394</v>
      </c>
      <c r="O177" s="90"/>
      <c r="P177" s="91"/>
      <c r="Q177" s="91"/>
      <c r="R177" s="91"/>
      <c r="S177" s="91"/>
      <c r="T177" s="91"/>
      <c r="U177" s="90">
        <v>4014.6000000000004</v>
      </c>
      <c r="V177" s="91">
        <v>1096.3</v>
      </c>
      <c r="W177" s="91">
        <v>705.3</v>
      </c>
      <c r="X177" s="91">
        <v>391.024</v>
      </c>
      <c r="Y177" s="91">
        <v>2918.3</v>
      </c>
      <c r="Z177" s="91"/>
      <c r="AA177" s="88">
        <v>1259.0530000000001</v>
      </c>
      <c r="AB177" s="89">
        <v>195.37900000000002</v>
      </c>
      <c r="AC177" s="89">
        <v>111.617</v>
      </c>
      <c r="AD177" s="89">
        <v>83.762</v>
      </c>
      <c r="AE177" s="89">
        <v>1063.674</v>
      </c>
      <c r="AF177" s="89"/>
      <c r="AG177" s="88">
        <v>39514.532429735998</v>
      </c>
      <c r="AH177" s="89">
        <v>10411.954429735999</v>
      </c>
      <c r="AI177" s="89">
        <v>10411.954429735999</v>
      </c>
      <c r="AJ177" s="89"/>
      <c r="AK177" s="89">
        <v>29102.578000000001</v>
      </c>
      <c r="AL177" s="89"/>
      <c r="AM177" s="88"/>
      <c r="AN177" s="89"/>
      <c r="AO177" s="89"/>
      <c r="AP177" s="89"/>
      <c r="AQ177" s="89"/>
      <c r="AR177" s="89"/>
      <c r="AS177" s="88">
        <v>32524000</v>
      </c>
      <c r="AT177" s="89">
        <v>2501000</v>
      </c>
      <c r="AU177" s="89">
        <v>2501000</v>
      </c>
      <c r="AV177" s="89"/>
      <c r="AW177" s="89">
        <v>33834000</v>
      </c>
      <c r="AX177" s="89">
        <v>-3811000</v>
      </c>
      <c r="AY177" s="88">
        <v>82944083.749702498</v>
      </c>
      <c r="AZ177" s="89">
        <f t="shared" si="13"/>
        <v>27784705.678112667</v>
      </c>
      <c r="BA177" s="89">
        <v>21490292.181737218</v>
      </c>
      <c r="BB177" s="89">
        <v>6294413.4963754481</v>
      </c>
      <c r="BC177" s="89">
        <v>55159378.071589835</v>
      </c>
      <c r="BD177" s="89"/>
      <c r="BE177" s="88">
        <v>3416320.8203835902</v>
      </c>
      <c r="BF177" s="89">
        <v>674914.59146570996</v>
      </c>
      <c r="BG177" s="89">
        <v>647814.92926809995</v>
      </c>
      <c r="BH177" s="89">
        <v>27099.66219761</v>
      </c>
      <c r="BI177" s="89">
        <v>2340135.5449343398</v>
      </c>
      <c r="BJ177" s="89">
        <v>401270.68398353999</v>
      </c>
      <c r="BK177" s="88">
        <v>440.97412300000002</v>
      </c>
      <c r="BL177" s="89">
        <v>-2.6958769999999959</v>
      </c>
      <c r="BM177" s="89">
        <v>10.975439000000005</v>
      </c>
      <c r="BN177" s="89">
        <v>-13.671316000000001</v>
      </c>
      <c r="BO177" s="89">
        <v>443.67</v>
      </c>
      <c r="BP177" s="89"/>
      <c r="BQ177" s="88">
        <v>5245.4</v>
      </c>
      <c r="BR177" s="89">
        <v>-779.6</v>
      </c>
      <c r="BS177" s="89">
        <v>-67.2</v>
      </c>
      <c r="BT177" s="89">
        <v>-712.4</v>
      </c>
      <c r="BU177" s="89">
        <v>6025</v>
      </c>
      <c r="BV177" s="89"/>
      <c r="BW177" s="88">
        <v>5900.0085940615427</v>
      </c>
      <c r="BX177" s="89">
        <v>837.0084241129714</v>
      </c>
      <c r="BY177" s="89">
        <v>754.68499554297136</v>
      </c>
      <c r="BZ177" s="89">
        <v>82.323428570000004</v>
      </c>
      <c r="CA177" s="89">
        <v>6453.4632036371422</v>
      </c>
      <c r="CB177" s="89">
        <v>-1390.4630336885718</v>
      </c>
      <c r="CC177" s="88">
        <v>1072.4587379999998</v>
      </c>
      <c r="CD177" s="89">
        <v>44.413738000000009</v>
      </c>
      <c r="CE177" s="89">
        <v>128.05092300000001</v>
      </c>
      <c r="CF177" s="89">
        <v>-83.637185000000002</v>
      </c>
      <c r="CG177" s="89">
        <v>1028.0450000000001</v>
      </c>
      <c r="CH177" s="89"/>
      <c r="CI177" s="88">
        <v>55832.5</v>
      </c>
      <c r="CJ177" s="89">
        <v>10822.1</v>
      </c>
      <c r="CK177" s="89">
        <v>10547.5</v>
      </c>
      <c r="CL177" s="89">
        <v>274.60000000000002</v>
      </c>
      <c r="CM177" s="89">
        <v>45286.7</v>
      </c>
      <c r="CN177" s="89">
        <v>-276.3</v>
      </c>
      <c r="CO177" s="88">
        <v>27483.8</v>
      </c>
      <c r="CP177" s="89">
        <v>-9821</v>
      </c>
      <c r="CQ177" s="89">
        <v>-1476.1</v>
      </c>
      <c r="CR177" s="89">
        <v>-8344.9</v>
      </c>
      <c r="CS177" s="89">
        <v>47101.9</v>
      </c>
      <c r="CT177" s="89">
        <v>-9797.1</v>
      </c>
      <c r="CU177" s="88">
        <v>40626.828517366208</v>
      </c>
      <c r="CV177" s="89">
        <v>20005.160503238149</v>
      </c>
      <c r="CW177" s="89">
        <v>20294.124584585581</v>
      </c>
      <c r="CX177" s="89">
        <v>-288.96408134743228</v>
      </c>
      <c r="CY177" s="89">
        <v>20621.668014128059</v>
      </c>
      <c r="CZ177" s="89"/>
      <c r="DA177" s="88">
        <v>34709.552099542867</v>
      </c>
      <c r="DB177" s="89">
        <v>-1777.5879382787036</v>
      </c>
      <c r="DC177" s="89">
        <v>-2686.2945530287034</v>
      </c>
      <c r="DD177" s="89">
        <v>908.70661474999997</v>
      </c>
      <c r="DE177" s="89">
        <v>57669.77819244891</v>
      </c>
      <c r="DF177" s="89">
        <v>-21182.63815462733</v>
      </c>
      <c r="DG177" s="88">
        <v>215496.8</v>
      </c>
      <c r="DH177" s="89">
        <v>146917.70000000001</v>
      </c>
      <c r="DI177" s="89"/>
      <c r="DJ177" s="89"/>
      <c r="DK177" s="89">
        <v>76017.8</v>
      </c>
      <c r="DL177" s="89">
        <v>-7438.7</v>
      </c>
      <c r="DM177" s="88">
        <v>2546453.11007579</v>
      </c>
      <c r="DN177" s="89">
        <v>1294293.1100000001</v>
      </c>
      <c r="DO177" s="89">
        <v>1190436.1100000001</v>
      </c>
      <c r="DP177" s="89">
        <v>103857</v>
      </c>
      <c r="DQ177" s="89">
        <v>1252160</v>
      </c>
      <c r="DR177" s="89"/>
      <c r="DS177" s="88">
        <v>45055.571737399892</v>
      </c>
      <c r="DT177" s="89">
        <v>40830.221570764843</v>
      </c>
      <c r="DU177" s="89">
        <v>40052.29685467641</v>
      </c>
      <c r="DV177" s="89">
        <v>777.92471608843005</v>
      </c>
      <c r="DW177" s="89">
        <v>15249.367772786783</v>
      </c>
      <c r="DX177" s="89">
        <v>-11024.017606151727</v>
      </c>
      <c r="DY177" s="88">
        <v>6164.4912450000002</v>
      </c>
      <c r="DZ177" s="89">
        <f t="shared" si="8"/>
        <v>-201.90751699999998</v>
      </c>
      <c r="EA177" s="89">
        <v>572.27172100000007</v>
      </c>
      <c r="EB177" s="89">
        <v>-774.17923800000005</v>
      </c>
      <c r="EC177" s="89">
        <v>6366.3987619999998</v>
      </c>
      <c r="ED177" s="89"/>
      <c r="EE177" s="88">
        <v>8693.8684185214406</v>
      </c>
      <c r="EF177" s="89">
        <v>-234.80199274999973</v>
      </c>
      <c r="EG177" s="89">
        <v>-234.80199274999973</v>
      </c>
      <c r="EH177" s="89">
        <v>0</v>
      </c>
      <c r="EI177" s="89">
        <v>11624.86718497</v>
      </c>
      <c r="EJ177" s="89">
        <v>-2696.196773698558</v>
      </c>
      <c r="EK177" s="88">
        <v>6486090.9017399997</v>
      </c>
      <c r="EL177" s="89">
        <v>403972.4188700004</v>
      </c>
      <c r="EM177" s="89">
        <v>515482.23599000042</v>
      </c>
      <c r="EN177" s="89">
        <v>-111509.81712000002</v>
      </c>
      <c r="EO177" s="89">
        <v>6030131.6319999993</v>
      </c>
      <c r="EP177" s="89">
        <v>51986.850870000002</v>
      </c>
      <c r="EQ177" s="88">
        <v>31599.394476650003</v>
      </c>
      <c r="ER177" s="89">
        <v>-6381.6565195099993</v>
      </c>
      <c r="ES177" s="89"/>
      <c r="ET177" s="89"/>
      <c r="EU177" s="89">
        <v>60876.192315150009</v>
      </c>
      <c r="EV177" s="89">
        <v>-22895.141318990005</v>
      </c>
      <c r="EW177" s="88">
        <v>350351.57294821017</v>
      </c>
      <c r="EX177" s="89">
        <f t="shared" si="14"/>
        <v>14684.380293</v>
      </c>
      <c r="EY177" s="89">
        <v>5392.3662210000002</v>
      </c>
      <c r="EZ177" s="89">
        <v>9292.0140719999999</v>
      </c>
      <c r="FA177" s="89">
        <v>241291.58475916003</v>
      </c>
      <c r="FB177" s="89">
        <v>94375.607896050133</v>
      </c>
      <c r="FC177" s="88">
        <v>918.43979000000002</v>
      </c>
      <c r="FD177" s="89">
        <v>105.33479</v>
      </c>
      <c r="FE177" s="89">
        <v>213.834518</v>
      </c>
      <c r="FF177" s="89">
        <v>-108.499728</v>
      </c>
      <c r="FG177" s="89">
        <v>813.10500000000002</v>
      </c>
      <c r="FH177" s="89"/>
      <c r="FI177" s="88">
        <v>661.44580000000008</v>
      </c>
      <c r="FJ177" s="89">
        <v>-4.6302000000000163</v>
      </c>
      <c r="FK177" s="89">
        <v>86.583732999999995</v>
      </c>
      <c r="FL177" s="89">
        <v>-91.213933000000011</v>
      </c>
      <c r="FM177" s="89">
        <v>666.07600000000002</v>
      </c>
      <c r="FN177" s="89"/>
      <c r="FO177" s="88">
        <v>1472.891719</v>
      </c>
      <c r="FP177" s="89">
        <v>-286.35328099999998</v>
      </c>
      <c r="FQ177" s="89">
        <v>-77.841404999999995</v>
      </c>
      <c r="FR177" s="89">
        <v>-208.511876</v>
      </c>
      <c r="FS177" s="89">
        <v>1759.2449999999999</v>
      </c>
      <c r="FT177" s="89"/>
      <c r="FU177" s="88"/>
      <c r="FV177" s="89"/>
      <c r="FW177" s="89"/>
      <c r="FX177" s="89"/>
      <c r="FY177" s="89"/>
      <c r="FZ177" s="89"/>
      <c r="GA177" s="88">
        <v>13282.1</v>
      </c>
      <c r="GB177" s="89">
        <v>-6704.6</v>
      </c>
      <c r="GC177" s="89">
        <v>-8949.1</v>
      </c>
      <c r="GD177" s="89">
        <v>2244.5</v>
      </c>
      <c r="GE177" s="89">
        <v>19986.599999999999</v>
      </c>
      <c r="GF177" s="89"/>
      <c r="GG177" s="88"/>
      <c r="GH177" s="89"/>
      <c r="GI177" s="89"/>
      <c r="GJ177" s="89"/>
      <c r="GK177" s="89"/>
      <c r="GL177" s="89"/>
      <c r="GM177" s="88">
        <v>31852.000082003811</v>
      </c>
      <c r="GN177" s="89">
        <v>8934.3283917664285</v>
      </c>
      <c r="GO177" s="89">
        <v>8934.2318632002789</v>
      </c>
      <c r="GP177" s="89">
        <v>9.6528566149994735E-2</v>
      </c>
      <c r="GQ177" s="89">
        <v>15455.597361352251</v>
      </c>
      <c r="GR177" s="89">
        <v>7462.0743288851309</v>
      </c>
      <c r="GS177" s="88"/>
      <c r="GT177" s="87"/>
      <c r="GU177" s="87"/>
      <c r="GV177" s="87"/>
      <c r="GW177" s="87"/>
      <c r="GX177" s="87"/>
      <c r="GY177" s="87"/>
      <c r="GZ177" s="88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8"/>
      <c r="HM177" s="87"/>
      <c r="HN177" s="87"/>
      <c r="HO177" s="87"/>
      <c r="HP177" s="87"/>
      <c r="HQ177" s="87"/>
      <c r="HR177" s="87"/>
      <c r="HS177" s="87"/>
    </row>
    <row r="178" spans="1:228">
      <c r="A178" s="69"/>
      <c r="B178" s="87" t="s">
        <v>495</v>
      </c>
      <c r="C178" s="88">
        <v>1682.437911</v>
      </c>
      <c r="D178" s="87">
        <v>79.054911000000004</v>
      </c>
      <c r="E178" s="87">
        <v>253.06589199999999</v>
      </c>
      <c r="F178" s="87">
        <v>-174.01098099999999</v>
      </c>
      <c r="G178" s="87">
        <v>1603.383</v>
      </c>
      <c r="H178" s="87"/>
      <c r="I178" s="88">
        <v>143754.92199999999</v>
      </c>
      <c r="J178" s="89">
        <v>164781.111</v>
      </c>
      <c r="K178" s="89"/>
      <c r="L178" s="89"/>
      <c r="M178" s="89">
        <v>43094.305</v>
      </c>
      <c r="N178" s="89">
        <v>-64120.493999999999</v>
      </c>
      <c r="O178" s="90"/>
      <c r="P178" s="91"/>
      <c r="Q178" s="91"/>
      <c r="R178" s="91"/>
      <c r="S178" s="91"/>
      <c r="T178" s="91"/>
      <c r="U178" s="90">
        <v>4139.9699999999993</v>
      </c>
      <c r="V178" s="91">
        <v>1215.5999999999999</v>
      </c>
      <c r="W178" s="91">
        <v>817.7</v>
      </c>
      <c r="X178" s="91">
        <v>397.858</v>
      </c>
      <c r="Y178" s="91">
        <v>2924.37</v>
      </c>
      <c r="Z178" s="91"/>
      <c r="AA178" s="88">
        <v>1273.377</v>
      </c>
      <c r="AB178" s="89">
        <v>194.65600000000001</v>
      </c>
      <c r="AC178" s="89">
        <v>111.22</v>
      </c>
      <c r="AD178" s="89">
        <v>83.436000000000007</v>
      </c>
      <c r="AE178" s="89">
        <v>1078.721</v>
      </c>
      <c r="AF178" s="89"/>
      <c r="AG178" s="88">
        <v>39288.690053610342</v>
      </c>
      <c r="AH178" s="89">
        <v>10299.760102013899</v>
      </c>
      <c r="AI178" s="89">
        <v>10299.760102013899</v>
      </c>
      <c r="AJ178" s="89"/>
      <c r="AK178" s="89">
        <v>28988.929951596445</v>
      </c>
      <c r="AL178" s="89"/>
      <c r="AM178" s="88"/>
      <c r="AN178" s="89"/>
      <c r="AO178" s="89"/>
      <c r="AP178" s="89"/>
      <c r="AQ178" s="89"/>
      <c r="AR178" s="89"/>
      <c r="AS178" s="88">
        <v>32750000</v>
      </c>
      <c r="AT178" s="89">
        <v>2511000</v>
      </c>
      <c r="AU178" s="89">
        <v>2511000</v>
      </c>
      <c r="AV178" s="89"/>
      <c r="AW178" s="89">
        <v>34329000</v>
      </c>
      <c r="AX178" s="89">
        <v>-4090000</v>
      </c>
      <c r="AY178" s="88">
        <v>83375094.304366753</v>
      </c>
      <c r="AZ178" s="89">
        <f t="shared" si="13"/>
        <v>27308681.787880242</v>
      </c>
      <c r="BA178" s="89">
        <v>21118667.469398193</v>
      </c>
      <c r="BB178" s="89">
        <v>6190014.3184820469</v>
      </c>
      <c r="BC178" s="89">
        <v>56066412.516486511</v>
      </c>
      <c r="BD178" s="89"/>
      <c r="BE178" s="88">
        <v>3454759.4192606001</v>
      </c>
      <c r="BF178" s="89">
        <v>682970.38429034001</v>
      </c>
      <c r="BG178" s="89">
        <v>655418.09207827004</v>
      </c>
      <c r="BH178" s="89">
        <v>27552.292212069999</v>
      </c>
      <c r="BI178" s="89">
        <v>2354127.28073182</v>
      </c>
      <c r="BJ178" s="89">
        <v>417661.75423844001</v>
      </c>
      <c r="BK178" s="88">
        <v>446.677368</v>
      </c>
      <c r="BL178" s="89">
        <v>-1.547631999999993</v>
      </c>
      <c r="BM178" s="89">
        <v>13.387384000000006</v>
      </c>
      <c r="BN178" s="89">
        <v>-14.935015999999999</v>
      </c>
      <c r="BO178" s="89">
        <v>448.22500000000002</v>
      </c>
      <c r="BP178" s="89"/>
      <c r="BQ178" s="88">
        <v>5193.8</v>
      </c>
      <c r="BR178" s="89">
        <v>-984.4</v>
      </c>
      <c r="BS178" s="89">
        <v>-208.5</v>
      </c>
      <c r="BT178" s="89">
        <v>-775.9</v>
      </c>
      <c r="BU178" s="89">
        <v>6178.3</v>
      </c>
      <c r="BV178" s="89"/>
      <c r="BW178" s="88">
        <v>5927.0540413563722</v>
      </c>
      <c r="BX178" s="89">
        <v>860.89965260637143</v>
      </c>
      <c r="BY178" s="89">
        <v>773.53222403637142</v>
      </c>
      <c r="BZ178" s="89">
        <v>87.367428569999987</v>
      </c>
      <c r="CA178" s="89">
        <v>6380.0977990971423</v>
      </c>
      <c r="CB178" s="89">
        <v>-1313.943410347141</v>
      </c>
      <c r="CC178" s="88">
        <v>1076.7148810000001</v>
      </c>
      <c r="CD178" s="89">
        <v>39.488881000000006</v>
      </c>
      <c r="CE178" s="89">
        <v>126.651561</v>
      </c>
      <c r="CF178" s="89">
        <v>-87.162679999999995</v>
      </c>
      <c r="CG178" s="89">
        <v>1037.2260000000001</v>
      </c>
      <c r="CH178" s="89"/>
      <c r="CI178" s="88">
        <v>57445.3</v>
      </c>
      <c r="CJ178" s="89">
        <v>11505.1</v>
      </c>
      <c r="CK178" s="89">
        <v>11230.9</v>
      </c>
      <c r="CL178" s="89">
        <v>274.2</v>
      </c>
      <c r="CM178" s="89">
        <v>46488.600000000006</v>
      </c>
      <c r="CN178" s="89">
        <v>-548.4</v>
      </c>
      <c r="CO178" s="88"/>
      <c r="CP178" s="89"/>
      <c r="CQ178" s="89"/>
      <c r="CR178" s="89"/>
      <c r="CS178" s="89"/>
      <c r="CT178" s="89"/>
      <c r="CU178" s="88">
        <v>41201.400311943929</v>
      </c>
      <c r="CV178" s="89">
        <v>20285.55557094729</v>
      </c>
      <c r="CW178" s="89">
        <v>20642.953627310002</v>
      </c>
      <c r="CX178" s="89">
        <v>-357.39805636271012</v>
      </c>
      <c r="CY178" s="89">
        <v>20915.844740996643</v>
      </c>
      <c r="CZ178" s="89"/>
      <c r="DA178" s="88">
        <v>35012.526919364187</v>
      </c>
      <c r="DB178" s="89">
        <v>-1470.929154916998</v>
      </c>
      <c r="DC178" s="89">
        <v>-2200.442218076998</v>
      </c>
      <c r="DD178" s="89">
        <v>729.51306316</v>
      </c>
      <c r="DE178" s="89">
        <v>57886.62725222639</v>
      </c>
      <c r="DF178" s="89">
        <v>-21403.171177945205</v>
      </c>
      <c r="DG178" s="88">
        <v>215582.50000000003</v>
      </c>
      <c r="DH178" s="89">
        <v>145345.70000000001</v>
      </c>
      <c r="DI178" s="89"/>
      <c r="DJ178" s="89"/>
      <c r="DK178" s="89">
        <v>77728.100000000006</v>
      </c>
      <c r="DL178" s="89">
        <v>-7491.3</v>
      </c>
      <c r="DM178" s="88">
        <v>2534227.8285093103</v>
      </c>
      <c r="DN178" s="89">
        <v>1288196.8289999999</v>
      </c>
      <c r="DO178" s="89">
        <v>1186024.8289999999</v>
      </c>
      <c r="DP178" s="89">
        <v>102172</v>
      </c>
      <c r="DQ178" s="89">
        <v>1246031</v>
      </c>
      <c r="DR178" s="89"/>
      <c r="DS178" s="88">
        <v>45856.544125411689</v>
      </c>
      <c r="DT178" s="89">
        <v>41116.592042304212</v>
      </c>
      <c r="DU178" s="89">
        <v>40350.006209472107</v>
      </c>
      <c r="DV178" s="89">
        <v>766.58583283210601</v>
      </c>
      <c r="DW178" s="89">
        <v>15490.53169852648</v>
      </c>
      <c r="DX178" s="89">
        <v>-10750.579615419005</v>
      </c>
      <c r="DY178" s="88">
        <v>6295.3876619999992</v>
      </c>
      <c r="DZ178" s="89">
        <f t="shared" si="8"/>
        <v>-205.27372100000002</v>
      </c>
      <c r="EA178" s="89">
        <v>524.01689599999997</v>
      </c>
      <c r="EB178" s="89">
        <v>-729.290617</v>
      </c>
      <c r="EC178" s="89">
        <v>6500.6613830000006</v>
      </c>
      <c r="ED178" s="89"/>
      <c r="EE178" s="88">
        <v>8905.4211991475167</v>
      </c>
      <c r="EF178" s="89">
        <v>-148.42047533000004</v>
      </c>
      <c r="EG178" s="89">
        <v>-148.42047533000004</v>
      </c>
      <c r="EH178" s="89">
        <v>0</v>
      </c>
      <c r="EI178" s="89">
        <v>11714.34591416</v>
      </c>
      <c r="EJ178" s="89">
        <v>-2660.5042396824829</v>
      </c>
      <c r="EK178" s="88">
        <v>6345174.6297200006</v>
      </c>
      <c r="EL178" s="89">
        <v>184113.74918999965</v>
      </c>
      <c r="EM178" s="89">
        <v>277294.50068999967</v>
      </c>
      <c r="EN178" s="89">
        <v>-93180.751500000028</v>
      </c>
      <c r="EO178" s="89">
        <v>6106717.1640000008</v>
      </c>
      <c r="EP178" s="89">
        <v>54343.716530000005</v>
      </c>
      <c r="EQ178" s="88">
        <v>31610.688187440002</v>
      </c>
      <c r="ER178" s="89">
        <v>-6294.5800604200012</v>
      </c>
      <c r="ES178" s="89"/>
      <c r="ET178" s="89"/>
      <c r="EU178" s="89">
        <v>60602.178061619998</v>
      </c>
      <c r="EV178" s="89">
        <v>-22696.909813759994</v>
      </c>
      <c r="EW178" s="88">
        <v>355114.72771675407</v>
      </c>
      <c r="EX178" s="89">
        <f t="shared" si="14"/>
        <v>14452.523832999996</v>
      </c>
      <c r="EY178" s="89">
        <v>6485.4406499999968</v>
      </c>
      <c r="EZ178" s="89">
        <v>7967.0831829999997</v>
      </c>
      <c r="FA178" s="89">
        <v>239668.04464738999</v>
      </c>
      <c r="FB178" s="89">
        <v>100994.15923636412</v>
      </c>
      <c r="FC178" s="88">
        <v>982.04423799999995</v>
      </c>
      <c r="FD178" s="89">
        <v>149.71423799999999</v>
      </c>
      <c r="FE178" s="89">
        <v>216.94407899999999</v>
      </c>
      <c r="FF178" s="89">
        <v>-67.229840999999993</v>
      </c>
      <c r="FG178" s="89">
        <v>832.33</v>
      </c>
      <c r="FH178" s="89"/>
      <c r="FI178" s="88">
        <v>661.39730800000007</v>
      </c>
      <c r="FJ178" s="89">
        <v>3.2223079999999982</v>
      </c>
      <c r="FK178" s="89">
        <v>104.33424100000001</v>
      </c>
      <c r="FL178" s="89">
        <v>-101.11193300000001</v>
      </c>
      <c r="FM178" s="89">
        <v>658.17499999999995</v>
      </c>
      <c r="FN178" s="89"/>
      <c r="FO178" s="88">
        <v>1442.632644</v>
      </c>
      <c r="FP178" s="89">
        <v>-334.48235599999998</v>
      </c>
      <c r="FQ178" s="89">
        <v>-140.31748000000002</v>
      </c>
      <c r="FR178" s="89">
        <v>-194.16487599999999</v>
      </c>
      <c r="FS178" s="89">
        <v>1777.115</v>
      </c>
      <c r="FT178" s="89"/>
      <c r="FU178" s="88"/>
      <c r="FV178" s="89"/>
      <c r="FW178" s="89"/>
      <c r="FX178" s="89"/>
      <c r="FY178" s="89"/>
      <c r="FZ178" s="89"/>
      <c r="GA178" s="120">
        <v>13082.2</v>
      </c>
      <c r="GB178" s="121">
        <v>-7183.2999999999993</v>
      </c>
      <c r="GC178" s="121">
        <v>-9469.2999999999993</v>
      </c>
      <c r="GD178" s="121">
        <v>2286</v>
      </c>
      <c r="GE178" s="121">
        <v>20265.400000000001</v>
      </c>
      <c r="GF178" s="89"/>
      <c r="GG178" s="88"/>
      <c r="GH178" s="89"/>
      <c r="GI178" s="89"/>
      <c r="GJ178" s="89"/>
      <c r="GK178" s="89"/>
      <c r="GL178" s="89"/>
      <c r="GM178" s="88">
        <v>32888.577258410121</v>
      </c>
      <c r="GN178" s="89">
        <v>8708.850248668421</v>
      </c>
      <c r="GO178" s="89">
        <v>8708.7444636998007</v>
      </c>
      <c r="GP178" s="89">
        <v>0.10578496862016619</v>
      </c>
      <c r="GQ178" s="89">
        <v>16007.434962978597</v>
      </c>
      <c r="GR178" s="89">
        <v>8172.2920467630993</v>
      </c>
      <c r="GS178" s="88"/>
      <c r="GT178" s="87"/>
      <c r="GU178" s="87"/>
      <c r="GV178" s="87"/>
      <c r="GW178" s="87"/>
      <c r="GX178" s="87"/>
      <c r="GY178" s="87"/>
      <c r="GZ178" s="88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8"/>
      <c r="HM178" s="87"/>
      <c r="HN178" s="87"/>
      <c r="HO178" s="87"/>
      <c r="HP178" s="87"/>
      <c r="HQ178" s="87"/>
      <c r="HR178" s="87"/>
      <c r="HS178" s="87"/>
    </row>
    <row r="179" spans="1:228">
      <c r="A179" s="69"/>
      <c r="B179" s="87" t="s">
        <v>496</v>
      </c>
      <c r="C179" s="88">
        <v>1690.1891600000001</v>
      </c>
      <c r="D179" s="87">
        <v>86.393159999999995</v>
      </c>
      <c r="E179" s="87">
        <v>256.24014099999999</v>
      </c>
      <c r="F179" s="87">
        <v>-169.846981</v>
      </c>
      <c r="G179" s="87">
        <v>1603.796</v>
      </c>
      <c r="H179" s="87"/>
      <c r="I179" s="88">
        <v>143951.62200000003</v>
      </c>
      <c r="J179" s="89">
        <v>165441.367</v>
      </c>
      <c r="K179" s="89"/>
      <c r="L179" s="89"/>
      <c r="M179" s="89">
        <v>43616.3</v>
      </c>
      <c r="N179" s="91">
        <v>-65106.044999999998</v>
      </c>
      <c r="O179" s="90"/>
      <c r="P179" s="91"/>
      <c r="Q179" s="91"/>
      <c r="R179" s="91"/>
      <c r="S179" s="91"/>
      <c r="T179" s="91"/>
      <c r="U179" s="90">
        <v>4137.4279999999999</v>
      </c>
      <c r="V179" s="91">
        <v>1212.0999999999999</v>
      </c>
      <c r="W179" s="91">
        <v>795.1</v>
      </c>
      <c r="X179" s="91">
        <v>416.99</v>
      </c>
      <c r="Y179" s="91">
        <v>2925.3280000000004</v>
      </c>
      <c r="Z179" s="91"/>
      <c r="AA179" s="88">
        <v>1309.8119999999999</v>
      </c>
      <c r="AB179" s="89">
        <v>210.46800000000002</v>
      </c>
      <c r="AC179" s="89">
        <v>121.203</v>
      </c>
      <c r="AD179" s="89">
        <v>89.265000000000001</v>
      </c>
      <c r="AE179" s="89">
        <v>1099.3440000000001</v>
      </c>
      <c r="AF179" s="89"/>
      <c r="AG179" s="88">
        <v>39568.349503954421</v>
      </c>
      <c r="AH179" s="89">
        <v>10603.809909273601</v>
      </c>
      <c r="AI179" s="89">
        <v>10603.809909273601</v>
      </c>
      <c r="AJ179" s="89"/>
      <c r="AK179" s="89">
        <v>28964.539594680817</v>
      </c>
      <c r="AL179" s="89"/>
      <c r="AM179" s="88"/>
      <c r="AN179" s="89"/>
      <c r="AO179" s="89"/>
      <c r="AP179" s="89"/>
      <c r="AQ179" s="89"/>
      <c r="AR179" s="89"/>
      <c r="AS179" s="88">
        <v>33190000</v>
      </c>
      <c r="AT179" s="89">
        <v>2523000</v>
      </c>
      <c r="AU179" s="89">
        <v>2523000</v>
      </c>
      <c r="AV179" s="89"/>
      <c r="AW179" s="89">
        <v>34746000</v>
      </c>
      <c r="AX179" s="89">
        <v>-4079000</v>
      </c>
      <c r="AY179" s="88">
        <v>83735627.288944617</v>
      </c>
      <c r="AZ179" s="89">
        <f t="shared" si="13"/>
        <v>27086897.992863182</v>
      </c>
      <c r="BA179" s="89">
        <v>21015975.306200873</v>
      </c>
      <c r="BB179" s="89">
        <v>6070922.6866623079</v>
      </c>
      <c r="BC179" s="89">
        <v>56648729.296081431</v>
      </c>
      <c r="BD179" s="89"/>
      <c r="BE179" s="88">
        <v>3459797.2451228402</v>
      </c>
      <c r="BF179" s="89">
        <v>679306.88955672004</v>
      </c>
      <c r="BG179" s="89">
        <v>653662.04341405001</v>
      </c>
      <c r="BH179" s="89">
        <v>25644.846142670001</v>
      </c>
      <c r="BI179" s="89">
        <v>2408203.4546361701</v>
      </c>
      <c r="BJ179" s="89">
        <v>372286.90092995</v>
      </c>
      <c r="BK179" s="88">
        <v>456.34854300000001</v>
      </c>
      <c r="BL179" s="89">
        <v>3.1375429999999973</v>
      </c>
      <c r="BM179" s="89">
        <v>17.409555999999998</v>
      </c>
      <c r="BN179" s="89">
        <v>-14.272013000000001</v>
      </c>
      <c r="BO179" s="89">
        <v>453.21100000000001</v>
      </c>
      <c r="BP179" s="89"/>
      <c r="BQ179" s="88">
        <v>5323.1</v>
      </c>
      <c r="BR179" s="89">
        <v>-996.9</v>
      </c>
      <c r="BS179" s="89">
        <v>-181</v>
      </c>
      <c r="BT179" s="89">
        <v>-815.9</v>
      </c>
      <c r="BU179" s="89">
        <v>6319.9</v>
      </c>
      <c r="BV179" s="89"/>
      <c r="BW179" s="88">
        <v>6015.5387852383728</v>
      </c>
      <c r="BX179" s="89">
        <v>934.79235053837169</v>
      </c>
      <c r="BY179" s="89">
        <v>846.47392196837177</v>
      </c>
      <c r="BZ179" s="89">
        <v>88.31842856999998</v>
      </c>
      <c r="CA179" s="89">
        <v>6399.9135055171428</v>
      </c>
      <c r="CB179" s="89">
        <v>-1319.1670708171423</v>
      </c>
      <c r="CC179" s="88">
        <v>1077.3515590000002</v>
      </c>
      <c r="CD179" s="89">
        <v>32.936559000000003</v>
      </c>
      <c r="CE179" s="89">
        <v>123.975239</v>
      </c>
      <c r="CF179" s="89">
        <v>-91.038679999999999</v>
      </c>
      <c r="CG179" s="89">
        <v>1044.415</v>
      </c>
      <c r="CH179" s="89"/>
      <c r="CI179" s="88">
        <v>56811.7</v>
      </c>
      <c r="CJ179" s="89">
        <v>11585.5</v>
      </c>
      <c r="CK179" s="89">
        <v>11280.7</v>
      </c>
      <c r="CL179" s="89">
        <v>304.8</v>
      </c>
      <c r="CM179" s="89">
        <v>45945.200000000004</v>
      </c>
      <c r="CN179" s="89">
        <v>-719</v>
      </c>
      <c r="CO179" s="88"/>
      <c r="CP179" s="89"/>
      <c r="CQ179" s="89"/>
      <c r="CR179" s="89"/>
      <c r="CS179" s="89"/>
      <c r="CT179" s="89"/>
      <c r="CU179" s="88">
        <v>40890.031170287752</v>
      </c>
      <c r="CV179" s="89">
        <v>20073.301654619183</v>
      </c>
      <c r="CW179" s="89">
        <v>20399.509155530002</v>
      </c>
      <c r="CX179" s="89">
        <v>-326.20750091082022</v>
      </c>
      <c r="CY179" s="89">
        <v>20816.729515668572</v>
      </c>
      <c r="CZ179" s="89"/>
      <c r="DA179" s="88">
        <v>34538.872414199206</v>
      </c>
      <c r="DB179" s="89">
        <v>-2033.392928657913</v>
      </c>
      <c r="DC179" s="89">
        <v>-2780.4835828879131</v>
      </c>
      <c r="DD179" s="89">
        <v>747.09065422999993</v>
      </c>
      <c r="DE179" s="89">
        <v>58573.873630290669</v>
      </c>
      <c r="DF179" s="89">
        <v>-22001.608287433548</v>
      </c>
      <c r="DG179" s="88">
        <v>216360.9</v>
      </c>
      <c r="DH179" s="89">
        <v>145178.79999999999</v>
      </c>
      <c r="DI179" s="89"/>
      <c r="DJ179" s="89"/>
      <c r="DK179" s="89">
        <v>78451.600000000006</v>
      </c>
      <c r="DL179" s="89">
        <v>-7269.5</v>
      </c>
      <c r="DM179" s="88">
        <v>2606539.3021245296</v>
      </c>
      <c r="DN179" s="89">
        <v>1332277.3019999999</v>
      </c>
      <c r="DO179" s="89">
        <v>1224529.3019999999</v>
      </c>
      <c r="DP179" s="89">
        <v>107748</v>
      </c>
      <c r="DQ179" s="89">
        <v>1274262</v>
      </c>
      <c r="DR179" s="89"/>
      <c r="DS179" s="88">
        <v>45975.610384432577</v>
      </c>
      <c r="DT179" s="89">
        <v>41242.337081273341</v>
      </c>
      <c r="DU179" s="89">
        <v>40485.433861525395</v>
      </c>
      <c r="DV179" s="89">
        <v>756.90321974794301</v>
      </c>
      <c r="DW179" s="89">
        <v>15965.668530554027</v>
      </c>
      <c r="DX179" s="89">
        <v>-11232.395227394794</v>
      </c>
      <c r="DY179" s="88">
        <v>6347.6894859999993</v>
      </c>
      <c r="DZ179" s="89">
        <f t="shared" si="8"/>
        <v>-187.33763800000008</v>
      </c>
      <c r="EA179" s="89">
        <v>545.06723799999997</v>
      </c>
      <c r="EB179" s="89">
        <v>-732.40487600000006</v>
      </c>
      <c r="EC179" s="89">
        <v>6535.0271240000002</v>
      </c>
      <c r="ED179" s="89"/>
      <c r="EE179" s="88">
        <v>9304.5767198423819</v>
      </c>
      <c r="EF179" s="89">
        <v>31.707194309999977</v>
      </c>
      <c r="EG179" s="89">
        <v>31.707194309999977</v>
      </c>
      <c r="EH179" s="89">
        <v>0</v>
      </c>
      <c r="EI179" s="89">
        <v>11853.842424590001</v>
      </c>
      <c r="EJ179" s="89">
        <v>-2580.9728990576186</v>
      </c>
      <c r="EK179" s="88">
        <v>6111371.9157200009</v>
      </c>
      <c r="EL179" s="89">
        <v>-17796.553809999547</v>
      </c>
      <c r="EM179" s="89">
        <v>118566.03767000046</v>
      </c>
      <c r="EN179" s="89">
        <v>-136362.59148</v>
      </c>
      <c r="EO179" s="89">
        <v>6074066.068</v>
      </c>
      <c r="EP179" s="89">
        <v>55102.401530000003</v>
      </c>
      <c r="EQ179" s="88">
        <v>32014.501400200006</v>
      </c>
      <c r="ER179" s="89">
        <v>-6081.4245478400007</v>
      </c>
      <c r="ES179" s="89"/>
      <c r="ET179" s="89"/>
      <c r="EU179" s="89">
        <v>60463.983680160003</v>
      </c>
      <c r="EV179" s="89">
        <v>-22368.057732119996</v>
      </c>
      <c r="EW179" s="88">
        <v>342025.21082747134</v>
      </c>
      <c r="EX179" s="89">
        <f t="shared" si="14"/>
        <v>13985.031396999999</v>
      </c>
      <c r="EY179" s="89">
        <v>6274.0664159999978</v>
      </c>
      <c r="EZ179" s="89">
        <v>7710.964981000001</v>
      </c>
      <c r="FA179" s="89">
        <v>225159.02619368996</v>
      </c>
      <c r="FB179" s="89">
        <v>102881.15323678135</v>
      </c>
      <c r="FC179" s="88">
        <v>1013.536403</v>
      </c>
      <c r="FD179" s="89">
        <v>179.701403</v>
      </c>
      <c r="FE179" s="89">
        <v>240.741693</v>
      </c>
      <c r="FF179" s="89">
        <v>-61.040289999999999</v>
      </c>
      <c r="FG179" s="89">
        <v>833.83500000000004</v>
      </c>
      <c r="FH179" s="89"/>
      <c r="FI179" s="88">
        <v>623.38024900000005</v>
      </c>
      <c r="FJ179" s="89">
        <v>-43.353750999999995</v>
      </c>
      <c r="FK179" s="89">
        <v>57.32318200000001</v>
      </c>
      <c r="FL179" s="89">
        <v>-100.67693300000001</v>
      </c>
      <c r="FM179" s="89">
        <v>666.73400000000004</v>
      </c>
      <c r="FN179" s="89"/>
      <c r="FO179" s="88">
        <v>1480.5557229999999</v>
      </c>
      <c r="FP179" s="89">
        <v>-310.96327700000001</v>
      </c>
      <c r="FQ179" s="89">
        <v>-107.27640100000001</v>
      </c>
      <c r="FR179" s="89">
        <v>-203.68687599999998</v>
      </c>
      <c r="FS179" s="89">
        <v>1791.519</v>
      </c>
      <c r="FT179" s="89"/>
      <c r="FU179" s="88"/>
      <c r="FV179" s="89"/>
      <c r="FW179" s="89"/>
      <c r="FX179" s="89"/>
      <c r="FY179" s="89"/>
      <c r="FZ179" s="89"/>
      <c r="GA179" s="120">
        <v>14296</v>
      </c>
      <c r="GB179" s="121">
        <v>-7020.4</v>
      </c>
      <c r="GC179" s="121">
        <v>-9409.5</v>
      </c>
      <c r="GD179" s="121">
        <v>2389.1</v>
      </c>
      <c r="GE179" s="121">
        <v>21316.5</v>
      </c>
      <c r="GF179" s="89"/>
      <c r="GG179" s="88"/>
      <c r="GH179" s="89"/>
      <c r="GI179" s="89"/>
      <c r="GJ179" s="89"/>
      <c r="GK179" s="89"/>
      <c r="GL179" s="89"/>
      <c r="GM179" s="96">
        <v>33112.84337510154</v>
      </c>
      <c r="GN179" s="89">
        <v>9661.17060489908</v>
      </c>
      <c r="GO179" s="89">
        <v>9661.0742902891598</v>
      </c>
      <c r="GP179" s="94">
        <v>9.6314609920606017E-2</v>
      </c>
      <c r="GQ179" s="89">
        <v>16776.132258957299</v>
      </c>
      <c r="GR179" s="89">
        <v>6675.5405112451608</v>
      </c>
      <c r="GS179" s="96"/>
      <c r="GT179" s="87"/>
      <c r="GU179" s="87"/>
      <c r="GV179" s="110"/>
      <c r="GW179" s="87"/>
      <c r="GX179" s="87"/>
      <c r="GY179" s="110"/>
      <c r="GZ179" s="115"/>
      <c r="HA179" s="110"/>
      <c r="HB179" s="110"/>
      <c r="HC179" s="110"/>
      <c r="HD179" s="110"/>
      <c r="HE179" s="110"/>
      <c r="HF179" s="110"/>
      <c r="HG179" s="110"/>
      <c r="HH179" s="110"/>
      <c r="HI179" s="110"/>
      <c r="HJ179" s="110"/>
      <c r="HK179" s="110"/>
      <c r="HL179" s="115"/>
      <c r="HM179" s="110"/>
      <c r="HN179" s="110"/>
      <c r="HO179" s="87"/>
      <c r="HP179" s="87"/>
      <c r="HQ179" s="87"/>
      <c r="HR179" s="87"/>
      <c r="HS179" s="87"/>
    </row>
    <row r="180" spans="1:228">
      <c r="A180" s="69"/>
      <c r="B180" s="87" t="s">
        <v>497</v>
      </c>
      <c r="C180" s="88">
        <v>1689.9498470000001</v>
      </c>
      <c r="D180" s="87">
        <v>82.712847000000011</v>
      </c>
      <c r="E180" s="87">
        <v>252.797347</v>
      </c>
      <c r="F180" s="87">
        <v>-170.08449999999999</v>
      </c>
      <c r="G180" s="87">
        <v>1607.2370000000001</v>
      </c>
      <c r="H180" s="87"/>
      <c r="I180" s="88">
        <v>142858.80600000004</v>
      </c>
      <c r="J180" s="89">
        <v>164273.43400000001</v>
      </c>
      <c r="K180" s="89"/>
      <c r="L180" s="89"/>
      <c r="M180" s="89">
        <v>44398.406000000003</v>
      </c>
      <c r="N180" s="89">
        <v>-65808.034</v>
      </c>
      <c r="O180" s="90"/>
      <c r="P180" s="91"/>
      <c r="Q180" s="91"/>
      <c r="R180" s="91"/>
      <c r="S180" s="91"/>
      <c r="T180" s="91"/>
      <c r="U180" s="90">
        <v>4278.2240000000002</v>
      </c>
      <c r="V180" s="91">
        <v>1267.7</v>
      </c>
      <c r="W180" s="91">
        <v>852.6</v>
      </c>
      <c r="X180" s="91">
        <v>415.125</v>
      </c>
      <c r="Y180" s="91">
        <v>3010.5239999999999</v>
      </c>
      <c r="Z180" s="91"/>
      <c r="AA180" s="88">
        <v>1333.886</v>
      </c>
      <c r="AB180" s="89">
        <v>222.79499999999999</v>
      </c>
      <c r="AC180" s="89">
        <v>129.69399999999999</v>
      </c>
      <c r="AD180" s="89">
        <v>93.100999999999999</v>
      </c>
      <c r="AE180" s="89">
        <v>1111.0909999999999</v>
      </c>
      <c r="AF180" s="89"/>
      <c r="AG180" s="88">
        <v>39611.731155757123</v>
      </c>
      <c r="AH180" s="89">
        <v>10704.3435850482</v>
      </c>
      <c r="AI180" s="89">
        <v>10704.3435850482</v>
      </c>
      <c r="AJ180" s="89"/>
      <c r="AK180" s="89">
        <v>28907.387570708925</v>
      </c>
      <c r="AL180" s="89"/>
      <c r="AM180" s="88"/>
      <c r="AN180" s="89"/>
      <c r="AO180" s="89"/>
      <c r="AP180" s="89"/>
      <c r="AQ180" s="89"/>
      <c r="AR180" s="89"/>
      <c r="AS180" s="88">
        <v>33793000</v>
      </c>
      <c r="AT180" s="89">
        <v>2490000</v>
      </c>
      <c r="AU180" s="89">
        <v>2490000</v>
      </c>
      <c r="AV180" s="89"/>
      <c r="AW180" s="89">
        <v>35043000</v>
      </c>
      <c r="AX180" s="89">
        <v>-3740000</v>
      </c>
      <c r="AY180" s="88">
        <v>84232480.732956439</v>
      </c>
      <c r="AZ180" s="89">
        <f t="shared" si="13"/>
        <v>26770971.912320811</v>
      </c>
      <c r="BA180" s="89">
        <v>20753903.267018493</v>
      </c>
      <c r="BB180" s="89">
        <v>6017068.645302318</v>
      </c>
      <c r="BC180" s="89">
        <v>57461508.820635617</v>
      </c>
      <c r="BD180" s="89"/>
      <c r="BE180" s="88">
        <v>3555490.9738625898</v>
      </c>
      <c r="BF180" s="89">
        <v>697333.70982698991</v>
      </c>
      <c r="BG180" s="89">
        <v>672071.83114618994</v>
      </c>
      <c r="BH180" s="89">
        <v>25261.8786808</v>
      </c>
      <c r="BI180" s="89">
        <v>2460198.3300626101</v>
      </c>
      <c r="BJ180" s="89">
        <v>397958.93397299002</v>
      </c>
      <c r="BK180" s="88">
        <v>448.71694299999996</v>
      </c>
      <c r="BL180" s="89">
        <v>-3.8340569999999943</v>
      </c>
      <c r="BM180" s="89">
        <v>18.545073000000006</v>
      </c>
      <c r="BN180" s="89">
        <v>-22.37913</v>
      </c>
      <c r="BO180" s="89">
        <v>452.55099999999999</v>
      </c>
      <c r="BP180" s="89"/>
      <c r="BQ180" s="88">
        <v>5286.1</v>
      </c>
      <c r="BR180" s="89">
        <v>-1179</v>
      </c>
      <c r="BS180" s="89">
        <v>-302.89999999999998</v>
      </c>
      <c r="BT180" s="89">
        <v>-876.1</v>
      </c>
      <c r="BU180" s="89">
        <v>6465.2</v>
      </c>
      <c r="BV180" s="89"/>
      <c r="BW180" s="88">
        <v>5862.5168535519424</v>
      </c>
      <c r="BX180" s="89">
        <v>798.09796244337133</v>
      </c>
      <c r="BY180" s="89">
        <v>710.78753387337133</v>
      </c>
      <c r="BZ180" s="89">
        <v>87.310428569999999</v>
      </c>
      <c r="CA180" s="89">
        <v>6403.041163187143</v>
      </c>
      <c r="CB180" s="89">
        <v>-1338.6222720785715</v>
      </c>
      <c r="CC180" s="88">
        <v>1073.159257</v>
      </c>
      <c r="CD180" s="89">
        <v>34.501256999999995</v>
      </c>
      <c r="CE180" s="89">
        <v>122.425932</v>
      </c>
      <c r="CF180" s="89">
        <v>-87.924675000000008</v>
      </c>
      <c r="CG180" s="89">
        <v>1038.6579999999999</v>
      </c>
      <c r="CH180" s="89"/>
      <c r="CI180" s="88">
        <v>57464.3</v>
      </c>
      <c r="CJ180" s="89">
        <v>11506.300000000001</v>
      </c>
      <c r="CK180" s="89">
        <v>11166.1</v>
      </c>
      <c r="CL180" s="89">
        <v>340.2</v>
      </c>
      <c r="CM180" s="89">
        <v>46804.5</v>
      </c>
      <c r="CN180" s="89">
        <v>-846.5</v>
      </c>
      <c r="CO180" s="88">
        <v>27555.5</v>
      </c>
      <c r="CP180" s="89">
        <v>-10182.1</v>
      </c>
      <c r="CQ180" s="89">
        <v>-2870.9</v>
      </c>
      <c r="CR180" s="89">
        <v>-7311.2000000000007</v>
      </c>
      <c r="CS180" s="89">
        <v>47733.4</v>
      </c>
      <c r="CT180" s="89">
        <v>-9995.7999999999993</v>
      </c>
      <c r="CU180" s="88">
        <v>41941.573738156621</v>
      </c>
      <c r="CV180" s="89">
        <v>20939.641894866272</v>
      </c>
      <c r="CW180" s="89">
        <v>21242.747461292016</v>
      </c>
      <c r="CX180" s="89">
        <v>-303.10556642574414</v>
      </c>
      <c r="CY180" s="89">
        <v>21001.931843290349</v>
      </c>
      <c r="CZ180" s="89"/>
      <c r="DA180" s="88">
        <v>34834.829473115591</v>
      </c>
      <c r="DB180" s="89">
        <v>-2396.8103737569377</v>
      </c>
      <c r="DC180" s="89">
        <v>-3162.5557574369377</v>
      </c>
      <c r="DD180" s="89">
        <v>765.74538368000003</v>
      </c>
      <c r="DE180" s="89">
        <v>59126.011724201941</v>
      </c>
      <c r="DF180" s="89">
        <v>-21894.371877329413</v>
      </c>
      <c r="DG180" s="88">
        <v>222531.03900000002</v>
      </c>
      <c r="DH180" s="89">
        <v>151830.255</v>
      </c>
      <c r="DI180" s="89"/>
      <c r="DJ180" s="89"/>
      <c r="DK180" s="89">
        <v>79071.460999999996</v>
      </c>
      <c r="DL180" s="89">
        <v>-8370.6769999999997</v>
      </c>
      <c r="DM180" s="88">
        <v>2648749.5078463103</v>
      </c>
      <c r="DN180" s="89">
        <v>1371067.5079999999</v>
      </c>
      <c r="DO180" s="89">
        <v>1266944.5079999999</v>
      </c>
      <c r="DP180" s="89">
        <v>104123</v>
      </c>
      <c r="DQ180" s="89">
        <v>1277682</v>
      </c>
      <c r="DR180" s="89"/>
      <c r="DS180" s="88">
        <v>46790.268052425425</v>
      </c>
      <c r="DT180" s="89">
        <v>41142.684185964958</v>
      </c>
      <c r="DU180" s="89">
        <v>40349.161320780258</v>
      </c>
      <c r="DV180" s="89">
        <v>793.52286518469998</v>
      </c>
      <c r="DW180" s="89">
        <v>16233.419325836698</v>
      </c>
      <c r="DX180" s="89">
        <v>-10585.835459376238</v>
      </c>
      <c r="DY180" s="88">
        <v>6461.6752860000006</v>
      </c>
      <c r="DZ180" s="89">
        <f t="shared" si="8"/>
        <v>-144.33048800000006</v>
      </c>
      <c r="EA180" s="89">
        <v>555.628738</v>
      </c>
      <c r="EB180" s="89">
        <v>-699.95922600000006</v>
      </c>
      <c r="EC180" s="89">
        <v>6606.0057740000002</v>
      </c>
      <c r="ED180" s="89"/>
      <c r="EE180" s="88">
        <v>9227.542266827928</v>
      </c>
      <c r="EF180" s="89">
        <v>60.298101609999776</v>
      </c>
      <c r="EG180" s="89">
        <v>60.298101609999776</v>
      </c>
      <c r="EH180" s="89">
        <v>0</v>
      </c>
      <c r="EI180" s="89">
        <v>11949.224116059999</v>
      </c>
      <c r="EJ180" s="89">
        <v>-2781.9799508420697</v>
      </c>
      <c r="EK180" s="88">
        <v>5978941.7466859985</v>
      </c>
      <c r="EL180" s="89">
        <v>-177210.32411700007</v>
      </c>
      <c r="EM180" s="89">
        <v>-1066.4042520001531</v>
      </c>
      <c r="EN180" s="89">
        <v>-176143.91986499992</v>
      </c>
      <c r="EO180" s="89">
        <v>6103900.4914809987</v>
      </c>
      <c r="EP180" s="89">
        <v>52251.579321999998</v>
      </c>
      <c r="EQ180" s="88">
        <v>32318.262699720002</v>
      </c>
      <c r="ER180" s="89">
        <v>-5697.5448700799998</v>
      </c>
      <c r="ES180" s="89"/>
      <c r="ET180" s="89"/>
      <c r="EU180" s="89">
        <v>60350.324058799997</v>
      </c>
      <c r="EV180" s="89">
        <v>-22334.516488999994</v>
      </c>
      <c r="EW180" s="88">
        <v>338479.74956648983</v>
      </c>
      <c r="EX180" s="89">
        <f t="shared" si="14"/>
        <v>11938.612468069998</v>
      </c>
      <c r="EY180" s="89">
        <v>4960.5798895599983</v>
      </c>
      <c r="EZ180" s="89">
        <v>6978.0325785099994</v>
      </c>
      <c r="FA180" s="89">
        <v>224600.84990152001</v>
      </c>
      <c r="FB180" s="89">
        <v>101940.28719689985</v>
      </c>
      <c r="FC180" s="88">
        <v>1054.6047469999999</v>
      </c>
      <c r="FD180" s="89">
        <v>215.08474699999999</v>
      </c>
      <c r="FE180" s="89">
        <v>258.560204</v>
      </c>
      <c r="FF180" s="89">
        <v>-43.475456999999999</v>
      </c>
      <c r="FG180" s="89">
        <v>839.52</v>
      </c>
      <c r="FH180" s="89"/>
      <c r="FI180" s="88">
        <v>651.58578699999987</v>
      </c>
      <c r="FJ180" s="89">
        <v>-19.611212999999999</v>
      </c>
      <c r="FK180" s="89">
        <v>58.288288000000001</v>
      </c>
      <c r="FL180" s="89">
        <v>-77.899501000000001</v>
      </c>
      <c r="FM180" s="89">
        <v>671.197</v>
      </c>
      <c r="FN180" s="89"/>
      <c r="FO180" s="88">
        <v>1499.411454</v>
      </c>
      <c r="FP180" s="89">
        <v>-321.61854599999998</v>
      </c>
      <c r="FQ180" s="89">
        <v>-116.44166999999999</v>
      </c>
      <c r="FR180" s="89">
        <v>-205.17687599999999</v>
      </c>
      <c r="FS180" s="89">
        <v>1821.03</v>
      </c>
      <c r="FT180" s="89"/>
      <c r="FU180" s="88"/>
      <c r="FV180" s="89"/>
      <c r="FW180" s="89"/>
      <c r="FX180" s="89"/>
      <c r="FY180" s="89"/>
      <c r="FZ180" s="89"/>
      <c r="GA180" s="88">
        <v>13789.5</v>
      </c>
      <c r="GB180" s="89">
        <v>-7587.5</v>
      </c>
      <c r="GC180" s="89">
        <v>-10099.1</v>
      </c>
      <c r="GD180" s="89">
        <v>2511.6</v>
      </c>
      <c r="GE180" s="89">
        <v>21377</v>
      </c>
      <c r="GF180" s="89"/>
      <c r="GG180" s="88"/>
      <c r="GH180" s="89"/>
      <c r="GI180" s="89"/>
      <c r="GJ180" s="89"/>
      <c r="GK180" s="89"/>
      <c r="GL180" s="89"/>
      <c r="GM180" s="88">
        <v>34056.164360538693</v>
      </c>
      <c r="GN180" s="89">
        <v>9512.5442919548714</v>
      </c>
      <c r="GO180" s="89">
        <v>9512.4374172646312</v>
      </c>
      <c r="GP180" s="89">
        <v>0.10687469024024904</v>
      </c>
      <c r="GQ180" s="89">
        <v>17699.782567934169</v>
      </c>
      <c r="GR180" s="89">
        <v>6843.8375006496499</v>
      </c>
      <c r="GS180" s="88"/>
      <c r="GT180" s="87"/>
      <c r="GU180" s="87"/>
      <c r="GV180" s="110"/>
      <c r="GW180" s="87"/>
      <c r="GX180" s="87"/>
      <c r="GY180" s="110"/>
      <c r="GZ180" s="115"/>
      <c r="HA180" s="110"/>
      <c r="HB180" s="110"/>
      <c r="HC180" s="110"/>
      <c r="HD180" s="110"/>
      <c r="HE180" s="110"/>
      <c r="HF180" s="110"/>
      <c r="HG180" s="110"/>
      <c r="HH180" s="110"/>
      <c r="HI180" s="110"/>
      <c r="HJ180" s="110"/>
      <c r="HK180" s="110"/>
      <c r="HL180" s="115"/>
      <c r="HM180" s="110"/>
      <c r="HN180" s="110"/>
      <c r="HO180" s="87"/>
      <c r="HP180" s="87"/>
      <c r="HQ180" s="87"/>
      <c r="HR180" s="87"/>
      <c r="HS180" s="87"/>
    </row>
    <row r="181" spans="1:228">
      <c r="A181" s="69"/>
      <c r="B181" s="87" t="s">
        <v>498</v>
      </c>
      <c r="C181" s="88">
        <v>1665.7313319999998</v>
      </c>
      <c r="D181" s="87">
        <v>64.682331999999946</v>
      </c>
      <c r="E181" s="87">
        <v>230.88299699999996</v>
      </c>
      <c r="F181" s="87">
        <v>-166.20066500000001</v>
      </c>
      <c r="G181" s="87">
        <v>1601.049</v>
      </c>
      <c r="H181" s="87"/>
      <c r="I181" s="88">
        <v>144601.68900000001</v>
      </c>
      <c r="J181" s="89">
        <v>168561.50599999999</v>
      </c>
      <c r="K181" s="89"/>
      <c r="L181" s="89"/>
      <c r="M181" s="89">
        <v>45479.342000000004</v>
      </c>
      <c r="N181" s="89">
        <v>-69439.159</v>
      </c>
      <c r="O181" s="90"/>
      <c r="P181" s="91"/>
      <c r="Q181" s="91"/>
      <c r="R181" s="91"/>
      <c r="S181" s="91"/>
      <c r="T181" s="91"/>
      <c r="U181" s="90">
        <v>4351.5560000000005</v>
      </c>
      <c r="V181" s="91">
        <v>1236</v>
      </c>
      <c r="W181" s="91">
        <v>812.9</v>
      </c>
      <c r="X181" s="91">
        <v>423.053</v>
      </c>
      <c r="Y181" s="91">
        <v>3115.556</v>
      </c>
      <c r="Z181" s="91"/>
      <c r="AA181" s="88">
        <v>1314.575</v>
      </c>
      <c r="AB181" s="89">
        <v>194.458</v>
      </c>
      <c r="AC181" s="89">
        <v>147.94399999999999</v>
      </c>
      <c r="AD181" s="89">
        <v>46.514000000000003</v>
      </c>
      <c r="AE181" s="89">
        <v>1120.117</v>
      </c>
      <c r="AF181" s="89"/>
      <c r="AG181" s="88">
        <v>39627.441056358002</v>
      </c>
      <c r="AH181" s="89">
        <v>10850.593056358</v>
      </c>
      <c r="AI181" s="89">
        <v>10850.593056358</v>
      </c>
      <c r="AJ181" s="89"/>
      <c r="AK181" s="89">
        <v>28776.848000000002</v>
      </c>
      <c r="AL181" s="89"/>
      <c r="AM181" s="88"/>
      <c r="AN181" s="89"/>
      <c r="AO181" s="89"/>
      <c r="AP181" s="89"/>
      <c r="AQ181" s="89"/>
      <c r="AR181" s="89"/>
      <c r="AS181" s="88">
        <v>34107000</v>
      </c>
      <c r="AT181" s="89">
        <v>2261000</v>
      </c>
      <c r="AU181" s="89">
        <v>2261000</v>
      </c>
      <c r="AV181" s="89"/>
      <c r="AW181" s="89">
        <v>35812000</v>
      </c>
      <c r="AX181" s="89">
        <v>-3966000</v>
      </c>
      <c r="AY181" s="88">
        <v>84343484.154281497</v>
      </c>
      <c r="AZ181" s="89">
        <f t="shared" si="13"/>
        <v>26239342.741040647</v>
      </c>
      <c r="BA181" s="89">
        <v>20239040.393595349</v>
      </c>
      <c r="BB181" s="89">
        <v>6000302.3474452971</v>
      </c>
      <c r="BC181" s="89">
        <v>58104141.41324085</v>
      </c>
      <c r="BD181" s="89"/>
      <c r="BE181" s="88">
        <v>3570468.5908985101</v>
      </c>
      <c r="BF181" s="89">
        <v>789180.82808682998</v>
      </c>
      <c r="BG181" s="89">
        <v>764451.78226083994</v>
      </c>
      <c r="BH181" s="89">
        <v>24729.045825990001</v>
      </c>
      <c r="BI181" s="89">
        <v>2502544.9987078202</v>
      </c>
      <c r="BJ181" s="89">
        <v>278742.76410386001</v>
      </c>
      <c r="BK181" s="88">
        <v>456.17683399999999</v>
      </c>
      <c r="BL181" s="89">
        <v>-1.6751659999999973</v>
      </c>
      <c r="BM181" s="89">
        <v>22.075404000000002</v>
      </c>
      <c r="BN181" s="89">
        <v>-23.75057</v>
      </c>
      <c r="BO181" s="89">
        <v>457.85199999999998</v>
      </c>
      <c r="BP181" s="89"/>
      <c r="BQ181" s="88">
        <v>5438.9</v>
      </c>
      <c r="BR181" s="89">
        <v>-1215.3</v>
      </c>
      <c r="BS181" s="89">
        <v>-315.89999999999998</v>
      </c>
      <c r="BT181" s="89">
        <v>-899.4</v>
      </c>
      <c r="BU181" s="89">
        <v>6654.2</v>
      </c>
      <c r="BV181" s="89"/>
      <c r="BW181" s="88">
        <v>6061.7049918114863</v>
      </c>
      <c r="BX181" s="89">
        <v>951.64325298577137</v>
      </c>
      <c r="BY181" s="89">
        <v>862.92682441577131</v>
      </c>
      <c r="BZ181" s="89">
        <v>88.716428570000005</v>
      </c>
      <c r="CA181" s="89">
        <v>6522.6394387071432</v>
      </c>
      <c r="CB181" s="89">
        <v>-1412.577699881429</v>
      </c>
      <c r="CC181" s="88">
        <v>1056.840156</v>
      </c>
      <c r="CD181" s="89">
        <v>17.978155999999984</v>
      </c>
      <c r="CE181" s="89">
        <v>103.83604999999999</v>
      </c>
      <c r="CF181" s="89">
        <v>-85.857894000000002</v>
      </c>
      <c r="CG181" s="89">
        <v>1038.8620000000001</v>
      </c>
      <c r="CH181" s="89"/>
      <c r="CI181" s="88">
        <v>56684.1</v>
      </c>
      <c r="CJ181" s="89">
        <v>9953.4</v>
      </c>
      <c r="CK181" s="89">
        <v>9658.9</v>
      </c>
      <c r="CL181" s="89">
        <v>294.5</v>
      </c>
      <c r="CM181" s="89">
        <v>47463.200000000004</v>
      </c>
      <c r="CN181" s="89">
        <v>-732.6</v>
      </c>
      <c r="CO181" s="88"/>
      <c r="CP181" s="89"/>
      <c r="CQ181" s="89"/>
      <c r="CR181" s="89"/>
      <c r="CS181" s="89"/>
      <c r="CT181" s="89"/>
      <c r="CU181" s="88">
        <v>41949.569317221802</v>
      </c>
      <c r="CV181" s="89">
        <v>20658.318416167447</v>
      </c>
      <c r="CW181" s="89">
        <v>20738.203593291455</v>
      </c>
      <c r="CX181" s="89">
        <v>-79.885177124006148</v>
      </c>
      <c r="CY181" s="89">
        <v>21291.250901054354</v>
      </c>
      <c r="CZ181" s="89"/>
      <c r="DA181" s="88">
        <v>35826.013041843427</v>
      </c>
      <c r="DB181" s="89">
        <v>-600.63428796825963</v>
      </c>
      <c r="DC181" s="89">
        <v>-1812.9705351582597</v>
      </c>
      <c r="DD181" s="89">
        <v>1212.33624719</v>
      </c>
      <c r="DE181" s="89">
        <v>60153.192303747026</v>
      </c>
      <c r="DF181" s="89">
        <v>-23726.544973935343</v>
      </c>
      <c r="DG181" s="88">
        <v>219879.04799999998</v>
      </c>
      <c r="DH181" s="89">
        <v>150353.26199999999</v>
      </c>
      <c r="DI181" s="89"/>
      <c r="DJ181" s="89"/>
      <c r="DK181" s="89">
        <v>76569.84</v>
      </c>
      <c r="DL181" s="89">
        <v>-7044.0540000000001</v>
      </c>
      <c r="DM181" s="88">
        <v>2695416.6941919504</v>
      </c>
      <c r="DN181" s="89">
        <v>1386031.6939999999</v>
      </c>
      <c r="DO181" s="89">
        <v>1274758.6939999999</v>
      </c>
      <c r="DP181" s="89">
        <v>111273</v>
      </c>
      <c r="DQ181" s="89">
        <v>1309387</v>
      </c>
      <c r="DR181" s="89"/>
      <c r="DS181" s="88">
        <v>47258.058106095792</v>
      </c>
      <c r="DT181" s="89">
        <v>42651.720786646008</v>
      </c>
      <c r="DU181" s="89">
        <v>41862.439882761159</v>
      </c>
      <c r="DV181" s="89">
        <v>789.28090388484793</v>
      </c>
      <c r="DW181" s="89">
        <v>16648.606729501698</v>
      </c>
      <c r="DX181" s="89">
        <v>-12042.269410051917</v>
      </c>
      <c r="DY181" s="88">
        <v>6501.2055179999998</v>
      </c>
      <c r="DZ181" s="89">
        <f t="shared" si="8"/>
        <v>-173.49960299999998</v>
      </c>
      <c r="EA181" s="89">
        <v>538.16927599999997</v>
      </c>
      <c r="EB181" s="89">
        <v>-711.66887899999995</v>
      </c>
      <c r="EC181" s="89">
        <v>6674.705121</v>
      </c>
      <c r="ED181" s="89"/>
      <c r="EE181" s="88">
        <v>9311.1701111206821</v>
      </c>
      <c r="EF181" s="89">
        <v>110.25739328000031</v>
      </c>
      <c r="EG181" s="89">
        <v>110.25739328000031</v>
      </c>
      <c r="EH181" s="89">
        <v>0</v>
      </c>
      <c r="EI181" s="89">
        <v>12074.109293329999</v>
      </c>
      <c r="EJ181" s="89">
        <v>-2873.1965754893181</v>
      </c>
      <c r="EK181" s="88">
        <v>6197269.8674150994</v>
      </c>
      <c r="EL181" s="89">
        <v>-264809.34290250036</v>
      </c>
      <c r="EM181" s="89">
        <v>-30878.532871150412</v>
      </c>
      <c r="EN181" s="89">
        <v>-233930.81003134995</v>
      </c>
      <c r="EO181" s="89">
        <v>6406820.1663449993</v>
      </c>
      <c r="EP181" s="89">
        <v>55259.04397259999</v>
      </c>
      <c r="EQ181" s="88">
        <v>30447.527386360005</v>
      </c>
      <c r="ER181" s="89">
        <v>-8166.0859892799981</v>
      </c>
      <c r="ES181" s="89"/>
      <c r="ET181" s="89"/>
      <c r="EU181" s="89">
        <v>60898.973985599994</v>
      </c>
      <c r="EV181" s="89">
        <v>-22285.360609959993</v>
      </c>
      <c r="EW181" s="88">
        <v>339739.29432587931</v>
      </c>
      <c r="EX181" s="89">
        <f t="shared" si="14"/>
        <v>9409.8202970699967</v>
      </c>
      <c r="EY181" s="89">
        <v>4649.8383735599964</v>
      </c>
      <c r="EZ181" s="89">
        <v>4759.9819235100003</v>
      </c>
      <c r="FA181" s="89">
        <v>227777.13680621999</v>
      </c>
      <c r="FB181" s="89">
        <v>102552.3372225893</v>
      </c>
      <c r="FC181" s="88">
        <v>1062.1239890000002</v>
      </c>
      <c r="FD181" s="89">
        <v>215.60998900000001</v>
      </c>
      <c r="FE181" s="89">
        <v>269.40946300000002</v>
      </c>
      <c r="FF181" s="89">
        <v>-53.799474000000004</v>
      </c>
      <c r="FG181" s="89">
        <v>846.51400000000001</v>
      </c>
      <c r="FH181" s="89"/>
      <c r="FI181" s="88">
        <v>630.426694</v>
      </c>
      <c r="FJ181" s="89">
        <v>-44.158306000000003</v>
      </c>
      <c r="FK181" s="89">
        <v>33.469195000000006</v>
      </c>
      <c r="FL181" s="89">
        <v>-77.627501000000009</v>
      </c>
      <c r="FM181" s="89">
        <v>674.58500000000004</v>
      </c>
      <c r="FN181" s="89"/>
      <c r="FO181" s="88">
        <v>1538.9427700000001</v>
      </c>
      <c r="FP181" s="89">
        <v>-303.04122999999998</v>
      </c>
      <c r="FQ181" s="89">
        <v>-92.871353999999997</v>
      </c>
      <c r="FR181" s="89">
        <v>-210.16987599999999</v>
      </c>
      <c r="FS181" s="89">
        <v>1841.9839999999999</v>
      </c>
      <c r="FT181" s="89"/>
      <c r="FU181" s="88"/>
      <c r="FV181" s="89"/>
      <c r="FW181" s="89"/>
      <c r="FX181" s="89"/>
      <c r="FY181" s="89"/>
      <c r="FZ181" s="89"/>
      <c r="GA181" s="120">
        <v>16262</v>
      </c>
      <c r="GB181" s="121">
        <v>-5848.7999999999993</v>
      </c>
      <c r="GC181" s="121">
        <v>-8352.9</v>
      </c>
      <c r="GD181" s="121">
        <v>2504.1</v>
      </c>
      <c r="GE181" s="121">
        <v>22110.7</v>
      </c>
      <c r="GF181" s="89"/>
      <c r="GG181" s="88"/>
      <c r="GH181" s="89"/>
      <c r="GI181" s="89"/>
      <c r="GJ181" s="89"/>
      <c r="GK181" s="89"/>
      <c r="GL181" s="89"/>
      <c r="GM181" s="88">
        <v>35231.50068091588</v>
      </c>
      <c r="GN181" s="89">
        <v>9899.8860397265798</v>
      </c>
      <c r="GO181" s="89">
        <v>9899.7898480085896</v>
      </c>
      <c r="GP181" s="89">
        <v>9.6191717989742756E-2</v>
      </c>
      <c r="GQ181" s="89">
        <v>18683.523816766086</v>
      </c>
      <c r="GR181" s="89">
        <v>6648.0908244232087</v>
      </c>
      <c r="GS181" s="88"/>
      <c r="GT181" s="87"/>
      <c r="GU181" s="87"/>
      <c r="GV181" s="110"/>
      <c r="GW181" s="87"/>
      <c r="GX181" s="87"/>
      <c r="GY181" s="110"/>
      <c r="GZ181" s="115"/>
      <c r="HA181" s="110"/>
      <c r="HB181" s="110"/>
      <c r="HC181" s="110"/>
      <c r="HD181" s="110"/>
      <c r="HE181" s="110"/>
      <c r="HF181" s="110"/>
      <c r="HG181" s="110"/>
      <c r="HH181" s="110"/>
      <c r="HI181" s="110"/>
      <c r="HJ181" s="110"/>
      <c r="HK181" s="110"/>
      <c r="HL181" s="115"/>
      <c r="HM181" s="110"/>
      <c r="HN181" s="110"/>
      <c r="HO181" s="87"/>
      <c r="HP181" s="87"/>
      <c r="HQ181" s="87"/>
      <c r="HR181" s="87"/>
      <c r="HS181" s="87"/>
      <c r="HT181" s="87"/>
    </row>
    <row r="182" spans="1:228">
      <c r="A182" s="69"/>
      <c r="B182" s="87" t="s">
        <v>499</v>
      </c>
      <c r="C182" s="88">
        <v>1690.8724970000001</v>
      </c>
      <c r="D182" s="87">
        <v>83.351496999999995</v>
      </c>
      <c r="E182" s="87">
        <v>243.674162</v>
      </c>
      <c r="F182" s="87">
        <v>-160.322665</v>
      </c>
      <c r="G182" s="87">
        <v>1607.521</v>
      </c>
      <c r="H182" s="87"/>
      <c r="I182" s="88">
        <v>145566.39499999999</v>
      </c>
      <c r="J182" s="89">
        <v>168272.821</v>
      </c>
      <c r="K182" s="89"/>
      <c r="L182" s="89"/>
      <c r="M182" s="89">
        <v>46689.864999999998</v>
      </c>
      <c r="N182" s="89">
        <v>-69396.290999999997</v>
      </c>
      <c r="O182" s="90"/>
      <c r="P182" s="91"/>
      <c r="Q182" s="91"/>
      <c r="R182" s="91"/>
      <c r="S182" s="91"/>
      <c r="T182" s="91"/>
      <c r="U182" s="90">
        <v>4431.9590000000007</v>
      </c>
      <c r="V182" s="91">
        <v>1251.4000000000001</v>
      </c>
      <c r="W182" s="91">
        <v>833.2</v>
      </c>
      <c r="X182" s="91">
        <v>418.14600000000002</v>
      </c>
      <c r="Y182" s="91">
        <v>3180.5590000000002</v>
      </c>
      <c r="Z182" s="91"/>
      <c r="AA182" s="88">
        <v>1302.277</v>
      </c>
      <c r="AB182" s="89">
        <v>176.666</v>
      </c>
      <c r="AC182" s="89">
        <v>129.17400000000001</v>
      </c>
      <c r="AD182" s="89">
        <v>47.491999999999997</v>
      </c>
      <c r="AE182" s="89">
        <v>1125.6110000000001</v>
      </c>
      <c r="AF182" s="89"/>
      <c r="AG182" s="88">
        <v>39629.549756734312</v>
      </c>
      <c r="AH182" s="89">
        <v>10808.077572316</v>
      </c>
      <c r="AI182" s="89">
        <v>10808.077572316</v>
      </c>
      <c r="AJ182" s="89"/>
      <c r="AK182" s="89">
        <v>28821.472184418315</v>
      </c>
      <c r="AL182" s="89"/>
      <c r="AM182" s="88"/>
      <c r="AN182" s="89"/>
      <c r="AO182" s="89"/>
      <c r="AP182" s="89"/>
      <c r="AQ182" s="89"/>
      <c r="AR182" s="89"/>
      <c r="AS182" s="88">
        <v>34632000</v>
      </c>
      <c r="AT182" s="89">
        <v>2165000</v>
      </c>
      <c r="AU182" s="89">
        <v>2165000</v>
      </c>
      <c r="AV182" s="89"/>
      <c r="AW182" s="89">
        <v>36104000</v>
      </c>
      <c r="AX182" s="89">
        <v>-3637000</v>
      </c>
      <c r="AY182" s="88">
        <v>86876257.196822271</v>
      </c>
      <c r="AZ182" s="89">
        <f t="shared" si="13"/>
        <v>27890047.67822798</v>
      </c>
      <c r="BA182" s="89">
        <v>21900407.077972986</v>
      </c>
      <c r="BB182" s="89">
        <v>5989640.600254993</v>
      </c>
      <c r="BC182" s="89">
        <v>58986209.518594302</v>
      </c>
      <c r="BD182" s="89"/>
      <c r="BE182" s="88">
        <v>3579647.16333806</v>
      </c>
      <c r="BF182" s="89">
        <v>788996.98666268005</v>
      </c>
      <c r="BG182" s="89">
        <v>761667.68794321001</v>
      </c>
      <c r="BH182" s="89">
        <v>27329.29871947</v>
      </c>
      <c r="BI182" s="89">
        <v>2539299.9091435201</v>
      </c>
      <c r="BJ182" s="89">
        <v>251550.26753186001</v>
      </c>
      <c r="BK182" s="88">
        <v>451.50309700000003</v>
      </c>
      <c r="BL182" s="89">
        <v>-6.9979030000000044</v>
      </c>
      <c r="BM182" s="89">
        <v>15.404508999999997</v>
      </c>
      <c r="BN182" s="89">
        <v>-22.402412000000002</v>
      </c>
      <c r="BO182" s="89">
        <v>458.50099999999998</v>
      </c>
      <c r="BP182" s="89"/>
      <c r="BQ182" s="88">
        <v>5581.4</v>
      </c>
      <c r="BR182" s="89">
        <v>-1179.3</v>
      </c>
      <c r="BS182" s="89">
        <v>-239</v>
      </c>
      <c r="BT182" s="89">
        <v>-940.3</v>
      </c>
      <c r="BU182" s="89">
        <v>6760.7</v>
      </c>
      <c r="BV182" s="89"/>
      <c r="BW182" s="88">
        <v>5969.5522505676427</v>
      </c>
      <c r="BX182" s="89">
        <v>853.82007683907148</v>
      </c>
      <c r="BY182" s="89">
        <v>764.72264826907144</v>
      </c>
      <c r="BZ182" s="89">
        <v>89.097428569999991</v>
      </c>
      <c r="CA182" s="89">
        <v>6598.6424387071438</v>
      </c>
      <c r="CB182" s="89">
        <v>-1482.9102649785716</v>
      </c>
      <c r="CC182" s="88">
        <v>1028.3435499999998</v>
      </c>
      <c r="CD182" s="89">
        <v>-5.4084500000000162</v>
      </c>
      <c r="CE182" s="89">
        <v>84.792443999999989</v>
      </c>
      <c r="CF182" s="89">
        <v>-90.200894000000005</v>
      </c>
      <c r="CG182" s="89">
        <v>1033.752</v>
      </c>
      <c r="CH182" s="89"/>
      <c r="CI182" s="88">
        <v>57357</v>
      </c>
      <c r="CJ182" s="89">
        <v>9656.9</v>
      </c>
      <c r="CK182" s="89">
        <v>9410.6</v>
      </c>
      <c r="CL182" s="89">
        <v>246.3</v>
      </c>
      <c r="CM182" s="89">
        <v>48450.5</v>
      </c>
      <c r="CN182" s="89">
        <v>-750.5</v>
      </c>
      <c r="CO182" s="88"/>
      <c r="CP182" s="89"/>
      <c r="CQ182" s="89"/>
      <c r="CR182" s="89"/>
      <c r="CS182" s="89"/>
      <c r="CT182" s="89"/>
      <c r="CU182" s="88">
        <v>41574.440941581808</v>
      </c>
      <c r="CV182" s="89">
        <v>20178.486031286593</v>
      </c>
      <c r="CW182" s="89">
        <v>20537.826172238769</v>
      </c>
      <c r="CX182" s="89">
        <v>-359.34014095217617</v>
      </c>
      <c r="CY182" s="89">
        <v>21395.954910295211</v>
      </c>
      <c r="CZ182" s="89"/>
      <c r="DA182" s="88">
        <v>35091.993484623716</v>
      </c>
      <c r="DB182" s="89">
        <v>-1136.9087185202447</v>
      </c>
      <c r="DC182" s="89">
        <v>-2374.7606745202447</v>
      </c>
      <c r="DD182" s="89">
        <v>1237.851956</v>
      </c>
      <c r="DE182" s="89">
        <v>61148.039582523634</v>
      </c>
      <c r="DF182" s="89">
        <v>-24919.137379379677</v>
      </c>
      <c r="DG182" s="88">
        <v>219101.20299999998</v>
      </c>
      <c r="DH182" s="89">
        <v>145225.85699999999</v>
      </c>
      <c r="DI182" s="89"/>
      <c r="DJ182" s="89"/>
      <c r="DK182" s="89">
        <v>80587.694000000003</v>
      </c>
      <c r="DL182" s="89">
        <v>-6712.348</v>
      </c>
      <c r="DM182" s="88">
        <v>2721061.2705764598</v>
      </c>
      <c r="DN182" s="89">
        <v>1384814.273</v>
      </c>
      <c r="DO182" s="89">
        <v>1267962.273</v>
      </c>
      <c r="DP182" s="89">
        <v>116852</v>
      </c>
      <c r="DQ182" s="89">
        <v>1336247</v>
      </c>
      <c r="DR182" s="89"/>
      <c r="DS182" s="88">
        <v>47699.051551454912</v>
      </c>
      <c r="DT182" s="89">
        <v>42659.59842912935</v>
      </c>
      <c r="DU182" s="89">
        <v>41899.120784902028</v>
      </c>
      <c r="DV182" s="89">
        <v>760.47764422731996</v>
      </c>
      <c r="DW182" s="89">
        <v>17309.922018903202</v>
      </c>
      <c r="DX182" s="89">
        <v>-12270.468896577629</v>
      </c>
      <c r="DY182" s="88">
        <v>6545.6621150000001</v>
      </c>
      <c r="DZ182" s="89">
        <f t="shared" si="8"/>
        <v>-205.611377</v>
      </c>
      <c r="EA182" s="89">
        <v>459.02813099999997</v>
      </c>
      <c r="EB182" s="89">
        <v>-664.63950799999998</v>
      </c>
      <c r="EC182" s="89">
        <v>6751.2734919999994</v>
      </c>
      <c r="ED182" s="89"/>
      <c r="EE182" s="88">
        <v>9257.3705505587968</v>
      </c>
      <c r="EF182" s="89">
        <v>217.37464202000024</v>
      </c>
      <c r="EG182" s="89">
        <v>217.37464202000024</v>
      </c>
      <c r="EH182" s="89">
        <v>0</v>
      </c>
      <c r="EI182" s="89">
        <v>12155.599064089998</v>
      </c>
      <c r="EJ182" s="89">
        <v>-3115.6031555512009</v>
      </c>
      <c r="EK182" s="88">
        <v>6404753.4345817491</v>
      </c>
      <c r="EL182" s="89">
        <v>-275227.12074325013</v>
      </c>
      <c r="EM182" s="89">
        <v>-69068.030113750137</v>
      </c>
      <c r="EN182" s="89">
        <v>-206159.09062950002</v>
      </c>
      <c r="EO182" s="89">
        <v>6622215.0452649994</v>
      </c>
      <c r="EP182" s="89">
        <v>57765.510060000001</v>
      </c>
      <c r="EQ182" s="88">
        <v>31321.279693900007</v>
      </c>
      <c r="ER182" s="89">
        <v>-7549.3868387100001</v>
      </c>
      <c r="ES182" s="89"/>
      <c r="ET182" s="89"/>
      <c r="EU182" s="89">
        <v>61292.048543849996</v>
      </c>
      <c r="EV182" s="89">
        <v>-22421.382011239992</v>
      </c>
      <c r="EW182" s="88">
        <v>339159.01302939071</v>
      </c>
      <c r="EX182" s="89">
        <f t="shared" si="14"/>
        <v>7423.8981710699991</v>
      </c>
      <c r="EY182" s="89">
        <v>2690.9149685599987</v>
      </c>
      <c r="EZ182" s="89">
        <v>4732.9832025100004</v>
      </c>
      <c r="FA182" s="89">
        <v>226003.15947905998</v>
      </c>
      <c r="FB182" s="89">
        <v>105731.9553792607</v>
      </c>
      <c r="FC182" s="88">
        <v>1089.5150010000002</v>
      </c>
      <c r="FD182" s="89">
        <v>238.28700099999995</v>
      </c>
      <c r="FE182" s="89">
        <v>285.92547499999995</v>
      </c>
      <c r="FF182" s="89">
        <v>-47.638474000000002</v>
      </c>
      <c r="FG182" s="89">
        <v>851.22799999999995</v>
      </c>
      <c r="FH182" s="89"/>
      <c r="FI182" s="88">
        <v>615.234914</v>
      </c>
      <c r="FJ182" s="89">
        <v>-67.648086000000006</v>
      </c>
      <c r="FK182" s="89">
        <v>-8.3585860000000096</v>
      </c>
      <c r="FL182" s="89">
        <v>-59.289499999999997</v>
      </c>
      <c r="FM182" s="89">
        <v>682.88300000000004</v>
      </c>
      <c r="FN182" s="89"/>
      <c r="FO182" s="88">
        <v>1531.9993629999999</v>
      </c>
      <c r="FP182" s="89">
        <v>-325.28163699999999</v>
      </c>
      <c r="FQ182" s="89">
        <v>-138.95075999999997</v>
      </c>
      <c r="FR182" s="89">
        <v>-186.33087700000002</v>
      </c>
      <c r="FS182" s="89">
        <v>1857.2809999999999</v>
      </c>
      <c r="FT182" s="89"/>
      <c r="FU182" s="88"/>
      <c r="FV182" s="89"/>
      <c r="FW182" s="89"/>
      <c r="FX182" s="89"/>
      <c r="FY182" s="89"/>
      <c r="FZ182" s="89"/>
      <c r="GA182" s="120">
        <v>16877.900000000001</v>
      </c>
      <c r="GB182" s="121">
        <v>-5287.4</v>
      </c>
      <c r="GC182" s="121">
        <v>-7909.3</v>
      </c>
      <c r="GD182" s="121">
        <v>2621.9</v>
      </c>
      <c r="GE182" s="121">
        <v>22165.3</v>
      </c>
      <c r="GF182" s="89"/>
      <c r="GG182" s="88"/>
      <c r="GH182" s="89"/>
      <c r="GI182" s="89"/>
      <c r="GJ182" s="89"/>
      <c r="GK182" s="89"/>
      <c r="GL182" s="89"/>
      <c r="GM182" s="88">
        <v>38134.357294815542</v>
      </c>
      <c r="GN182" s="89">
        <v>10242.316463386049</v>
      </c>
      <c r="GO182" s="89">
        <v>10242.184325363231</v>
      </c>
      <c r="GP182" s="89">
        <v>0.13213802281953393</v>
      </c>
      <c r="GQ182" s="89">
        <v>20346.45647931135</v>
      </c>
      <c r="GR182" s="89">
        <v>7545.5843521181405</v>
      </c>
      <c r="GS182" s="88"/>
      <c r="GT182" s="87"/>
      <c r="GU182" s="87"/>
      <c r="GV182" s="110"/>
      <c r="GW182" s="87"/>
      <c r="GX182" s="87"/>
      <c r="GY182" s="110"/>
      <c r="GZ182" s="115"/>
      <c r="HA182" s="110"/>
      <c r="HB182" s="110"/>
      <c r="HC182" s="110"/>
      <c r="HD182" s="110"/>
      <c r="HE182" s="110"/>
      <c r="HF182" s="110"/>
      <c r="HG182" s="110"/>
      <c r="HH182" s="110"/>
      <c r="HI182" s="110"/>
      <c r="HJ182" s="110"/>
      <c r="HK182" s="110"/>
      <c r="HL182" s="115"/>
      <c r="HM182" s="110"/>
      <c r="HN182" s="110"/>
      <c r="HO182" s="87"/>
      <c r="HP182" s="87"/>
      <c r="HQ182" s="87"/>
      <c r="HR182" s="87"/>
      <c r="HS182" s="87"/>
    </row>
    <row r="183" spans="1:228" ht="12" thickBot="1">
      <c r="A183" s="102"/>
      <c r="B183" s="126" t="s">
        <v>500</v>
      </c>
      <c r="C183" s="104">
        <v>1686.9207200000001</v>
      </c>
      <c r="D183" s="105">
        <v>105.10972000000001</v>
      </c>
      <c r="E183" s="105">
        <v>267.60539800000004</v>
      </c>
      <c r="F183" s="105">
        <v>-162.49567800000003</v>
      </c>
      <c r="G183" s="105">
        <v>1581.8109999999999</v>
      </c>
      <c r="H183" s="105"/>
      <c r="I183" s="104">
        <v>146359.82799999998</v>
      </c>
      <c r="J183" s="105">
        <v>169919.70199999999</v>
      </c>
      <c r="K183" s="105"/>
      <c r="L183" s="105"/>
      <c r="M183" s="105">
        <v>46971.366999999998</v>
      </c>
      <c r="N183" s="105">
        <v>-70531.240999999995</v>
      </c>
      <c r="O183" s="104">
        <v>5227.2</v>
      </c>
      <c r="P183" s="105">
        <v>887.8</v>
      </c>
      <c r="Q183" s="105">
        <v>547.1</v>
      </c>
      <c r="R183" s="105">
        <v>340.7</v>
      </c>
      <c r="S183" s="105">
        <v>4339.3999999999996</v>
      </c>
      <c r="T183" s="105"/>
      <c r="U183" s="104">
        <v>4457.9160000000002</v>
      </c>
      <c r="V183" s="105">
        <v>1170.2</v>
      </c>
      <c r="W183" s="105">
        <v>737.2</v>
      </c>
      <c r="X183" s="105">
        <v>430.685</v>
      </c>
      <c r="Y183" s="105">
        <v>3287.7160000000003</v>
      </c>
      <c r="Z183" s="105"/>
      <c r="AA183" s="104">
        <v>1364.5440000000001</v>
      </c>
      <c r="AB183" s="105">
        <v>233.31100000000001</v>
      </c>
      <c r="AC183" s="105">
        <v>186.405</v>
      </c>
      <c r="AD183" s="105">
        <v>46.905999999999999</v>
      </c>
      <c r="AE183" s="105">
        <v>1131.2329999999999</v>
      </c>
      <c r="AF183" s="105"/>
      <c r="AG183" s="104">
        <v>40393.549833295256</v>
      </c>
      <c r="AH183" s="105">
        <v>11071.133098412</v>
      </c>
      <c r="AI183" s="105">
        <v>11071.133098412</v>
      </c>
      <c r="AJ183" s="105"/>
      <c r="AK183" s="105">
        <v>29322.416734883253</v>
      </c>
      <c r="AL183" s="105"/>
      <c r="AM183" s="104">
        <v>1427372</v>
      </c>
      <c r="AN183" s="105">
        <v>822579</v>
      </c>
      <c r="AO183" s="105">
        <v>802946</v>
      </c>
      <c r="AP183" s="105">
        <v>19633</v>
      </c>
      <c r="AQ183" s="105">
        <v>575046</v>
      </c>
      <c r="AR183" s="105">
        <v>29748</v>
      </c>
      <c r="AS183" s="104">
        <v>35044000</v>
      </c>
      <c r="AT183" s="105">
        <v>1553000</v>
      </c>
      <c r="AU183" s="105">
        <v>1553000</v>
      </c>
      <c r="AV183" s="105"/>
      <c r="AW183" s="105">
        <v>36317000</v>
      </c>
      <c r="AX183" s="105">
        <v>-2826000</v>
      </c>
      <c r="AY183" s="104">
        <v>90372188.903263569</v>
      </c>
      <c r="AZ183" s="105">
        <f t="shared" si="13"/>
        <v>31790809.193277091</v>
      </c>
      <c r="BA183" s="105">
        <v>25648544.921676524</v>
      </c>
      <c r="BB183" s="105">
        <v>6142264.2716005687</v>
      </c>
      <c r="BC183" s="105">
        <v>58581379.709986471</v>
      </c>
      <c r="BD183" s="105"/>
      <c r="BE183" s="104">
        <v>3636156.8945980598</v>
      </c>
      <c r="BF183" s="105">
        <v>788708.45081583993</v>
      </c>
      <c r="BG183" s="105">
        <v>747305.83324807999</v>
      </c>
      <c r="BH183" s="105">
        <v>41402.617567759997</v>
      </c>
      <c r="BI183" s="105">
        <v>2607424.3329558098</v>
      </c>
      <c r="BJ183" s="105">
        <v>240024.11082641</v>
      </c>
      <c r="BK183" s="104">
        <v>449.95447699999994</v>
      </c>
      <c r="BL183" s="105">
        <v>-8.1295229999999954</v>
      </c>
      <c r="BM183" s="105">
        <v>14.500600000000006</v>
      </c>
      <c r="BN183" s="105">
        <v>-22.630123000000001</v>
      </c>
      <c r="BO183" s="105">
        <v>458.084</v>
      </c>
      <c r="BP183" s="105"/>
      <c r="BQ183" s="104">
        <v>5434.7</v>
      </c>
      <c r="BR183" s="105">
        <v>-1460.8</v>
      </c>
      <c r="BS183" s="105">
        <v>-537.9</v>
      </c>
      <c r="BT183" s="105">
        <v>-922.9</v>
      </c>
      <c r="BU183" s="105">
        <v>6895.5</v>
      </c>
      <c r="BV183" s="105"/>
      <c r="BW183" s="104">
        <v>5927.984120942685</v>
      </c>
      <c r="BX183" s="105">
        <v>804.7709593869713</v>
      </c>
      <c r="BY183" s="105">
        <v>710.71467366697129</v>
      </c>
      <c r="BZ183" s="105">
        <v>94.056285720000005</v>
      </c>
      <c r="CA183" s="105">
        <v>6609.2087296771424</v>
      </c>
      <c r="CB183" s="105">
        <v>-1485.9955681214285</v>
      </c>
      <c r="CC183" s="104">
        <v>1010.369116</v>
      </c>
      <c r="CD183" s="105">
        <v>-19.162884000000005</v>
      </c>
      <c r="CE183" s="105">
        <v>71.638784000000001</v>
      </c>
      <c r="CF183" s="105">
        <v>-90.801668000000006</v>
      </c>
      <c r="CG183" s="105">
        <v>1029.5319999999999</v>
      </c>
      <c r="CH183" s="105"/>
      <c r="CI183" s="104">
        <v>59576</v>
      </c>
      <c r="CJ183" s="105">
        <v>10230.5</v>
      </c>
      <c r="CK183" s="105">
        <v>9948.4</v>
      </c>
      <c r="CL183" s="105">
        <v>282.10000000000002</v>
      </c>
      <c r="CM183" s="105">
        <v>49894.7</v>
      </c>
      <c r="CN183" s="105">
        <v>-549.1</v>
      </c>
      <c r="CO183" s="104">
        <v>37419</v>
      </c>
      <c r="CP183" s="105">
        <v>-942.9</v>
      </c>
      <c r="CQ183" s="105">
        <v>9551.6</v>
      </c>
      <c r="CR183" s="105">
        <v>-10494.5</v>
      </c>
      <c r="CS183" s="105">
        <v>48386</v>
      </c>
      <c r="CT183" s="105">
        <v>-10023.9</v>
      </c>
      <c r="CU183" s="104">
        <v>41816.94972123504</v>
      </c>
      <c r="CV183" s="105">
        <v>20141.571095660722</v>
      </c>
      <c r="CW183" s="105">
        <v>20482.861561656791</v>
      </c>
      <c r="CX183" s="105">
        <v>-341.29046599606625</v>
      </c>
      <c r="CY183" s="105">
        <v>21675.378625574314</v>
      </c>
      <c r="CZ183" s="103"/>
      <c r="DA183" s="104">
        <v>35667.149606945968</v>
      </c>
      <c r="DB183" s="105">
        <v>-1867.9129610328</v>
      </c>
      <c r="DC183" s="105">
        <v>-3115.6423166728</v>
      </c>
      <c r="DD183" s="105">
        <v>1247.72935564</v>
      </c>
      <c r="DE183" s="105">
        <v>62021.455406416571</v>
      </c>
      <c r="DF183" s="105">
        <v>-24486.392838437805</v>
      </c>
      <c r="DG183" s="104">
        <v>224248.11800000002</v>
      </c>
      <c r="DH183" s="105">
        <v>145025.80300000001</v>
      </c>
      <c r="DI183" s="105"/>
      <c r="DJ183" s="105"/>
      <c r="DK183" s="105">
        <v>82723.763999999996</v>
      </c>
      <c r="DL183" s="105">
        <v>-3501.4490000000001</v>
      </c>
      <c r="DM183" s="104">
        <v>2725100.6611951902</v>
      </c>
      <c r="DN183" s="105">
        <v>1422569.6610000001</v>
      </c>
      <c r="DO183" s="105">
        <v>1273357.6610000001</v>
      </c>
      <c r="DP183" s="105">
        <v>149212</v>
      </c>
      <c r="DQ183" s="105">
        <v>1304531</v>
      </c>
      <c r="DR183" s="105"/>
      <c r="DS183" s="104">
        <v>48010.127359632825</v>
      </c>
      <c r="DT183" s="105">
        <v>41866.150184663064</v>
      </c>
      <c r="DU183" s="105">
        <v>41006.885659759806</v>
      </c>
      <c r="DV183" s="105">
        <v>859.26452490326005</v>
      </c>
      <c r="DW183" s="105">
        <v>18131.85829091812</v>
      </c>
      <c r="DX183" s="105">
        <v>-11987.88111594837</v>
      </c>
      <c r="DY183" s="104">
        <v>6526.3458899999996</v>
      </c>
      <c r="DZ183" s="105">
        <f t="shared" si="8"/>
        <v>-206.48443399999996</v>
      </c>
      <c r="EA183" s="105">
        <v>471.79524200000003</v>
      </c>
      <c r="EB183" s="105">
        <v>-678.27967599999999</v>
      </c>
      <c r="EC183" s="105">
        <v>6732.8303240000005</v>
      </c>
      <c r="ED183" s="105"/>
      <c r="EE183" s="104">
        <v>8958.2037667053119</v>
      </c>
      <c r="EF183" s="105">
        <v>-2.0107588799998668</v>
      </c>
      <c r="EG183" s="105">
        <v>-2.9420628799998667</v>
      </c>
      <c r="EH183" s="105">
        <v>0.93130399999999991</v>
      </c>
      <c r="EI183" s="105">
        <v>12067.366063689999</v>
      </c>
      <c r="EJ183" s="105">
        <v>-3107.1515381046856</v>
      </c>
      <c r="EK183" s="104">
        <v>7267586.3720985297</v>
      </c>
      <c r="EL183" s="105">
        <v>558792.21972116979</v>
      </c>
      <c r="EM183" s="105">
        <v>469699.3398808497</v>
      </c>
      <c r="EN183" s="105">
        <v>89092.879840320049</v>
      </c>
      <c r="EO183" s="105">
        <v>6653619.5910257595</v>
      </c>
      <c r="EP183" s="105">
        <v>55174.561351599994</v>
      </c>
      <c r="EQ183" s="104">
        <v>32583.269656880006</v>
      </c>
      <c r="ER183" s="105">
        <v>-6726.51991008</v>
      </c>
      <c r="ES183" s="105"/>
      <c r="ET183" s="105"/>
      <c r="EU183" s="105">
        <v>61501.559106000001</v>
      </c>
      <c r="EV183" s="105">
        <v>-22191.769539039997</v>
      </c>
      <c r="EW183" s="104">
        <v>349561.1445680738</v>
      </c>
      <c r="EX183" s="105">
        <f t="shared" si="14"/>
        <v>54086.824896499995</v>
      </c>
      <c r="EY183" s="105">
        <v>48840.836492189992</v>
      </c>
      <c r="EZ183" s="105">
        <v>5245.9884043100001</v>
      </c>
      <c r="FA183" s="105">
        <v>221273.88879140999</v>
      </c>
      <c r="FB183" s="105">
        <v>74200.430880163796</v>
      </c>
      <c r="FC183" s="104">
        <v>1088.2763909999999</v>
      </c>
      <c r="FD183" s="105">
        <v>216.43939099999994</v>
      </c>
      <c r="FE183" s="105">
        <v>262.96978599999994</v>
      </c>
      <c r="FF183" s="105">
        <v>-46.530394999999999</v>
      </c>
      <c r="FG183" s="105">
        <v>871.83699999999999</v>
      </c>
      <c r="FH183" s="105"/>
      <c r="FI183" s="104">
        <v>622.94100700000001</v>
      </c>
      <c r="FJ183" s="105">
        <v>-54.055993000000015</v>
      </c>
      <c r="FK183" s="105">
        <v>9.1325069999999826</v>
      </c>
      <c r="FL183" s="105">
        <v>-63.188499999999998</v>
      </c>
      <c r="FM183" s="105">
        <v>676.99699999999996</v>
      </c>
      <c r="FN183" s="103"/>
      <c r="FO183" s="104">
        <v>1537.2972149999998</v>
      </c>
      <c r="FP183" s="105">
        <v>-324.49178500000005</v>
      </c>
      <c r="FQ183" s="105">
        <v>-130.27290800000003</v>
      </c>
      <c r="FR183" s="105">
        <v>-194.21887700000002</v>
      </c>
      <c r="FS183" s="105">
        <v>1861.789</v>
      </c>
      <c r="FT183" s="105"/>
      <c r="FU183" s="104"/>
      <c r="FV183" s="105"/>
      <c r="FW183" s="105"/>
      <c r="FX183" s="105"/>
      <c r="FY183" s="105"/>
      <c r="FZ183" s="105"/>
      <c r="GA183" s="104">
        <v>13623.8</v>
      </c>
      <c r="GB183" s="105">
        <v>-8619.0999999999985</v>
      </c>
      <c r="GC183" s="105">
        <v>-10762.8</v>
      </c>
      <c r="GD183" s="105">
        <v>2143.6999999999998</v>
      </c>
      <c r="GE183" s="105">
        <v>22242.9</v>
      </c>
      <c r="GF183" s="108"/>
      <c r="GG183" s="109"/>
      <c r="GH183" s="108"/>
      <c r="GI183" s="108"/>
      <c r="GJ183" s="108"/>
      <c r="GK183" s="108"/>
      <c r="GL183" s="108"/>
      <c r="GM183" s="109">
        <v>40635.222468826425</v>
      </c>
      <c r="GN183" s="108">
        <v>9523.9710512834499</v>
      </c>
      <c r="GO183" s="108">
        <v>9523.8746717006798</v>
      </c>
      <c r="GP183" s="108">
        <v>9.6379582770168781E-2</v>
      </c>
      <c r="GQ183" s="108">
        <v>22849.904227351599</v>
      </c>
      <c r="GR183" s="129">
        <v>8261.3471904914204</v>
      </c>
    </row>
    <row r="184" spans="1:228">
      <c r="A184" s="86">
        <v>2005</v>
      </c>
      <c r="B184" s="87" t="s">
        <v>489</v>
      </c>
      <c r="C184" s="88">
        <v>1697.4708699999999</v>
      </c>
      <c r="D184" s="87">
        <v>108.39887000000002</v>
      </c>
      <c r="E184" s="87">
        <v>275.49654800000002</v>
      </c>
      <c r="F184" s="87">
        <v>-167.097678</v>
      </c>
      <c r="G184" s="87">
        <v>1589.0719999999999</v>
      </c>
      <c r="H184" s="87"/>
      <c r="I184" s="88">
        <v>147240.739</v>
      </c>
      <c r="J184" s="89">
        <v>171716.215</v>
      </c>
      <c r="K184" s="89"/>
      <c r="L184" s="89"/>
      <c r="M184" s="89">
        <v>47875.5</v>
      </c>
      <c r="N184" s="89">
        <v>-72350.975999999995</v>
      </c>
      <c r="O184" s="90"/>
      <c r="P184" s="91"/>
      <c r="Q184" s="91"/>
      <c r="R184" s="91"/>
      <c r="S184" s="91"/>
      <c r="T184" s="91"/>
      <c r="U184" s="90">
        <v>4572.2250000000004</v>
      </c>
      <c r="V184" s="91">
        <v>1236</v>
      </c>
      <c r="W184" s="91">
        <v>806.4</v>
      </c>
      <c r="X184" s="91">
        <v>429.59099999999995</v>
      </c>
      <c r="Y184" s="91">
        <v>3336.2250000000004</v>
      </c>
      <c r="Z184" s="91"/>
      <c r="AA184" s="88">
        <v>1330.78</v>
      </c>
      <c r="AB184" s="89">
        <v>193.167</v>
      </c>
      <c r="AC184" s="89">
        <v>146.708</v>
      </c>
      <c r="AD184" s="89">
        <v>46.459000000000003</v>
      </c>
      <c r="AE184" s="89">
        <v>1137.6130000000001</v>
      </c>
      <c r="AF184" s="89"/>
      <c r="AG184" s="88">
        <v>39936.692071190002</v>
      </c>
      <c r="AH184" s="89">
        <v>10823.91607119</v>
      </c>
      <c r="AI184" s="89">
        <v>10823.91607119</v>
      </c>
      <c r="AJ184" s="89"/>
      <c r="AK184" s="89">
        <v>29112.776000000005</v>
      </c>
      <c r="AL184" s="89"/>
      <c r="AM184" s="88">
        <v>1460719</v>
      </c>
      <c r="AN184" s="89">
        <v>827271</v>
      </c>
      <c r="AO184" s="89">
        <v>807774</v>
      </c>
      <c r="AP184" s="89">
        <v>19497</v>
      </c>
      <c r="AQ184" s="89">
        <v>580718</v>
      </c>
      <c r="AR184" s="89">
        <v>52729</v>
      </c>
      <c r="AS184" s="88">
        <v>34576000</v>
      </c>
      <c r="AT184" s="89">
        <v>1568000</v>
      </c>
      <c r="AU184" s="89">
        <v>1568000</v>
      </c>
      <c r="AV184" s="89"/>
      <c r="AW184" s="89">
        <v>36884000</v>
      </c>
      <c r="AX184" s="89">
        <v>-3876000</v>
      </c>
      <c r="AY184" s="88">
        <v>88619227.868345559</v>
      </c>
      <c r="AZ184" s="89">
        <f t="shared" si="13"/>
        <v>30125583.380818058</v>
      </c>
      <c r="BA184" s="89">
        <v>24101749.850650195</v>
      </c>
      <c r="BB184" s="89">
        <v>6023833.5301678618</v>
      </c>
      <c r="BC184" s="89">
        <v>58493644.487527505</v>
      </c>
      <c r="BD184" s="89"/>
      <c r="BE184" s="88">
        <v>3669071.3946421901</v>
      </c>
      <c r="BF184" s="89">
        <v>811508.63137381</v>
      </c>
      <c r="BG184" s="89">
        <v>770363.16868564999</v>
      </c>
      <c r="BH184" s="89">
        <v>41145.462688159998</v>
      </c>
      <c r="BI184" s="89">
        <v>2620326.4888550797</v>
      </c>
      <c r="BJ184" s="89">
        <v>237236.27441330001</v>
      </c>
      <c r="BK184" s="88">
        <v>445.58589699999999</v>
      </c>
      <c r="BL184" s="89">
        <v>-12.894102999999999</v>
      </c>
      <c r="BM184" s="89">
        <v>11.083455000000002</v>
      </c>
      <c r="BN184" s="89">
        <v>-23.977558000000002</v>
      </c>
      <c r="BO184" s="89">
        <v>458.48</v>
      </c>
      <c r="BP184" s="89"/>
      <c r="BQ184" s="88">
        <v>5361.2</v>
      </c>
      <c r="BR184" s="89">
        <v>-1548.1</v>
      </c>
      <c r="BS184" s="89">
        <v>-543.79999999999995</v>
      </c>
      <c r="BT184" s="89">
        <v>-1004.3</v>
      </c>
      <c r="BU184" s="89">
        <v>6909.4</v>
      </c>
      <c r="BV184" s="89"/>
      <c r="BW184" s="88">
        <v>8100.6845501670423</v>
      </c>
      <c r="BX184" s="89">
        <v>2246.7961426584716</v>
      </c>
      <c r="BY184" s="89">
        <v>1635.9900934584716</v>
      </c>
      <c r="BZ184" s="89">
        <v>610.80604919999996</v>
      </c>
      <c r="CA184" s="89">
        <v>6758.8885752571423</v>
      </c>
      <c r="CB184" s="89">
        <v>-905.00016774857113</v>
      </c>
      <c r="CC184" s="88">
        <v>958.08644800000013</v>
      </c>
      <c r="CD184" s="89">
        <v>-59.477552000000017</v>
      </c>
      <c r="CE184" s="89">
        <v>37.232839999999996</v>
      </c>
      <c r="CF184" s="89">
        <v>-96.710392000000013</v>
      </c>
      <c r="CG184" s="89">
        <v>1017.564</v>
      </c>
      <c r="CH184" s="89"/>
      <c r="CI184" s="88">
        <v>59768.9</v>
      </c>
      <c r="CJ184" s="89">
        <v>10206.1</v>
      </c>
      <c r="CK184" s="89">
        <v>9848.2000000000007</v>
      </c>
      <c r="CL184" s="89">
        <v>357.9</v>
      </c>
      <c r="CM184" s="89">
        <v>50431.1</v>
      </c>
      <c r="CN184" s="89">
        <v>-868.3</v>
      </c>
      <c r="CO184" s="88">
        <v>36526.199999999997</v>
      </c>
      <c r="CP184" s="89">
        <v>-1589.4</v>
      </c>
      <c r="CQ184" s="89">
        <v>9733.1</v>
      </c>
      <c r="CR184" s="89">
        <v>-11322.5</v>
      </c>
      <c r="CS184" s="89">
        <v>48175.1</v>
      </c>
      <c r="CT184" s="89">
        <v>-10059.6</v>
      </c>
      <c r="CU184" s="88">
        <v>41780.035350723992</v>
      </c>
      <c r="CV184" s="89">
        <v>20228.598351670033</v>
      </c>
      <c r="CW184" s="89">
        <v>20616.093586997893</v>
      </c>
      <c r="CX184" s="89">
        <v>-387.49523532786014</v>
      </c>
      <c r="CY184" s="89">
        <v>21551.43699905396</v>
      </c>
      <c r="CZ184" s="89"/>
      <c r="DA184" s="88">
        <v>30629.683554482934</v>
      </c>
      <c r="DB184" s="89">
        <v>-2828.2869236126849</v>
      </c>
      <c r="DC184" s="89">
        <v>-4251.6451457630355</v>
      </c>
      <c r="DD184" s="89">
        <v>1423.3582221503509</v>
      </c>
      <c r="DE184" s="89">
        <v>61912.456102330572</v>
      </c>
      <c r="DF184" s="89">
        <v>-28454.485624234952</v>
      </c>
      <c r="DG184" s="88">
        <v>227663.18800000002</v>
      </c>
      <c r="DH184" s="89">
        <v>147701.29399999999</v>
      </c>
      <c r="DI184" s="89"/>
      <c r="DJ184" s="89"/>
      <c r="DK184" s="89">
        <v>84993.308000000005</v>
      </c>
      <c r="DL184" s="89">
        <v>-5031.4139999999998</v>
      </c>
      <c r="DM184" s="88">
        <v>2722542.73057946</v>
      </c>
      <c r="DN184" s="89">
        <v>1422715.7309999999</v>
      </c>
      <c r="DO184" s="89">
        <v>1277452.7309999999</v>
      </c>
      <c r="DP184" s="89">
        <v>145263</v>
      </c>
      <c r="DQ184" s="89">
        <v>1299827</v>
      </c>
      <c r="DR184" s="89"/>
      <c r="DS184" s="88">
        <v>48589.625928596084</v>
      </c>
      <c r="DT184" s="89">
        <v>41890.869216308762</v>
      </c>
      <c r="DU184" s="89">
        <v>41074.874682267648</v>
      </c>
      <c r="DV184" s="89">
        <v>815.99453404111603</v>
      </c>
      <c r="DW184" s="89">
        <v>18301.109719505534</v>
      </c>
      <c r="DX184" s="89">
        <v>-11602.353007218204</v>
      </c>
      <c r="DY184" s="88">
        <v>6266.2878150000006</v>
      </c>
      <c r="DZ184" s="89">
        <f t="shared" si="8"/>
        <v>-223.96869100000004</v>
      </c>
      <c r="EA184" s="89">
        <v>717.34580299999993</v>
      </c>
      <c r="EB184" s="89">
        <v>-941.31449399999997</v>
      </c>
      <c r="EC184" s="89">
        <v>6490.2565059999997</v>
      </c>
      <c r="ED184" s="89"/>
      <c r="EE184" s="88">
        <v>8426.7466824608837</v>
      </c>
      <c r="EF184" s="89">
        <v>-537.1002796000007</v>
      </c>
      <c r="EG184" s="89">
        <v>-537.94683960000066</v>
      </c>
      <c r="EH184" s="89">
        <v>0.84655999999999998</v>
      </c>
      <c r="EI184" s="89">
        <v>12149.591696699999</v>
      </c>
      <c r="EJ184" s="89">
        <v>-3185.7447346391145</v>
      </c>
      <c r="EK184" s="88">
        <v>7273371.9668454006</v>
      </c>
      <c r="EL184" s="89">
        <v>436670.60378520074</v>
      </c>
      <c r="EM184" s="89">
        <v>369931.29050450074</v>
      </c>
      <c r="EN184" s="89">
        <v>66739.313280699993</v>
      </c>
      <c r="EO184" s="89">
        <v>6777816.9556569997</v>
      </c>
      <c r="EP184" s="89">
        <v>58884.407403200006</v>
      </c>
      <c r="EQ184" s="88">
        <v>31083.465650739996</v>
      </c>
      <c r="ER184" s="89">
        <v>-8008.9903407399997</v>
      </c>
      <c r="ES184" s="89"/>
      <c r="ET184" s="89"/>
      <c r="EU184" s="89">
        <v>61147.591459479998</v>
      </c>
      <c r="EV184" s="89">
        <v>-22055.135468</v>
      </c>
      <c r="EW184" s="88">
        <v>343189.82203101122</v>
      </c>
      <c r="EX184" s="89">
        <f t="shared" si="14"/>
        <v>50329.298465499996</v>
      </c>
      <c r="EY184" s="89">
        <v>45679.954151189995</v>
      </c>
      <c r="EZ184" s="89">
        <v>4649.3443143099994</v>
      </c>
      <c r="FA184" s="89">
        <v>217221.32841551999</v>
      </c>
      <c r="FB184" s="89">
        <v>75639.195149991167</v>
      </c>
      <c r="FC184" s="88">
        <v>1097.730421</v>
      </c>
      <c r="FD184" s="89">
        <v>236.68042100000002</v>
      </c>
      <c r="FE184" s="89">
        <v>510.39073300000001</v>
      </c>
      <c r="FF184" s="89">
        <v>-273.71031199999999</v>
      </c>
      <c r="FG184" s="89">
        <v>861.05</v>
      </c>
      <c r="FH184" s="89"/>
      <c r="FI184" s="88">
        <v>618.67507999999998</v>
      </c>
      <c r="FJ184" s="89">
        <v>-60.794920000000012</v>
      </c>
      <c r="FK184" s="89">
        <v>-1.9434200000000128</v>
      </c>
      <c r="FL184" s="89">
        <v>-58.851500000000001</v>
      </c>
      <c r="FM184" s="89">
        <v>679.47</v>
      </c>
      <c r="FN184" s="89"/>
      <c r="FO184" s="88">
        <v>1556.2716869999999</v>
      </c>
      <c r="FP184" s="89">
        <v>-324.32531299999999</v>
      </c>
      <c r="FQ184" s="89">
        <v>-102.15743599999999</v>
      </c>
      <c r="FR184" s="89">
        <v>-222.167877</v>
      </c>
      <c r="FS184" s="89">
        <v>1880.597</v>
      </c>
      <c r="FT184" s="89"/>
      <c r="FU184" s="88"/>
      <c r="FV184" s="89"/>
      <c r="FW184" s="89"/>
      <c r="FX184" s="89"/>
      <c r="FY184" s="89"/>
      <c r="FZ184" s="89"/>
      <c r="GA184" s="120">
        <v>14608.8</v>
      </c>
      <c r="GB184" s="121">
        <v>-7337.7000000000007</v>
      </c>
      <c r="GC184" s="121">
        <v>-9910.6</v>
      </c>
      <c r="GD184" s="121">
        <v>2572.9</v>
      </c>
      <c r="GE184" s="121">
        <v>21946.5</v>
      </c>
      <c r="GF184" s="89"/>
      <c r="GG184" s="88"/>
      <c r="GH184" s="89"/>
      <c r="GI184" s="89"/>
      <c r="GJ184" s="89"/>
      <c r="GK184" s="89"/>
      <c r="GL184" s="89"/>
      <c r="GM184" s="88">
        <v>42976.342380581955</v>
      </c>
      <c r="GN184" s="89">
        <v>9741.2293021216174</v>
      </c>
      <c r="GO184" s="89">
        <v>9741.1274041065481</v>
      </c>
      <c r="GP184" s="89">
        <v>0.10189801506884397</v>
      </c>
      <c r="GQ184" s="89">
        <v>22278.820319204566</v>
      </c>
      <c r="GR184" s="89">
        <v>10956.29275925577</v>
      </c>
      <c r="GS184" s="88"/>
      <c r="GT184" s="87"/>
      <c r="GU184" s="87"/>
      <c r="GV184" s="110"/>
      <c r="GW184" s="87"/>
      <c r="GX184" s="87"/>
      <c r="GY184" s="110"/>
      <c r="GZ184" s="115"/>
      <c r="HA184" s="110"/>
      <c r="HB184" s="110"/>
      <c r="HC184" s="110"/>
      <c r="HD184" s="110"/>
      <c r="HE184" s="110"/>
      <c r="HF184" s="110"/>
      <c r="HG184" s="110"/>
      <c r="HH184" s="110"/>
      <c r="HI184" s="110"/>
      <c r="HJ184" s="110"/>
      <c r="HK184" s="110"/>
      <c r="HL184" s="115"/>
      <c r="HM184" s="110"/>
      <c r="HN184" s="110"/>
      <c r="HO184" s="87"/>
      <c r="HP184" s="87"/>
      <c r="HQ184" s="87"/>
      <c r="HR184" s="87"/>
      <c r="HS184" s="87"/>
    </row>
    <row r="185" spans="1:228">
      <c r="A185" s="69"/>
      <c r="B185" s="87" t="s">
        <v>490</v>
      </c>
      <c r="C185" s="88">
        <v>1671.1028550000001</v>
      </c>
      <c r="D185" s="87">
        <v>102.18985499999999</v>
      </c>
      <c r="E185" s="87">
        <v>276.58753300000001</v>
      </c>
      <c r="F185" s="87">
        <v>-174.39767800000001</v>
      </c>
      <c r="G185" s="87">
        <v>1568.913</v>
      </c>
      <c r="H185" s="87"/>
      <c r="I185" s="88">
        <v>145892.24600000001</v>
      </c>
      <c r="J185" s="89">
        <v>170801.86900000001</v>
      </c>
      <c r="K185" s="89"/>
      <c r="L185" s="89"/>
      <c r="M185" s="89">
        <v>48140.548000000003</v>
      </c>
      <c r="N185" s="89">
        <v>-73050.171000000002</v>
      </c>
      <c r="O185" s="90"/>
      <c r="P185" s="91"/>
      <c r="Q185" s="91"/>
      <c r="R185" s="91"/>
      <c r="S185" s="91"/>
      <c r="T185" s="91"/>
      <c r="U185" s="90">
        <v>4644.3810000000003</v>
      </c>
      <c r="V185" s="91">
        <v>1216.5</v>
      </c>
      <c r="W185" s="91">
        <v>784</v>
      </c>
      <c r="X185" s="91">
        <v>416.78200000000004</v>
      </c>
      <c r="Y185" s="91">
        <v>3427.8810000000003</v>
      </c>
      <c r="Z185" s="91"/>
      <c r="AA185" s="88">
        <v>1350.43</v>
      </c>
      <c r="AB185" s="89">
        <v>210.06200000000001</v>
      </c>
      <c r="AC185" s="89">
        <v>166.578</v>
      </c>
      <c r="AD185" s="89">
        <v>43.484000000000002</v>
      </c>
      <c r="AE185" s="89">
        <v>1140.3679999999999</v>
      </c>
      <c r="AF185" s="89"/>
      <c r="AG185" s="88">
        <v>39946.423849446779</v>
      </c>
      <c r="AH185" s="89">
        <v>10848.6192679618</v>
      </c>
      <c r="AI185" s="89">
        <v>10848.6192679618</v>
      </c>
      <c r="AJ185" s="89"/>
      <c r="AK185" s="89">
        <v>29097.804581484979</v>
      </c>
      <c r="AL185" s="89"/>
      <c r="AM185" s="88">
        <v>1478411</v>
      </c>
      <c r="AN185" s="89">
        <v>828303</v>
      </c>
      <c r="AO185" s="89">
        <v>808829</v>
      </c>
      <c r="AP185" s="89">
        <v>19474</v>
      </c>
      <c r="AQ185" s="89">
        <v>590174</v>
      </c>
      <c r="AR185" s="89">
        <v>59935</v>
      </c>
      <c r="AS185" s="88">
        <v>34705000</v>
      </c>
      <c r="AT185" s="89">
        <v>1500000</v>
      </c>
      <c r="AU185" s="89">
        <v>1500000</v>
      </c>
      <c r="AV185" s="89"/>
      <c r="AW185" s="89">
        <v>37026000</v>
      </c>
      <c r="AX185" s="89">
        <v>-3821000</v>
      </c>
      <c r="AY185" s="88">
        <v>87133552.224041775</v>
      </c>
      <c r="AZ185" s="89">
        <f t="shared" si="13"/>
        <v>27852091.471683413</v>
      </c>
      <c r="BA185" s="89">
        <v>21823565.706002604</v>
      </c>
      <c r="BB185" s="89">
        <v>6028525.7656808104</v>
      </c>
      <c r="BC185" s="89">
        <v>59281460.75235837</v>
      </c>
      <c r="BD185" s="89"/>
      <c r="BE185" s="88">
        <v>3726049.0076088202</v>
      </c>
      <c r="BF185" s="89">
        <v>842356.51644447993</v>
      </c>
      <c r="BG185" s="89">
        <v>812039.31039017998</v>
      </c>
      <c r="BH185" s="89">
        <v>30317.206054300001</v>
      </c>
      <c r="BI185" s="89">
        <v>2659877.3615728002</v>
      </c>
      <c r="BJ185" s="89">
        <v>223815.12959154</v>
      </c>
      <c r="BK185" s="88">
        <v>443.37426599999998</v>
      </c>
      <c r="BL185" s="89">
        <v>-15.663733999999996</v>
      </c>
      <c r="BM185" s="89">
        <v>9.3505960000000048</v>
      </c>
      <c r="BN185" s="89">
        <v>-25.014330000000001</v>
      </c>
      <c r="BO185" s="89">
        <v>459.03800000000001</v>
      </c>
      <c r="BP185" s="89"/>
      <c r="BQ185" s="88">
        <v>5612.4</v>
      </c>
      <c r="BR185" s="89">
        <v>-1348.8</v>
      </c>
      <c r="BS185" s="89">
        <v>-367.3</v>
      </c>
      <c r="BT185" s="89">
        <v>-981.5</v>
      </c>
      <c r="BU185" s="89">
        <v>6961.2</v>
      </c>
      <c r="BV185" s="89"/>
      <c r="BW185" s="88">
        <v>8261.0616674703433</v>
      </c>
      <c r="BX185" s="89">
        <v>2269.4148885917712</v>
      </c>
      <c r="BY185" s="89">
        <v>1638.2480891217713</v>
      </c>
      <c r="BZ185" s="89">
        <v>631.16679947000011</v>
      </c>
      <c r="CA185" s="89">
        <v>6745.9127376971428</v>
      </c>
      <c r="CB185" s="89">
        <v>-754.26595881857122</v>
      </c>
      <c r="CC185" s="88">
        <v>970.42766699999993</v>
      </c>
      <c r="CD185" s="89">
        <v>-44.238332999999997</v>
      </c>
      <c r="CE185" s="89">
        <v>42.919903000000005</v>
      </c>
      <c r="CF185" s="89">
        <v>-87.158236000000002</v>
      </c>
      <c r="CG185" s="89">
        <v>1014.6660000000001</v>
      </c>
      <c r="CH185" s="89"/>
      <c r="CI185" s="88">
        <v>59543.3</v>
      </c>
      <c r="CJ185" s="89">
        <v>11020.900000000001</v>
      </c>
      <c r="CK185" s="89">
        <v>10692.2</v>
      </c>
      <c r="CL185" s="89">
        <v>328.7</v>
      </c>
      <c r="CM185" s="89">
        <v>50426</v>
      </c>
      <c r="CN185" s="89">
        <v>-1903.7</v>
      </c>
      <c r="CO185" s="88">
        <v>38723.4</v>
      </c>
      <c r="CP185" s="89">
        <v>850</v>
      </c>
      <c r="CQ185" s="89">
        <v>10518.5</v>
      </c>
      <c r="CR185" s="89">
        <v>-9668.5</v>
      </c>
      <c r="CS185" s="89">
        <v>48031.7</v>
      </c>
      <c r="CT185" s="89">
        <v>-10158.9</v>
      </c>
      <c r="CU185" s="88">
        <v>42370.493051896126</v>
      </c>
      <c r="CV185" s="89">
        <v>20588.20555622911</v>
      </c>
      <c r="CW185" s="89">
        <v>20874.761617316544</v>
      </c>
      <c r="CX185" s="89">
        <v>-286.55606108743422</v>
      </c>
      <c r="CY185" s="89">
        <v>21782.287495667017</v>
      </c>
      <c r="CZ185" s="89"/>
      <c r="DA185" s="88">
        <v>31266.10579626324</v>
      </c>
      <c r="DB185" s="89">
        <v>-2705.4964675804408</v>
      </c>
      <c r="DC185" s="89">
        <v>-4084.8686441372138</v>
      </c>
      <c r="DD185" s="89">
        <v>1379.3721765567734</v>
      </c>
      <c r="DE185" s="89">
        <v>62836.060650337902</v>
      </c>
      <c r="DF185" s="89">
        <v>-28864.458386494218</v>
      </c>
      <c r="DG185" s="88">
        <v>226931.14</v>
      </c>
      <c r="DH185" s="89">
        <v>145662.37</v>
      </c>
      <c r="DI185" s="89"/>
      <c r="DJ185" s="89"/>
      <c r="DK185" s="89">
        <v>85516.342000000004</v>
      </c>
      <c r="DL185" s="89">
        <v>-4247.5720000000001</v>
      </c>
      <c r="DM185" s="88">
        <v>2759765.57325305</v>
      </c>
      <c r="DN185" s="89">
        <v>1409934.5730000001</v>
      </c>
      <c r="DO185" s="89">
        <v>1262025.5730000001</v>
      </c>
      <c r="DP185" s="89">
        <v>147909</v>
      </c>
      <c r="DQ185" s="89">
        <v>1349831</v>
      </c>
      <c r="DR185" s="89"/>
      <c r="DS185" s="88">
        <v>48659.604901963605</v>
      </c>
      <c r="DT185" s="89">
        <v>41995.713079864763</v>
      </c>
      <c r="DU185" s="89">
        <v>41212.124898185197</v>
      </c>
      <c r="DV185" s="89">
        <v>783.58818167956804</v>
      </c>
      <c r="DW185" s="89">
        <v>18421.246910627429</v>
      </c>
      <c r="DX185" s="89">
        <v>-11757.355088528588</v>
      </c>
      <c r="DY185" s="88">
        <v>6354.2900849999996</v>
      </c>
      <c r="DZ185" s="89">
        <f t="shared" si="8"/>
        <v>-178.83693700000003</v>
      </c>
      <c r="EA185" s="89">
        <v>717.76604099999997</v>
      </c>
      <c r="EB185" s="89">
        <v>-896.60297800000001</v>
      </c>
      <c r="EC185" s="89">
        <v>6533.1270219999997</v>
      </c>
      <c r="ED185" s="89"/>
      <c r="EE185" s="88">
        <v>8549.8531973538884</v>
      </c>
      <c r="EF185" s="89">
        <v>-467.39594031999991</v>
      </c>
      <c r="EG185" s="89">
        <v>-467.39594031999991</v>
      </c>
      <c r="EH185" s="89">
        <v>0</v>
      </c>
      <c r="EI185" s="89">
        <v>12220.87336836</v>
      </c>
      <c r="EJ185" s="89">
        <v>-3203.6242306861141</v>
      </c>
      <c r="EK185" s="88">
        <v>7252912.4028873499</v>
      </c>
      <c r="EL185" s="89">
        <v>421309.94588554977</v>
      </c>
      <c r="EM185" s="89">
        <v>400859.01849799976</v>
      </c>
      <c r="EN185" s="89">
        <v>20450.927387550008</v>
      </c>
      <c r="EO185" s="89">
        <v>6771794.9624450011</v>
      </c>
      <c r="EP185" s="89">
        <v>59807.494556799997</v>
      </c>
      <c r="EQ185" s="88">
        <v>30804.065269600007</v>
      </c>
      <c r="ER185" s="89">
        <v>-8177.1100206399979</v>
      </c>
      <c r="ES185" s="89"/>
      <c r="ET185" s="89"/>
      <c r="EU185" s="89">
        <v>61296.714495400003</v>
      </c>
      <c r="EV185" s="89">
        <v>-22315.539205159999</v>
      </c>
      <c r="EW185" s="88">
        <v>347495.38198874984</v>
      </c>
      <c r="EX185" s="89">
        <f t="shared" si="14"/>
        <v>48180.721422500006</v>
      </c>
      <c r="EY185" s="89">
        <v>43818.349999190003</v>
      </c>
      <c r="EZ185" s="89">
        <v>4362.3714233100009</v>
      </c>
      <c r="FA185" s="89">
        <v>217609.94236684</v>
      </c>
      <c r="FB185" s="89">
        <v>81704.718199409865</v>
      </c>
      <c r="FC185" s="88">
        <v>1099.59376</v>
      </c>
      <c r="FD185" s="89">
        <v>235.52676000000002</v>
      </c>
      <c r="FE185" s="89">
        <v>507.312072</v>
      </c>
      <c r="FF185" s="89">
        <v>-271.78531199999998</v>
      </c>
      <c r="FG185" s="89">
        <v>864.06700000000001</v>
      </c>
      <c r="FH185" s="89"/>
      <c r="FI185" s="88">
        <v>629.07142199999998</v>
      </c>
      <c r="FJ185" s="89">
        <v>-53.372577999999976</v>
      </c>
      <c r="FK185" s="89">
        <v>16.852852000000013</v>
      </c>
      <c r="FL185" s="89">
        <v>-70.225429999999989</v>
      </c>
      <c r="FM185" s="89">
        <v>682.44399999999996</v>
      </c>
      <c r="FN185" s="89"/>
      <c r="FO185" s="88">
        <v>1595.8994750000002</v>
      </c>
      <c r="FP185" s="89">
        <v>-298.44252499999993</v>
      </c>
      <c r="FQ185" s="89">
        <v>-129.49764899999997</v>
      </c>
      <c r="FR185" s="89">
        <v>-168.94487599999999</v>
      </c>
      <c r="FS185" s="89">
        <v>1894.3420000000001</v>
      </c>
      <c r="FT185" s="89"/>
      <c r="FU185" s="88"/>
      <c r="FV185" s="89"/>
      <c r="FW185" s="89"/>
      <c r="FX185" s="89"/>
      <c r="FY185" s="89"/>
      <c r="FZ185" s="89"/>
      <c r="GA185" s="120">
        <v>15448.1</v>
      </c>
      <c r="GB185" s="121">
        <v>-6689.4</v>
      </c>
      <c r="GC185" s="121">
        <v>-8865.5</v>
      </c>
      <c r="GD185" s="121">
        <v>2176.1</v>
      </c>
      <c r="GE185" s="121">
        <v>22137.599999999999</v>
      </c>
      <c r="GF185" s="89"/>
      <c r="GG185" s="88"/>
      <c r="GH185" s="89"/>
      <c r="GI185" s="89"/>
      <c r="GJ185" s="89"/>
      <c r="GK185" s="89"/>
      <c r="GL185" s="89"/>
      <c r="GM185" s="88">
        <v>43965.504308374744</v>
      </c>
      <c r="GN185" s="89">
        <v>10089.84545011947</v>
      </c>
      <c r="GO185" s="89">
        <v>10089.74933082654</v>
      </c>
      <c r="GP185" s="89">
        <v>9.6119292929768563E-2</v>
      </c>
      <c r="GQ185" s="89">
        <v>22219.816187560657</v>
      </c>
      <c r="GR185" s="89">
        <v>11655.842670694619</v>
      </c>
      <c r="GS185" s="88"/>
      <c r="GT185" s="87"/>
      <c r="GU185" s="87"/>
      <c r="GV185" s="87"/>
      <c r="GW185" s="87"/>
      <c r="GX185" s="87"/>
      <c r="GY185" s="87"/>
      <c r="GZ185" s="88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110"/>
      <c r="HL185" s="88"/>
      <c r="HM185" s="87"/>
      <c r="HN185" s="87"/>
      <c r="HO185" s="87"/>
      <c r="HP185" s="87"/>
      <c r="HQ185" s="87"/>
      <c r="HR185" s="87"/>
      <c r="HS185" s="87"/>
    </row>
    <row r="186" spans="1:228">
      <c r="A186" s="69"/>
      <c r="B186" s="87" t="s">
        <v>491</v>
      </c>
      <c r="C186" s="88">
        <v>1672.1803689999999</v>
      </c>
      <c r="D186" s="87">
        <v>102.14436899999995</v>
      </c>
      <c r="E186" s="87">
        <v>272.68654499999997</v>
      </c>
      <c r="F186" s="87">
        <v>-170.54217600000001</v>
      </c>
      <c r="G186" s="87">
        <v>1570.0360000000001</v>
      </c>
      <c r="H186" s="87"/>
      <c r="I186" s="88">
        <v>143419.36799999999</v>
      </c>
      <c r="J186" s="89">
        <v>165568.17199999999</v>
      </c>
      <c r="K186" s="89"/>
      <c r="L186" s="89"/>
      <c r="M186" s="89">
        <v>49116.31</v>
      </c>
      <c r="N186" s="89">
        <v>-71265.114000000001</v>
      </c>
      <c r="O186" s="90"/>
      <c r="P186" s="91"/>
      <c r="Q186" s="91"/>
      <c r="R186" s="91"/>
      <c r="S186" s="91"/>
      <c r="T186" s="91"/>
      <c r="U186" s="90">
        <v>4578.3009999999995</v>
      </c>
      <c r="V186" s="91">
        <v>1141</v>
      </c>
      <c r="W186" s="91">
        <v>703.6</v>
      </c>
      <c r="X186" s="91">
        <v>442.09899999999999</v>
      </c>
      <c r="Y186" s="91">
        <v>3437.3009999999999</v>
      </c>
      <c r="Z186" s="91"/>
      <c r="AA186" s="88">
        <v>1080.287</v>
      </c>
      <c r="AB186" s="89">
        <v>-45.055999999999997</v>
      </c>
      <c r="AC186" s="89">
        <v>-88.016999999999996</v>
      </c>
      <c r="AD186" s="89">
        <v>42.960999999999999</v>
      </c>
      <c r="AE186" s="89">
        <v>1125.3430000000001</v>
      </c>
      <c r="AF186" s="89"/>
      <c r="AG186" s="88">
        <v>39863.68920272847</v>
      </c>
      <c r="AH186" s="89">
        <v>10580.546763872002</v>
      </c>
      <c r="AI186" s="89">
        <v>10580.546763872002</v>
      </c>
      <c r="AJ186" s="89"/>
      <c r="AK186" s="89">
        <v>29283.142438856466</v>
      </c>
      <c r="AL186" s="89"/>
      <c r="AM186" s="88">
        <v>1483107</v>
      </c>
      <c r="AN186" s="89">
        <v>827749</v>
      </c>
      <c r="AO186" s="89">
        <v>808365</v>
      </c>
      <c r="AP186" s="89">
        <v>19384</v>
      </c>
      <c r="AQ186" s="89">
        <v>605657</v>
      </c>
      <c r="AR186" s="89">
        <v>49701</v>
      </c>
      <c r="AS186" s="88">
        <v>35635000</v>
      </c>
      <c r="AT186" s="89">
        <v>1451000</v>
      </c>
      <c r="AU186" s="89">
        <v>1451000</v>
      </c>
      <c r="AV186" s="89"/>
      <c r="AW186" s="89">
        <v>37672000</v>
      </c>
      <c r="AX186" s="89">
        <v>-3488000</v>
      </c>
      <c r="AY186" s="88">
        <v>89917874.705310941</v>
      </c>
      <c r="AZ186" s="89">
        <f t="shared" si="13"/>
        <v>30053301.444875192</v>
      </c>
      <c r="BA186" s="89">
        <v>23919653.166886143</v>
      </c>
      <c r="BB186" s="89">
        <v>6133648.2779890494</v>
      </c>
      <c r="BC186" s="89">
        <v>59864573.260435738</v>
      </c>
      <c r="BD186" s="89"/>
      <c r="BE186" s="88">
        <v>3732377.1884937799</v>
      </c>
      <c r="BF186" s="89">
        <v>781351.50815678004</v>
      </c>
      <c r="BG186" s="89">
        <v>752833.34350051999</v>
      </c>
      <c r="BH186" s="89">
        <v>28518.16465626</v>
      </c>
      <c r="BI186" s="89">
        <v>2739209.50258571</v>
      </c>
      <c r="BJ186" s="89">
        <v>231816.17775129</v>
      </c>
      <c r="BK186" s="88">
        <v>438.53646600000002</v>
      </c>
      <c r="BL186" s="89">
        <v>-18.361533999999999</v>
      </c>
      <c r="BM186" s="89">
        <v>15.239998</v>
      </c>
      <c r="BN186" s="89">
        <v>-33.601531999999999</v>
      </c>
      <c r="BO186" s="89">
        <v>456.89800000000002</v>
      </c>
      <c r="BP186" s="89"/>
      <c r="BQ186" s="88">
        <v>5672.8</v>
      </c>
      <c r="BR186" s="89">
        <v>-1424.2</v>
      </c>
      <c r="BS186" s="89">
        <v>-448.1</v>
      </c>
      <c r="BT186" s="89">
        <v>-976.1</v>
      </c>
      <c r="BU186" s="89">
        <v>7097</v>
      </c>
      <c r="BV186" s="89"/>
      <c r="BW186" s="88">
        <v>8331.412109627141</v>
      </c>
      <c r="BX186" s="89">
        <v>2354.5377230285712</v>
      </c>
      <c r="BY186" s="89">
        <v>1686.5334902385712</v>
      </c>
      <c r="BZ186" s="89">
        <v>668.00423278999995</v>
      </c>
      <c r="CA186" s="89">
        <v>6792.6463261171421</v>
      </c>
      <c r="CB186" s="89">
        <v>-815.7719395185718</v>
      </c>
      <c r="CC186" s="88">
        <v>984.70226199999991</v>
      </c>
      <c r="CD186" s="89">
        <v>-34.382738000000003</v>
      </c>
      <c r="CE186" s="89">
        <v>33.302183999999997</v>
      </c>
      <c r="CF186" s="89">
        <v>-67.684922</v>
      </c>
      <c r="CG186" s="89">
        <v>1019.085</v>
      </c>
      <c r="CH186" s="89"/>
      <c r="CI186" s="88">
        <v>60567.9</v>
      </c>
      <c r="CJ186" s="89">
        <v>11189.1</v>
      </c>
      <c r="CK186" s="89">
        <v>10848.4</v>
      </c>
      <c r="CL186" s="89">
        <v>340.7</v>
      </c>
      <c r="CM186" s="89">
        <v>50777.3</v>
      </c>
      <c r="CN186" s="89">
        <v>-1398.5</v>
      </c>
      <c r="CO186" s="88">
        <v>35152</v>
      </c>
      <c r="CP186" s="89">
        <v>-1910.9</v>
      </c>
      <c r="CQ186" s="89">
        <v>10596.5</v>
      </c>
      <c r="CR186" s="89">
        <v>-12507.4</v>
      </c>
      <c r="CS186" s="89">
        <v>48379.3</v>
      </c>
      <c r="CT186" s="89">
        <v>-11316.4</v>
      </c>
      <c r="CU186" s="88">
        <v>42966.960670318687</v>
      </c>
      <c r="CV186" s="89">
        <v>20721.006176140803</v>
      </c>
      <c r="CW186" s="89">
        <v>21070.470357714476</v>
      </c>
      <c r="CX186" s="89">
        <v>-349.46418157367214</v>
      </c>
      <c r="CY186" s="89">
        <v>22245.954494177888</v>
      </c>
      <c r="CZ186" s="89"/>
      <c r="DA186" s="88">
        <v>31642.623749001596</v>
      </c>
      <c r="DB186" s="89">
        <v>-1752.5342341814485</v>
      </c>
      <c r="DC186" s="89">
        <v>-3411.5574040110259</v>
      </c>
      <c r="DD186" s="89">
        <v>1659.0231698295777</v>
      </c>
      <c r="DE186" s="89">
        <v>63104.902556970294</v>
      </c>
      <c r="DF186" s="89">
        <v>-29709.744573787259</v>
      </c>
      <c r="DG186" s="88">
        <v>219067.32800000001</v>
      </c>
      <c r="DH186" s="89">
        <v>138811.28</v>
      </c>
      <c r="DI186" s="89"/>
      <c r="DJ186" s="89"/>
      <c r="DK186" s="89">
        <v>86892.077999999994</v>
      </c>
      <c r="DL186" s="89">
        <v>-6636.03</v>
      </c>
      <c r="DM186" s="88">
        <v>2794256.6840158501</v>
      </c>
      <c r="DN186" s="89">
        <v>1410771.6839999999</v>
      </c>
      <c r="DO186" s="89">
        <v>1258028.6839999999</v>
      </c>
      <c r="DP186" s="89">
        <v>152743</v>
      </c>
      <c r="DQ186" s="89">
        <v>1383485</v>
      </c>
      <c r="DR186" s="89"/>
      <c r="DS186" s="88">
        <v>49008.355220528378</v>
      </c>
      <c r="DT186" s="89">
        <v>41358.53939990951</v>
      </c>
      <c r="DU186" s="89">
        <v>40663.323806443776</v>
      </c>
      <c r="DV186" s="89">
        <v>695.21559346573201</v>
      </c>
      <c r="DW186" s="89">
        <v>19031.546676175618</v>
      </c>
      <c r="DX186" s="89">
        <v>-11381.730855556754</v>
      </c>
      <c r="DY186" s="88">
        <v>6449.022892</v>
      </c>
      <c r="DZ186" s="89">
        <f t="shared" si="8"/>
        <v>-144.02425699999992</v>
      </c>
      <c r="EA186" s="89">
        <v>721.7455940000001</v>
      </c>
      <c r="EB186" s="89">
        <v>-865.76985100000002</v>
      </c>
      <c r="EC186" s="89">
        <v>6593.047149</v>
      </c>
      <c r="ED186" s="89"/>
      <c r="EE186" s="88">
        <v>8833.1159804299568</v>
      </c>
      <c r="EF186" s="89">
        <v>-420.43177555000005</v>
      </c>
      <c r="EG186" s="89">
        <v>-421.10884755000006</v>
      </c>
      <c r="EH186" s="89">
        <v>0.67707200000000001</v>
      </c>
      <c r="EI186" s="89">
        <v>12360.677928539999</v>
      </c>
      <c r="EJ186" s="89">
        <v>-3107.130172560042</v>
      </c>
      <c r="EK186" s="88">
        <v>7047203.6576541513</v>
      </c>
      <c r="EL186" s="89">
        <v>209290.61374115091</v>
      </c>
      <c r="EM186" s="89">
        <v>245048.14994000085</v>
      </c>
      <c r="EN186" s="89">
        <v>-35757.536198849935</v>
      </c>
      <c r="EO186" s="89">
        <v>6777704.2269490007</v>
      </c>
      <c r="EP186" s="89">
        <v>60208.816963999998</v>
      </c>
      <c r="EQ186" s="88">
        <v>30679.040882699992</v>
      </c>
      <c r="ER186" s="89">
        <v>-8089.1121722800008</v>
      </c>
      <c r="ES186" s="89"/>
      <c r="ET186" s="89"/>
      <c r="EU186" s="89">
        <v>61715.321304459998</v>
      </c>
      <c r="EV186" s="89">
        <v>-22947.168249480004</v>
      </c>
      <c r="EW186" s="88">
        <v>353846.452709303</v>
      </c>
      <c r="EX186" s="89">
        <f t="shared" si="14"/>
        <v>48580.549989930012</v>
      </c>
      <c r="EY186" s="89">
        <v>43220.404548290011</v>
      </c>
      <c r="EZ186" s="89">
        <v>5360.1454416400011</v>
      </c>
      <c r="FA186" s="89">
        <v>213949.78231714998</v>
      </c>
      <c r="FB186" s="89">
        <v>91316.120402222936</v>
      </c>
      <c r="FC186" s="88">
        <v>1128.320543</v>
      </c>
      <c r="FD186" s="89">
        <v>265.16054300000002</v>
      </c>
      <c r="FE186" s="89">
        <v>528.52585499999998</v>
      </c>
      <c r="FF186" s="89">
        <v>-263.36531199999996</v>
      </c>
      <c r="FG186" s="89">
        <v>863.16</v>
      </c>
      <c r="FH186" s="89"/>
      <c r="FI186" s="88">
        <v>642.91693799999996</v>
      </c>
      <c r="FJ186" s="89">
        <v>-43.239062000000011</v>
      </c>
      <c r="FK186" s="89">
        <v>13.540859999999986</v>
      </c>
      <c r="FL186" s="89">
        <v>-56.779921999999999</v>
      </c>
      <c r="FM186" s="89">
        <v>686.15599999999995</v>
      </c>
      <c r="FN186" s="89"/>
      <c r="FO186" s="88">
        <v>1601.947357</v>
      </c>
      <c r="FP186" s="89">
        <v>-312.55564299999998</v>
      </c>
      <c r="FQ186" s="89">
        <v>-136.78876699999998</v>
      </c>
      <c r="FR186" s="89">
        <v>-175.766876</v>
      </c>
      <c r="FS186" s="89">
        <v>1914.5029999999999</v>
      </c>
      <c r="FT186" s="89"/>
      <c r="FU186" s="88"/>
      <c r="FV186" s="89"/>
      <c r="FW186" s="89"/>
      <c r="FX186" s="89"/>
      <c r="FY186" s="89"/>
      <c r="FZ186" s="89"/>
      <c r="GA186" s="88">
        <v>14340.3</v>
      </c>
      <c r="GB186" s="89">
        <v>-7557.9999999999991</v>
      </c>
      <c r="GC186" s="89">
        <v>-10449.799999999999</v>
      </c>
      <c r="GD186" s="89">
        <v>2891.8</v>
      </c>
      <c r="GE186" s="89">
        <v>21898.2</v>
      </c>
      <c r="GF186" s="89"/>
      <c r="GG186" s="88"/>
      <c r="GH186" s="89"/>
      <c r="GI186" s="89"/>
      <c r="GJ186" s="89"/>
      <c r="GK186" s="89"/>
      <c r="GL186" s="89"/>
      <c r="GM186" s="88">
        <v>45743.457550011546</v>
      </c>
      <c r="GN186" s="89">
        <v>10376.159608718819</v>
      </c>
      <c r="GO186" s="89">
        <v>10376.058819631429</v>
      </c>
      <c r="GP186" s="89">
        <v>0.10078908739052712</v>
      </c>
      <c r="GQ186" s="89">
        <v>23190.763710646137</v>
      </c>
      <c r="GR186" s="89">
        <v>12176.534230646592</v>
      </c>
      <c r="GS186" s="88"/>
      <c r="GT186" s="87"/>
      <c r="GU186" s="87"/>
      <c r="GV186" s="87"/>
      <c r="GW186" s="87"/>
      <c r="GX186" s="87"/>
      <c r="GY186" s="87"/>
      <c r="GZ186" s="88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110"/>
      <c r="HL186" s="88"/>
      <c r="HM186" s="87"/>
      <c r="HN186" s="87"/>
      <c r="HO186" s="87"/>
      <c r="HP186" s="87"/>
      <c r="HQ186" s="87"/>
      <c r="HR186" s="87"/>
      <c r="HS186" s="87"/>
    </row>
    <row r="187" spans="1:228">
      <c r="A187" s="69"/>
      <c r="B187" s="87" t="s">
        <v>492</v>
      </c>
      <c r="C187" s="88">
        <v>1677.506648</v>
      </c>
      <c r="D187" s="87">
        <v>177.94564800000006</v>
      </c>
      <c r="E187" s="87">
        <v>266.03762800000004</v>
      </c>
      <c r="F187" s="87">
        <v>-88.091979999999992</v>
      </c>
      <c r="G187" s="87">
        <v>1499.5609999999999</v>
      </c>
      <c r="H187" s="87"/>
      <c r="I187" s="88">
        <v>144738.60800000001</v>
      </c>
      <c r="J187" s="89">
        <v>167802.755</v>
      </c>
      <c r="K187" s="89"/>
      <c r="L187" s="89"/>
      <c r="M187" s="89">
        <v>50491.03</v>
      </c>
      <c r="N187" s="89">
        <v>-73555.176999999996</v>
      </c>
      <c r="O187" s="90"/>
      <c r="P187" s="91"/>
      <c r="Q187" s="91"/>
      <c r="R187" s="91"/>
      <c r="S187" s="91"/>
      <c r="T187" s="91"/>
      <c r="U187" s="90">
        <v>4760.7860000000001</v>
      </c>
      <c r="V187" s="91">
        <v>1254.5</v>
      </c>
      <c r="W187" s="91">
        <v>814.8</v>
      </c>
      <c r="X187" s="91">
        <v>439.69099999999997</v>
      </c>
      <c r="Y187" s="91">
        <v>3506.2860000000001</v>
      </c>
      <c r="Z187" s="91"/>
      <c r="AA187" s="88">
        <v>1192.9870000000001</v>
      </c>
      <c r="AB187" s="89">
        <v>56.939</v>
      </c>
      <c r="AC187" s="89">
        <v>13.939</v>
      </c>
      <c r="AD187" s="89">
        <v>43</v>
      </c>
      <c r="AE187" s="89">
        <v>1136.048</v>
      </c>
      <c r="AF187" s="89"/>
      <c r="AG187" s="88">
        <v>40610.101553650471</v>
      </c>
      <c r="AH187" s="89">
        <v>10881.899844082802</v>
      </c>
      <c r="AI187" s="89">
        <v>10881.899844082802</v>
      </c>
      <c r="AJ187" s="89"/>
      <c r="AK187" s="89">
        <v>29728.201709567667</v>
      </c>
      <c r="AL187" s="89"/>
      <c r="AM187" s="88">
        <v>1484597</v>
      </c>
      <c r="AN187" s="89">
        <v>823719</v>
      </c>
      <c r="AO187" s="89">
        <v>805008</v>
      </c>
      <c r="AP187" s="89">
        <v>18711</v>
      </c>
      <c r="AQ187" s="89">
        <v>611424</v>
      </c>
      <c r="AR187" s="89">
        <v>49455</v>
      </c>
      <c r="AS187" s="88">
        <v>36163000</v>
      </c>
      <c r="AT187" s="89">
        <v>1209000</v>
      </c>
      <c r="AU187" s="89">
        <v>1209000</v>
      </c>
      <c r="AV187" s="89"/>
      <c r="AW187" s="89">
        <v>38272000</v>
      </c>
      <c r="AX187" s="89">
        <v>-3318000</v>
      </c>
      <c r="AY187" s="88">
        <v>89981490.922185242</v>
      </c>
      <c r="AZ187" s="89">
        <f t="shared" si="13"/>
        <v>29376501.402015571</v>
      </c>
      <c r="BA187" s="89">
        <v>23066627.137399301</v>
      </c>
      <c r="BB187" s="89">
        <v>6309874.2646162687</v>
      </c>
      <c r="BC187" s="89">
        <v>60604989.520169675</v>
      </c>
      <c r="BD187" s="89"/>
      <c r="BE187" s="88">
        <v>3738742.58054021</v>
      </c>
      <c r="BF187" s="89">
        <v>766545.99848085002</v>
      </c>
      <c r="BG187" s="89">
        <v>733228.17510067998</v>
      </c>
      <c r="BH187" s="89">
        <v>33317.823380169997</v>
      </c>
      <c r="BI187" s="89">
        <v>2764076.5649289801</v>
      </c>
      <c r="BJ187" s="89">
        <v>208120.01713038</v>
      </c>
      <c r="BK187" s="88">
        <v>440.02815300000003</v>
      </c>
      <c r="BL187" s="89">
        <v>-19.929847000000002</v>
      </c>
      <c r="BM187" s="89">
        <v>12.861578999999997</v>
      </c>
      <c r="BN187" s="89">
        <v>-32.791426000000001</v>
      </c>
      <c r="BO187" s="89">
        <v>459.95800000000003</v>
      </c>
      <c r="BP187" s="89"/>
      <c r="BQ187" s="88">
        <v>5604.2</v>
      </c>
      <c r="BR187" s="89">
        <v>-1660.2</v>
      </c>
      <c r="BS187" s="89">
        <v>-666.2</v>
      </c>
      <c r="BT187" s="89">
        <v>-994</v>
      </c>
      <c r="BU187" s="89">
        <v>7264.4</v>
      </c>
      <c r="BV187" s="89"/>
      <c r="BW187" s="88">
        <v>8425.9877036102844</v>
      </c>
      <c r="BX187" s="89">
        <v>2459.0405818145709</v>
      </c>
      <c r="BY187" s="89">
        <v>1749.5428892045711</v>
      </c>
      <c r="BZ187" s="89">
        <v>709.49769261000006</v>
      </c>
      <c r="CA187" s="89">
        <v>6828.1231713371426</v>
      </c>
      <c r="CB187" s="89">
        <v>-861.17604954142905</v>
      </c>
      <c r="CC187" s="88">
        <v>996.16718200000003</v>
      </c>
      <c r="CD187" s="89">
        <v>-35.209817999999999</v>
      </c>
      <c r="CE187" s="89">
        <v>33.694006999999999</v>
      </c>
      <c r="CF187" s="89">
        <v>-68.903824999999998</v>
      </c>
      <c r="CG187" s="89">
        <v>1031.377</v>
      </c>
      <c r="CH187" s="89"/>
      <c r="CI187" s="88">
        <v>60608.9</v>
      </c>
      <c r="CJ187" s="89">
        <v>10980.6</v>
      </c>
      <c r="CK187" s="89">
        <v>10637.9</v>
      </c>
      <c r="CL187" s="89">
        <v>342.7</v>
      </c>
      <c r="CM187" s="89">
        <v>51314.600000000006</v>
      </c>
      <c r="CN187" s="89">
        <v>-1686.3</v>
      </c>
      <c r="CO187" s="88">
        <v>37960.199999999997</v>
      </c>
      <c r="CP187" s="89">
        <v>438.2</v>
      </c>
      <c r="CQ187" s="89">
        <v>12258.5</v>
      </c>
      <c r="CR187" s="89">
        <v>-11820.3</v>
      </c>
      <c r="CS187" s="89">
        <v>49107</v>
      </c>
      <c r="CT187" s="89">
        <v>-11585.1</v>
      </c>
      <c r="CU187" s="88">
        <v>42873.860927604946</v>
      </c>
      <c r="CV187" s="89">
        <v>19979.763240137574</v>
      </c>
      <c r="CW187" s="89">
        <v>20347.968238292491</v>
      </c>
      <c r="CX187" s="89">
        <v>-368.20499815491416</v>
      </c>
      <c r="CY187" s="89">
        <v>22894.097687467372</v>
      </c>
      <c r="CZ187" s="89"/>
      <c r="DA187" s="88">
        <v>29642.941966802504</v>
      </c>
      <c r="DB187" s="89">
        <v>-3580.8934752544628</v>
      </c>
      <c r="DC187" s="89">
        <v>-5196.3330591844624</v>
      </c>
      <c r="DD187" s="89">
        <v>1615.43958393</v>
      </c>
      <c r="DE187" s="89">
        <v>63763.710037815858</v>
      </c>
      <c r="DF187" s="89">
        <v>-30539.874595758894</v>
      </c>
      <c r="DG187" s="88">
        <v>222499.28199999998</v>
      </c>
      <c r="DH187" s="89">
        <v>140708.64199999999</v>
      </c>
      <c r="DI187" s="89"/>
      <c r="DJ187" s="89"/>
      <c r="DK187" s="89">
        <v>87798.474000000002</v>
      </c>
      <c r="DL187" s="89">
        <v>-6007.8339999999998</v>
      </c>
      <c r="DM187" s="88">
        <v>2814527.3395797899</v>
      </c>
      <c r="DN187" s="89">
        <v>1436431.3399999999</v>
      </c>
      <c r="DO187" s="89">
        <v>1285474.44</v>
      </c>
      <c r="DP187" s="89">
        <v>150956.90000000002</v>
      </c>
      <c r="DQ187" s="89">
        <v>1378096</v>
      </c>
      <c r="DR187" s="89"/>
      <c r="DS187" s="88">
        <v>49424.783722413224</v>
      </c>
      <c r="DT187" s="89">
        <v>41322.152193499089</v>
      </c>
      <c r="DU187" s="89">
        <v>40632.933155080784</v>
      </c>
      <c r="DV187" s="89">
        <v>689.21903841830499</v>
      </c>
      <c r="DW187" s="89">
        <v>19292.043836081702</v>
      </c>
      <c r="DX187" s="89">
        <v>-11189.412307167571</v>
      </c>
      <c r="DY187" s="88">
        <v>6530.1601909999999</v>
      </c>
      <c r="DZ187" s="89">
        <f t="shared" si="8"/>
        <v>-95.350875999999857</v>
      </c>
      <c r="EA187" s="89">
        <v>731.65005700000006</v>
      </c>
      <c r="EB187" s="89">
        <v>-827.00093299999992</v>
      </c>
      <c r="EC187" s="89">
        <v>6625.5110669999995</v>
      </c>
      <c r="ED187" s="89"/>
      <c r="EE187" s="88">
        <v>8967.9424851581152</v>
      </c>
      <c r="EF187" s="89">
        <v>-402.19830868000025</v>
      </c>
      <c r="EG187" s="89">
        <v>-402.79063668000026</v>
      </c>
      <c r="EH187" s="89">
        <v>0.59232799999999997</v>
      </c>
      <c r="EI187" s="89">
        <v>12356.343215569999</v>
      </c>
      <c r="EJ187" s="89">
        <v>-2986.2024217318854</v>
      </c>
      <c r="EK187" s="88">
        <v>6821367.7944919989</v>
      </c>
      <c r="EL187" s="89">
        <v>-27417.021605000482</v>
      </c>
      <c r="EM187" s="89">
        <v>92474.828217999544</v>
      </c>
      <c r="EN187" s="89">
        <v>-119891.84982300003</v>
      </c>
      <c r="EO187" s="89">
        <v>6781989.0346879996</v>
      </c>
      <c r="EP187" s="89">
        <v>66795.781409000003</v>
      </c>
      <c r="EQ187" s="88">
        <v>30533.905302059997</v>
      </c>
      <c r="ER187" s="89">
        <v>-9832.1758127599987</v>
      </c>
      <c r="ES187" s="89"/>
      <c r="ET187" s="89"/>
      <c r="EU187" s="89">
        <v>62603.38001162</v>
      </c>
      <c r="EV187" s="89">
        <v>-22237.298896800006</v>
      </c>
      <c r="EW187" s="88">
        <v>349942.18595502863</v>
      </c>
      <c r="EX187" s="89">
        <f t="shared" si="14"/>
        <v>45483.727532930003</v>
      </c>
      <c r="EY187" s="89">
        <v>39744.24738329</v>
      </c>
      <c r="EZ187" s="89">
        <v>5739.4801496400014</v>
      </c>
      <c r="FA187" s="89">
        <v>215555.98758564002</v>
      </c>
      <c r="FB187" s="89">
        <v>88902.470836458626</v>
      </c>
      <c r="FC187" s="88">
        <v>1133.1196540000001</v>
      </c>
      <c r="FD187" s="89">
        <v>253.82865400000009</v>
      </c>
      <c r="FE187" s="89">
        <v>538.76537300000007</v>
      </c>
      <c r="FF187" s="89">
        <v>-284.93671899999998</v>
      </c>
      <c r="FG187" s="89">
        <v>879.29100000000005</v>
      </c>
      <c r="FH187" s="89"/>
      <c r="FI187" s="88">
        <v>622.21053000000006</v>
      </c>
      <c r="FJ187" s="89">
        <v>-59.749469999999995</v>
      </c>
      <c r="FK187" s="89">
        <v>9.3805260000000121</v>
      </c>
      <c r="FL187" s="89">
        <v>-69.129996000000006</v>
      </c>
      <c r="FM187" s="89">
        <v>681.96</v>
      </c>
      <c r="FN187" s="89"/>
      <c r="FO187" s="88">
        <v>1610.4523919999999</v>
      </c>
      <c r="FP187" s="89">
        <v>-300.82860800000003</v>
      </c>
      <c r="FQ187" s="89">
        <v>-116.90073200000005</v>
      </c>
      <c r="FR187" s="89">
        <v>-183.927876</v>
      </c>
      <c r="FS187" s="89">
        <v>1911.2809999999999</v>
      </c>
      <c r="FT187" s="89"/>
      <c r="FU187" s="88"/>
      <c r="FV187" s="89"/>
      <c r="FW187" s="89"/>
      <c r="FX187" s="89"/>
      <c r="FY187" s="89"/>
      <c r="FZ187" s="89"/>
      <c r="GA187" s="120">
        <v>13946.5</v>
      </c>
      <c r="GB187" s="121">
        <v>-8168.9999999999991</v>
      </c>
      <c r="GC187" s="121">
        <v>-11427.3</v>
      </c>
      <c r="GD187" s="121">
        <v>3258.3</v>
      </c>
      <c r="GE187" s="121">
        <v>22115.4</v>
      </c>
      <c r="GF187" s="89"/>
      <c r="GG187" s="88"/>
      <c r="GH187" s="89"/>
      <c r="GI187" s="89"/>
      <c r="GJ187" s="89"/>
      <c r="GK187" s="89"/>
      <c r="GL187" s="89"/>
      <c r="GM187" s="88">
        <v>46580.137373083307</v>
      </c>
      <c r="GN187" s="89">
        <v>11356.919398849619</v>
      </c>
      <c r="GO187" s="89">
        <v>11356.817711417469</v>
      </c>
      <c r="GP187" s="89">
        <v>0.1016874321512878</v>
      </c>
      <c r="GQ187" s="89">
        <v>25180.263372075824</v>
      </c>
      <c r="GR187" s="89">
        <v>10042.954602157861</v>
      </c>
      <c r="GS187" s="88"/>
      <c r="GT187" s="87"/>
      <c r="GU187" s="87"/>
      <c r="GV187" s="87"/>
      <c r="GW187" s="87"/>
      <c r="GX187" s="87"/>
      <c r="GY187" s="87"/>
      <c r="GZ187" s="88"/>
      <c r="HA187" s="87"/>
      <c r="HB187" s="87"/>
      <c r="HC187" s="87"/>
      <c r="HD187" s="87"/>
      <c r="HE187" s="87"/>
      <c r="HF187" s="87"/>
      <c r="HG187" s="131"/>
      <c r="HH187" s="131"/>
      <c r="HI187" s="131"/>
      <c r="HJ187" s="131"/>
      <c r="HK187" s="110"/>
      <c r="HL187" s="88"/>
      <c r="HM187" s="87"/>
      <c r="HN187" s="87"/>
      <c r="HO187" s="87"/>
      <c r="HP187" s="87"/>
      <c r="HQ187" s="87"/>
      <c r="HR187" s="87"/>
      <c r="HS187" s="87"/>
    </row>
    <row r="188" spans="1:228">
      <c r="A188" s="69"/>
      <c r="B188" s="87" t="s">
        <v>493</v>
      </c>
      <c r="C188" s="88">
        <v>1647.442945</v>
      </c>
      <c r="D188" s="87">
        <v>134.48194500000002</v>
      </c>
      <c r="E188" s="87">
        <v>251.61892500000002</v>
      </c>
      <c r="F188" s="87">
        <v>-117.13697999999999</v>
      </c>
      <c r="G188" s="87">
        <v>1512.961</v>
      </c>
      <c r="H188" s="87"/>
      <c r="I188" s="88">
        <v>141054.10700000002</v>
      </c>
      <c r="J188" s="89">
        <v>164465.97700000001</v>
      </c>
      <c r="K188" s="89"/>
      <c r="L188" s="89"/>
      <c r="M188" s="89">
        <v>51243.417999999998</v>
      </c>
      <c r="N188" s="89">
        <v>-74655.288</v>
      </c>
      <c r="O188" s="90"/>
      <c r="P188" s="91"/>
      <c r="Q188" s="91"/>
      <c r="R188" s="91"/>
      <c r="S188" s="91"/>
      <c r="T188" s="91"/>
      <c r="U188" s="90">
        <v>4878.9459999999999</v>
      </c>
      <c r="V188" s="91">
        <v>1301.8</v>
      </c>
      <c r="W188" s="91">
        <v>862</v>
      </c>
      <c r="X188" s="91">
        <v>439.79399999999998</v>
      </c>
      <c r="Y188" s="91">
        <v>3577.1460000000002</v>
      </c>
      <c r="Z188" s="91"/>
      <c r="AA188" s="88">
        <v>1199.4680000000001</v>
      </c>
      <c r="AB188" s="89">
        <v>59.350999999999999</v>
      </c>
      <c r="AC188" s="89">
        <v>16.425999999999998</v>
      </c>
      <c r="AD188" s="89">
        <v>42.924999999999997</v>
      </c>
      <c r="AE188" s="89">
        <v>1140.117</v>
      </c>
      <c r="AF188" s="89"/>
      <c r="AG188" s="88">
        <v>40642.258668322873</v>
      </c>
      <c r="AH188" s="89">
        <v>10652.460061904801</v>
      </c>
      <c r="AI188" s="89">
        <v>10652.460061904801</v>
      </c>
      <c r="AJ188" s="89"/>
      <c r="AK188" s="89">
        <v>29989.79860641807</v>
      </c>
      <c r="AL188" s="89"/>
      <c r="AM188" s="88">
        <v>1499739</v>
      </c>
      <c r="AN188" s="89">
        <v>825077</v>
      </c>
      <c r="AO188" s="89">
        <v>806842</v>
      </c>
      <c r="AP188" s="89">
        <v>18235</v>
      </c>
      <c r="AQ188" s="89">
        <v>619607</v>
      </c>
      <c r="AR188" s="89">
        <v>55054</v>
      </c>
      <c r="AS188" s="88">
        <v>36342000</v>
      </c>
      <c r="AT188" s="89">
        <v>682000</v>
      </c>
      <c r="AU188" s="89">
        <v>682000</v>
      </c>
      <c r="AV188" s="89"/>
      <c r="AW188" s="89">
        <v>38626000</v>
      </c>
      <c r="AX188" s="89">
        <v>-2966000</v>
      </c>
      <c r="AY188" s="88">
        <v>90394923.633604124</v>
      </c>
      <c r="AZ188" s="89">
        <f t="shared" si="13"/>
        <v>28871509.524127375</v>
      </c>
      <c r="BA188" s="89">
        <v>22655732.427115645</v>
      </c>
      <c r="BB188" s="89">
        <v>6215777.097011731</v>
      </c>
      <c r="BC188" s="89">
        <v>61523414.109476738</v>
      </c>
      <c r="BD188" s="89"/>
      <c r="BE188" s="88">
        <v>3778219.2262694999</v>
      </c>
      <c r="BF188" s="89">
        <v>759532.63299334992</v>
      </c>
      <c r="BG188" s="89">
        <v>725963.83372720995</v>
      </c>
      <c r="BH188" s="89">
        <v>33568.799266139999</v>
      </c>
      <c r="BI188" s="89">
        <v>2856468.6413173098</v>
      </c>
      <c r="BJ188" s="89">
        <v>162217.95195884001</v>
      </c>
      <c r="BK188" s="88">
        <v>441.39922099999995</v>
      </c>
      <c r="BL188" s="89">
        <v>-20.705779</v>
      </c>
      <c r="BM188" s="89">
        <v>15.466496999999995</v>
      </c>
      <c r="BN188" s="89">
        <v>-36.172275999999997</v>
      </c>
      <c r="BO188" s="89">
        <v>462.10500000000002</v>
      </c>
      <c r="BP188" s="89"/>
      <c r="BQ188" s="88">
        <v>5896.3</v>
      </c>
      <c r="BR188" s="89">
        <v>-1553.1</v>
      </c>
      <c r="BS188" s="89">
        <v>-573.70000000000005</v>
      </c>
      <c r="BT188" s="89">
        <v>-979.4</v>
      </c>
      <c r="BU188" s="89">
        <v>7449.4</v>
      </c>
      <c r="BV188" s="89"/>
      <c r="BW188" s="88">
        <v>8392.2278675846846</v>
      </c>
      <c r="BX188" s="89">
        <v>2445.4473026389715</v>
      </c>
      <c r="BY188" s="89">
        <v>1702.1124348389712</v>
      </c>
      <c r="BZ188" s="89">
        <v>743.33486779999998</v>
      </c>
      <c r="CA188" s="89">
        <v>6801.273654417143</v>
      </c>
      <c r="CB188" s="89">
        <v>-854.4930894714289</v>
      </c>
      <c r="CC188" s="88">
        <v>981.26460600000007</v>
      </c>
      <c r="CD188" s="89">
        <v>-50.915394000000006</v>
      </c>
      <c r="CE188" s="89">
        <v>20.360091000000001</v>
      </c>
      <c r="CF188" s="89">
        <v>-71.275485000000003</v>
      </c>
      <c r="CG188" s="89">
        <v>1032.18</v>
      </c>
      <c r="CH188" s="89"/>
      <c r="CI188" s="88">
        <v>60734.2</v>
      </c>
      <c r="CJ188" s="89">
        <v>10343</v>
      </c>
      <c r="CK188" s="89">
        <v>10318.200000000001</v>
      </c>
      <c r="CL188" s="89">
        <v>24.8</v>
      </c>
      <c r="CM188" s="89">
        <v>51878.299999999996</v>
      </c>
      <c r="CN188" s="89">
        <v>-1487.2</v>
      </c>
      <c r="CO188" s="88">
        <v>35423.5</v>
      </c>
      <c r="CP188" s="89">
        <v>-3110.9</v>
      </c>
      <c r="CQ188" s="89">
        <v>9442</v>
      </c>
      <c r="CR188" s="89">
        <v>-12552.9</v>
      </c>
      <c r="CS188" s="89">
        <v>49883</v>
      </c>
      <c r="CT188" s="89">
        <v>-11348.6</v>
      </c>
      <c r="CU188" s="88">
        <v>43948.51570921894</v>
      </c>
      <c r="CV188" s="89">
        <v>20877.690754280902</v>
      </c>
      <c r="CW188" s="89">
        <v>21146.748247920652</v>
      </c>
      <c r="CX188" s="89">
        <v>-269.05749363975019</v>
      </c>
      <c r="CY188" s="89">
        <v>23070.824954938038</v>
      </c>
      <c r="CZ188" s="89"/>
      <c r="DA188" s="88">
        <v>30409.784710068692</v>
      </c>
      <c r="DB188" s="89">
        <v>-3391.6247959018638</v>
      </c>
      <c r="DC188" s="89">
        <v>-5061.1795055335551</v>
      </c>
      <c r="DD188" s="89">
        <v>1669.5547096316914</v>
      </c>
      <c r="DE188" s="89">
        <v>64157.76129048047</v>
      </c>
      <c r="DF188" s="89">
        <v>-30356.351784509912</v>
      </c>
      <c r="DG188" s="88">
        <v>226422.20100000003</v>
      </c>
      <c r="DH188" s="89">
        <v>141350.72700000001</v>
      </c>
      <c r="DI188" s="89"/>
      <c r="DJ188" s="89"/>
      <c r="DK188" s="89">
        <v>89032.248000000007</v>
      </c>
      <c r="DL188" s="89">
        <v>-3960.7739999999999</v>
      </c>
      <c r="DM188" s="88">
        <v>2826603.7561051804</v>
      </c>
      <c r="DN188" s="89">
        <v>1414493.3560000001</v>
      </c>
      <c r="DO188" s="89">
        <v>1262380.456</v>
      </c>
      <c r="DP188" s="89">
        <v>152112.90000000002</v>
      </c>
      <c r="DQ188" s="89">
        <v>1412110.4</v>
      </c>
      <c r="DR188" s="89"/>
      <c r="DS188" s="88">
        <v>50133.620224247687</v>
      </c>
      <c r="DT188" s="89">
        <v>41207.456559198654</v>
      </c>
      <c r="DU188" s="89">
        <v>40483.456201383357</v>
      </c>
      <c r="DV188" s="89">
        <v>724.00035781530005</v>
      </c>
      <c r="DW188" s="89">
        <v>19821.297487428492</v>
      </c>
      <c r="DX188" s="89">
        <v>-10895.133822379461</v>
      </c>
      <c r="DY188" s="88">
        <v>6553.8654980000001</v>
      </c>
      <c r="DZ188" s="89">
        <f t="shared" si="8"/>
        <v>-116.58105899999998</v>
      </c>
      <c r="EA188" s="89">
        <v>723.17838399999994</v>
      </c>
      <c r="EB188" s="89">
        <v>-839.75944299999992</v>
      </c>
      <c r="EC188" s="89">
        <v>6670.4465570000002</v>
      </c>
      <c r="ED188" s="89"/>
      <c r="EE188" s="88">
        <v>9047.4672110577012</v>
      </c>
      <c r="EF188" s="89">
        <v>-415.15654511999963</v>
      </c>
      <c r="EG188" s="89">
        <v>-415.66412911999964</v>
      </c>
      <c r="EH188" s="89">
        <v>0.50758400000000004</v>
      </c>
      <c r="EI188" s="89">
        <v>12532.33502558</v>
      </c>
      <c r="EJ188" s="89">
        <v>-3069.7112694022971</v>
      </c>
      <c r="EK188" s="88">
        <v>6697046.3874430005</v>
      </c>
      <c r="EL188" s="89">
        <v>-24832.751922000243</v>
      </c>
      <c r="EM188" s="89">
        <v>8121.8382719997317</v>
      </c>
      <c r="EN188" s="89">
        <v>-32954.590193999975</v>
      </c>
      <c r="EO188" s="89">
        <v>6650108.6327110007</v>
      </c>
      <c r="EP188" s="89">
        <v>71770.506653999997</v>
      </c>
      <c r="EQ188" s="88">
        <v>30854.435141500006</v>
      </c>
      <c r="ER188" s="89">
        <v>-10679.86145475</v>
      </c>
      <c r="ES188" s="89"/>
      <c r="ET188" s="89"/>
      <c r="EU188" s="89">
        <v>63440.906871500003</v>
      </c>
      <c r="EV188" s="89">
        <v>-21906.610275250001</v>
      </c>
      <c r="EW188" s="88">
        <v>349483.12401344074</v>
      </c>
      <c r="EX188" s="89">
        <f t="shared" si="14"/>
        <v>67032.147342930009</v>
      </c>
      <c r="EY188" s="89">
        <v>60843.737226290003</v>
      </c>
      <c r="EZ188" s="89">
        <v>6188.4101166400014</v>
      </c>
      <c r="FA188" s="89">
        <v>217676.98742229998</v>
      </c>
      <c r="FB188" s="89">
        <v>64773.989248210732</v>
      </c>
      <c r="FC188" s="88">
        <v>1132.273639</v>
      </c>
      <c r="FD188" s="89">
        <v>248.46263900000002</v>
      </c>
      <c r="FE188" s="89">
        <v>519.12635799999998</v>
      </c>
      <c r="FF188" s="89">
        <v>-270.66371899999996</v>
      </c>
      <c r="FG188" s="89">
        <v>883.81100000000004</v>
      </c>
      <c r="FH188" s="89"/>
      <c r="FI188" s="88">
        <v>639.49681999999996</v>
      </c>
      <c r="FJ188" s="89">
        <v>-46.797179999999997</v>
      </c>
      <c r="FK188" s="89">
        <v>14.877816000000006</v>
      </c>
      <c r="FL188" s="89">
        <v>-61.674996</v>
      </c>
      <c r="FM188" s="89">
        <v>686.29399999999998</v>
      </c>
      <c r="FN188" s="89"/>
      <c r="FO188" s="88">
        <v>1624.5534700000001</v>
      </c>
      <c r="FP188" s="89">
        <v>-270.98953</v>
      </c>
      <c r="FQ188" s="89">
        <v>-92.191653999999986</v>
      </c>
      <c r="FR188" s="89">
        <v>-178.797876</v>
      </c>
      <c r="FS188" s="89">
        <v>1895.5429999999999</v>
      </c>
      <c r="FT188" s="89"/>
      <c r="FU188" s="88"/>
      <c r="FV188" s="89"/>
      <c r="FW188" s="89"/>
      <c r="FX188" s="89"/>
      <c r="FY188" s="89"/>
      <c r="FZ188" s="89"/>
      <c r="GA188" s="120">
        <v>14286.1</v>
      </c>
      <c r="GB188" s="121">
        <v>-8040.2999999999993</v>
      </c>
      <c r="GC188" s="121">
        <v>-11338.8</v>
      </c>
      <c r="GD188" s="121">
        <v>3298.5</v>
      </c>
      <c r="GE188" s="121">
        <v>22326.400000000001</v>
      </c>
      <c r="GF188" s="89"/>
      <c r="GG188" s="88"/>
      <c r="GH188" s="89"/>
      <c r="GI188" s="89"/>
      <c r="GJ188" s="89"/>
      <c r="GK188" s="89"/>
      <c r="GL188" s="89"/>
      <c r="GM188" s="88">
        <v>48136.193172616484</v>
      </c>
      <c r="GN188" s="89">
        <v>10641.77151621594</v>
      </c>
      <c r="GO188" s="89">
        <v>10641.6707288936</v>
      </c>
      <c r="GP188" s="89">
        <v>0.10078732234053314</v>
      </c>
      <c r="GQ188" s="89">
        <v>26012.646647810339</v>
      </c>
      <c r="GR188" s="89">
        <v>11481.775008590199</v>
      </c>
      <c r="GS188" s="88"/>
      <c r="GT188" s="87"/>
      <c r="GU188" s="87"/>
      <c r="GV188" s="87"/>
      <c r="GW188" s="87"/>
      <c r="GX188" s="87"/>
      <c r="GY188" s="87"/>
      <c r="GZ188" s="88"/>
      <c r="HA188" s="87"/>
      <c r="HB188" s="87"/>
      <c r="HC188" s="87"/>
      <c r="HD188" s="87"/>
      <c r="HE188" s="87"/>
      <c r="HF188" s="87"/>
      <c r="HG188" s="131"/>
      <c r="HH188" s="131"/>
      <c r="HI188" s="131"/>
      <c r="HJ188" s="131"/>
      <c r="HK188" s="110"/>
      <c r="HL188" s="88"/>
      <c r="HM188" s="87"/>
      <c r="HN188" s="87"/>
      <c r="HO188" s="87"/>
      <c r="HP188" s="87"/>
      <c r="HQ188" s="87"/>
      <c r="HR188" s="87"/>
      <c r="HS188" s="87"/>
    </row>
    <row r="189" spans="1:228">
      <c r="A189" s="69"/>
      <c r="B189" s="87" t="s">
        <v>494</v>
      </c>
      <c r="C189" s="88">
        <v>1676.2766999999999</v>
      </c>
      <c r="D189" s="87">
        <v>56.032700000000006</v>
      </c>
      <c r="E189" s="87">
        <v>256.90210400000001</v>
      </c>
      <c r="F189" s="87">
        <v>-200.869404</v>
      </c>
      <c r="G189" s="87">
        <v>1620.2439999999999</v>
      </c>
      <c r="H189" s="87"/>
      <c r="I189" s="88">
        <v>139486.98499999999</v>
      </c>
      <c r="J189" s="89">
        <v>162497.82999999999</v>
      </c>
      <c r="K189" s="89"/>
      <c r="L189" s="89"/>
      <c r="M189" s="89">
        <v>53122.953999999998</v>
      </c>
      <c r="N189" s="89">
        <v>-76133.798999999999</v>
      </c>
      <c r="O189" s="90"/>
      <c r="P189" s="91"/>
      <c r="Q189" s="91"/>
      <c r="R189" s="91"/>
      <c r="S189" s="91"/>
      <c r="T189" s="91"/>
      <c r="U189" s="90">
        <v>4863.0820000000003</v>
      </c>
      <c r="V189" s="91">
        <v>1178.4000000000001</v>
      </c>
      <c r="W189" s="91">
        <v>726.6</v>
      </c>
      <c r="X189" s="91">
        <v>451.834</v>
      </c>
      <c r="Y189" s="91">
        <v>3684.6819999999998</v>
      </c>
      <c r="Z189" s="91"/>
      <c r="AA189" s="88">
        <v>1302.817</v>
      </c>
      <c r="AB189" s="89">
        <v>151.64699999999999</v>
      </c>
      <c r="AC189" s="89">
        <v>108.937</v>
      </c>
      <c r="AD189" s="89">
        <v>42.71</v>
      </c>
      <c r="AE189" s="89">
        <v>1151.17</v>
      </c>
      <c r="AF189" s="89"/>
      <c r="AG189" s="88">
        <v>40758.761600047503</v>
      </c>
      <c r="AH189" s="89">
        <v>10878.71244145383</v>
      </c>
      <c r="AI189" s="89">
        <v>10878.71244145383</v>
      </c>
      <c r="AJ189" s="89"/>
      <c r="AK189" s="89">
        <v>29880.049158593672</v>
      </c>
      <c r="AL189" s="89"/>
      <c r="AM189" s="88">
        <v>1516299</v>
      </c>
      <c r="AN189" s="89">
        <v>832180</v>
      </c>
      <c r="AO189" s="89">
        <v>814958</v>
      </c>
      <c r="AP189" s="89">
        <v>17222</v>
      </c>
      <c r="AQ189" s="89">
        <v>622832</v>
      </c>
      <c r="AR189" s="89">
        <v>61287</v>
      </c>
      <c r="AS189" s="88">
        <v>36775000</v>
      </c>
      <c r="AT189" s="89">
        <v>138000</v>
      </c>
      <c r="AU189" s="89">
        <v>138000</v>
      </c>
      <c r="AV189" s="89"/>
      <c r="AW189" s="89">
        <v>38802000</v>
      </c>
      <c r="AX189" s="89">
        <v>-2165000</v>
      </c>
      <c r="AY189" s="88">
        <v>90925352.638716727</v>
      </c>
      <c r="AZ189" s="89">
        <f t="shared" si="13"/>
        <v>27942804.014673688</v>
      </c>
      <c r="BA189" s="89">
        <v>21833174.6947501</v>
      </c>
      <c r="BB189" s="89">
        <v>6109629.319923589</v>
      </c>
      <c r="BC189" s="89">
        <v>62982548.624043025</v>
      </c>
      <c r="BD189" s="89"/>
      <c r="BE189" s="88">
        <v>3790477.9092747001</v>
      </c>
      <c r="BF189" s="89">
        <v>752881.36479025998</v>
      </c>
      <c r="BG189" s="89">
        <v>720191.87525130995</v>
      </c>
      <c r="BH189" s="89">
        <v>32689.489538950002</v>
      </c>
      <c r="BI189" s="89">
        <v>2904809.49592786</v>
      </c>
      <c r="BJ189" s="89">
        <v>132787.04855658</v>
      </c>
      <c r="BK189" s="88">
        <v>436.87222699999995</v>
      </c>
      <c r="BL189" s="89">
        <v>-24.141773000000008</v>
      </c>
      <c r="BM189" s="89">
        <v>13.289751999999993</v>
      </c>
      <c r="BN189" s="89">
        <v>-37.431525000000001</v>
      </c>
      <c r="BO189" s="89">
        <v>461.01400000000001</v>
      </c>
      <c r="BP189" s="89"/>
      <c r="BQ189" s="88">
        <v>6022.4</v>
      </c>
      <c r="BR189" s="89">
        <v>-1574.6999999999998</v>
      </c>
      <c r="BS189" s="89">
        <v>-575.29999999999995</v>
      </c>
      <c r="BT189" s="89">
        <v>-999.4</v>
      </c>
      <c r="BU189" s="89">
        <v>7597.2</v>
      </c>
      <c r="BV189" s="89"/>
      <c r="BW189" s="88">
        <v>8066.7877623625427</v>
      </c>
      <c r="BX189" s="89">
        <v>2222.211915653972</v>
      </c>
      <c r="BY189" s="89">
        <v>1431.9669787039718</v>
      </c>
      <c r="BZ189" s="89">
        <v>790.24493695000001</v>
      </c>
      <c r="CA189" s="89">
        <v>6754.4373266371422</v>
      </c>
      <c r="CB189" s="89">
        <v>-909.8614799285715</v>
      </c>
      <c r="CC189" s="88">
        <v>996.91491199999996</v>
      </c>
      <c r="CD189" s="89">
        <v>-45.911088000000007</v>
      </c>
      <c r="CE189" s="89">
        <v>27.177141000000002</v>
      </c>
      <c r="CF189" s="89">
        <v>-73.088229000000013</v>
      </c>
      <c r="CG189" s="89">
        <v>1042.826</v>
      </c>
      <c r="CH189" s="89"/>
      <c r="CI189" s="88">
        <v>61524.800000000003</v>
      </c>
      <c r="CJ189" s="89">
        <v>10182.1</v>
      </c>
      <c r="CK189" s="89">
        <v>10155.6</v>
      </c>
      <c r="CL189" s="89">
        <v>26.5</v>
      </c>
      <c r="CM189" s="89">
        <v>53041.1</v>
      </c>
      <c r="CN189" s="89">
        <v>-1698.4</v>
      </c>
      <c r="CO189" s="88">
        <v>32417.599999999999</v>
      </c>
      <c r="CP189" s="89">
        <v>-6138</v>
      </c>
      <c r="CQ189" s="89">
        <v>6116.2</v>
      </c>
      <c r="CR189" s="89">
        <v>-12254.2</v>
      </c>
      <c r="CS189" s="89">
        <v>50525.7</v>
      </c>
      <c r="CT189" s="89">
        <v>-11970.1</v>
      </c>
      <c r="CU189" s="88">
        <v>45276.756474824339</v>
      </c>
      <c r="CV189" s="89">
        <v>21589.910894215544</v>
      </c>
      <c r="CW189" s="89">
        <v>21876.58778451059</v>
      </c>
      <c r="CX189" s="89">
        <v>-286.67689029504709</v>
      </c>
      <c r="CY189" s="89">
        <v>23686.845580608795</v>
      </c>
      <c r="CZ189" s="89"/>
      <c r="DA189" s="88">
        <v>31717.492111819898</v>
      </c>
      <c r="DB189" s="89">
        <v>-3252.4376923612767</v>
      </c>
      <c r="DC189" s="89">
        <v>-4915.5960370786379</v>
      </c>
      <c r="DD189" s="89">
        <v>1663.1583447173612</v>
      </c>
      <c r="DE189" s="89">
        <v>64874.276214400015</v>
      </c>
      <c r="DF189" s="89">
        <v>-29904.346410218845</v>
      </c>
      <c r="DG189" s="88">
        <v>233487.91099999999</v>
      </c>
      <c r="DH189" s="89">
        <v>149835.041</v>
      </c>
      <c r="DI189" s="89"/>
      <c r="DJ189" s="89"/>
      <c r="DK189" s="89">
        <v>86876.983999999997</v>
      </c>
      <c r="DL189" s="89">
        <v>-3224.114</v>
      </c>
      <c r="DM189" s="88">
        <v>2844111.2645178903</v>
      </c>
      <c r="DN189" s="89">
        <v>1437321.365</v>
      </c>
      <c r="DO189" s="89">
        <v>1285539.9650000001</v>
      </c>
      <c r="DP189" s="89">
        <v>151781.4</v>
      </c>
      <c r="DQ189" s="89">
        <v>1406789.9</v>
      </c>
      <c r="DR189" s="89"/>
      <c r="DS189" s="88">
        <v>50785.966773900829</v>
      </c>
      <c r="DT189" s="89">
        <v>41152.160019051931</v>
      </c>
      <c r="DU189" s="89">
        <v>40367.123764438322</v>
      </c>
      <c r="DV189" s="89">
        <v>785.03625461360991</v>
      </c>
      <c r="DW189" s="89">
        <v>20033.858475804522</v>
      </c>
      <c r="DX189" s="89">
        <v>-10400.05172095562</v>
      </c>
      <c r="DY189" s="88">
        <v>6525.2168339999998</v>
      </c>
      <c r="DZ189" s="89">
        <f t="shared" ref="DZ189:DZ252" si="15">EA189+EB189</f>
        <v>-187.50107600000001</v>
      </c>
      <c r="EA189" s="89">
        <v>767.13201399999991</v>
      </c>
      <c r="EB189" s="89">
        <v>-954.63308999999992</v>
      </c>
      <c r="EC189" s="89">
        <v>6712.7179100000003</v>
      </c>
      <c r="ED189" s="89"/>
      <c r="EE189" s="88">
        <v>9136.4821941840291</v>
      </c>
      <c r="EF189" s="89">
        <v>-571.82737036999993</v>
      </c>
      <c r="EG189" s="89">
        <v>-571.82737036999993</v>
      </c>
      <c r="EH189" s="89">
        <v>0</v>
      </c>
      <c r="EI189" s="89">
        <v>12717.69404219</v>
      </c>
      <c r="EJ189" s="89">
        <v>-3009.3844776359706</v>
      </c>
      <c r="EK189" s="88">
        <v>6470008.6780690011</v>
      </c>
      <c r="EL189" s="89">
        <v>-104899.2087619995</v>
      </c>
      <c r="EM189" s="89">
        <v>-48074.459819999523</v>
      </c>
      <c r="EN189" s="89">
        <v>-56824.748941999977</v>
      </c>
      <c r="EO189" s="89">
        <v>6506376.0802610004</v>
      </c>
      <c r="EP189" s="89">
        <v>68531.806569999986</v>
      </c>
      <c r="EQ189" s="88">
        <v>31770.275878500004</v>
      </c>
      <c r="ER189" s="89">
        <v>-10235.815645250001</v>
      </c>
      <c r="ES189" s="89"/>
      <c r="ET189" s="89"/>
      <c r="EU189" s="89">
        <v>64304.114376500002</v>
      </c>
      <c r="EV189" s="89">
        <v>-22298.02285275</v>
      </c>
      <c r="EW189" s="88">
        <v>352914.14645589411</v>
      </c>
      <c r="EX189" s="89">
        <f t="shared" si="14"/>
        <v>67082.412638059992</v>
      </c>
      <c r="EY189" s="89">
        <v>61579.781412509998</v>
      </c>
      <c r="EZ189" s="89">
        <v>5502.6312255500006</v>
      </c>
      <c r="FA189" s="89">
        <v>219522.34447308996</v>
      </c>
      <c r="FB189" s="89">
        <v>66309.389344744166</v>
      </c>
      <c r="FC189" s="88">
        <v>1141.6105910000001</v>
      </c>
      <c r="FD189" s="89">
        <v>250.82459100000011</v>
      </c>
      <c r="FE189" s="89">
        <v>527.84231000000011</v>
      </c>
      <c r="FF189" s="89">
        <v>-277.017719</v>
      </c>
      <c r="FG189" s="89">
        <v>890.78599999999994</v>
      </c>
      <c r="FH189" s="89"/>
      <c r="FI189" s="88">
        <v>654.53457300000002</v>
      </c>
      <c r="FJ189" s="89">
        <v>-23.203427000000005</v>
      </c>
      <c r="FK189" s="89">
        <v>40.670299</v>
      </c>
      <c r="FL189" s="89">
        <v>-63.873726000000005</v>
      </c>
      <c r="FM189" s="89">
        <v>677.73800000000006</v>
      </c>
      <c r="FN189" s="89"/>
      <c r="FO189" s="88">
        <v>1633.517603</v>
      </c>
      <c r="FP189" s="89">
        <v>-296.95639699999998</v>
      </c>
      <c r="FQ189" s="89">
        <v>-99.428521000000003</v>
      </c>
      <c r="FR189" s="89">
        <v>-197.52787599999999</v>
      </c>
      <c r="FS189" s="89">
        <v>1930.4739999999999</v>
      </c>
      <c r="FT189" s="89"/>
      <c r="FU189" s="88"/>
      <c r="FV189" s="89"/>
      <c r="FW189" s="89"/>
      <c r="FX189" s="89"/>
      <c r="FY189" s="89"/>
      <c r="FZ189" s="89"/>
      <c r="GA189" s="88">
        <v>14317.7</v>
      </c>
      <c r="GB189" s="89">
        <v>-9152.4</v>
      </c>
      <c r="GC189" s="89">
        <v>-12792.9</v>
      </c>
      <c r="GD189" s="89">
        <v>3640.5</v>
      </c>
      <c r="GE189" s="89">
        <v>23470.1</v>
      </c>
      <c r="GF189" s="89"/>
      <c r="GG189" s="88"/>
      <c r="GH189" s="89"/>
      <c r="GI189" s="89"/>
      <c r="GJ189" s="89"/>
      <c r="GK189" s="89"/>
      <c r="GL189" s="89"/>
      <c r="GM189" s="88">
        <v>51256.638979608935</v>
      </c>
      <c r="GN189" s="89">
        <v>10938.060037650677</v>
      </c>
      <c r="GO189" s="89">
        <v>10937.958819748095</v>
      </c>
      <c r="GP189" s="89">
        <v>0.10121790258027613</v>
      </c>
      <c r="GQ189" s="89">
        <v>27899.351680235908</v>
      </c>
      <c r="GR189" s="89">
        <v>12419.22726172235</v>
      </c>
      <c r="GS189" s="88"/>
      <c r="GT189" s="87"/>
      <c r="GU189" s="87"/>
      <c r="GV189" s="87"/>
      <c r="GW189" s="87"/>
      <c r="GX189" s="87"/>
      <c r="GY189" s="87"/>
      <c r="GZ189" s="88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110"/>
      <c r="HL189" s="88"/>
      <c r="HM189" s="87"/>
      <c r="HN189" s="87"/>
      <c r="HO189" s="87"/>
      <c r="HP189" s="87"/>
      <c r="HQ189" s="87"/>
      <c r="HR189" s="87"/>
      <c r="HS189" s="87"/>
    </row>
    <row r="190" spans="1:228">
      <c r="A190" s="69"/>
      <c r="B190" s="87" t="s">
        <v>495</v>
      </c>
      <c r="C190" s="88">
        <v>1676.5696889999999</v>
      </c>
      <c r="D190" s="87">
        <v>27.980689000000012</v>
      </c>
      <c r="E190" s="87">
        <v>244.49987100000001</v>
      </c>
      <c r="F190" s="87">
        <v>-216.519182</v>
      </c>
      <c r="G190" s="87">
        <v>1648.5889999999999</v>
      </c>
      <c r="H190" s="87"/>
      <c r="I190" s="88">
        <v>140288.21100000001</v>
      </c>
      <c r="J190" s="89">
        <v>160825.56400000001</v>
      </c>
      <c r="K190" s="89"/>
      <c r="L190" s="89"/>
      <c r="M190" s="89">
        <v>54213.66</v>
      </c>
      <c r="N190" s="89">
        <v>-74751.013000000006</v>
      </c>
      <c r="O190" s="90"/>
      <c r="P190" s="91"/>
      <c r="Q190" s="91"/>
      <c r="R190" s="91"/>
      <c r="S190" s="91"/>
      <c r="T190" s="91"/>
      <c r="U190" s="90">
        <v>4889.2160000000003</v>
      </c>
      <c r="V190" s="91">
        <v>1200.5999999999999</v>
      </c>
      <c r="W190" s="91">
        <v>735.2</v>
      </c>
      <c r="X190" s="91">
        <v>465.34500000000003</v>
      </c>
      <c r="Y190" s="91">
        <v>3688.616</v>
      </c>
      <c r="Z190" s="91"/>
      <c r="AA190" s="88">
        <v>1317.575</v>
      </c>
      <c r="AB190" s="89">
        <v>148.64500000000001</v>
      </c>
      <c r="AC190" s="89">
        <v>107.26900000000001</v>
      </c>
      <c r="AD190" s="89">
        <v>41.375999999999998</v>
      </c>
      <c r="AE190" s="89">
        <v>1168.93</v>
      </c>
      <c r="AF190" s="89"/>
      <c r="AG190" s="88">
        <v>40698.610393607196</v>
      </c>
      <c r="AH190" s="89">
        <v>10768.296960130989</v>
      </c>
      <c r="AI190" s="89">
        <v>10768.296960130989</v>
      </c>
      <c r="AJ190" s="89"/>
      <c r="AK190" s="89">
        <v>29930.313433476207</v>
      </c>
      <c r="AL190" s="89"/>
      <c r="AM190" s="88">
        <v>1536848</v>
      </c>
      <c r="AN190" s="89">
        <v>844904</v>
      </c>
      <c r="AO190" s="89">
        <v>827171</v>
      </c>
      <c r="AP190" s="89">
        <v>17733</v>
      </c>
      <c r="AQ190" s="89">
        <v>628987</v>
      </c>
      <c r="AR190" s="89">
        <v>62956</v>
      </c>
      <c r="AS190" s="88">
        <v>36705000</v>
      </c>
      <c r="AT190" s="89">
        <v>388000</v>
      </c>
      <c r="AU190" s="89">
        <v>388000</v>
      </c>
      <c r="AV190" s="89"/>
      <c r="AW190" s="89">
        <v>39110000</v>
      </c>
      <c r="AX190" s="89">
        <v>-2793000</v>
      </c>
      <c r="AY190" s="88">
        <v>92646775.124647185</v>
      </c>
      <c r="AZ190" s="89">
        <f t="shared" si="13"/>
        <v>30439448.484919373</v>
      </c>
      <c r="BA190" s="89">
        <v>24588706.749183781</v>
      </c>
      <c r="BB190" s="89">
        <v>5850741.7357355906</v>
      </c>
      <c r="BC190" s="89">
        <v>62207326.639727816</v>
      </c>
      <c r="BD190" s="89"/>
      <c r="BE190" s="88">
        <v>3832872.3720634198</v>
      </c>
      <c r="BF190" s="89">
        <v>758277.54148214997</v>
      </c>
      <c r="BG190" s="89">
        <v>725958.03459776996</v>
      </c>
      <c r="BH190" s="89">
        <v>32319.50688438</v>
      </c>
      <c r="BI190" s="89">
        <v>2949535.5568517698</v>
      </c>
      <c r="BJ190" s="89">
        <v>125059.2737295</v>
      </c>
      <c r="BK190" s="88">
        <v>445.22227299999997</v>
      </c>
      <c r="BL190" s="89">
        <v>-20.04372699999999</v>
      </c>
      <c r="BM190" s="89">
        <v>20.875945000000009</v>
      </c>
      <c r="BN190" s="89">
        <v>-40.919671999999998</v>
      </c>
      <c r="BO190" s="89">
        <v>465.26600000000002</v>
      </c>
      <c r="BP190" s="89"/>
      <c r="BQ190" s="88">
        <v>5944.6</v>
      </c>
      <c r="BR190" s="89">
        <v>-1809.3000000000002</v>
      </c>
      <c r="BS190" s="89">
        <v>-714.9</v>
      </c>
      <c r="BT190" s="89">
        <v>-1094.4000000000001</v>
      </c>
      <c r="BU190" s="89">
        <v>7753.9</v>
      </c>
      <c r="BV190" s="89"/>
      <c r="BW190" s="88">
        <v>8231.0301602035433</v>
      </c>
      <c r="BX190" s="89">
        <v>2363.6295870049717</v>
      </c>
      <c r="BY190" s="89">
        <v>1507.5543805949712</v>
      </c>
      <c r="BZ190" s="89">
        <v>856.07520641000019</v>
      </c>
      <c r="CA190" s="89">
        <v>6779.080215627142</v>
      </c>
      <c r="CB190" s="89">
        <v>-911.67964242857136</v>
      </c>
      <c r="CC190" s="88">
        <v>1038.4975300000001</v>
      </c>
      <c r="CD190" s="89">
        <v>-14.974469999999997</v>
      </c>
      <c r="CE190" s="89">
        <v>48.995470000000005</v>
      </c>
      <c r="CF190" s="89">
        <v>-63.969940000000001</v>
      </c>
      <c r="CG190" s="89">
        <v>1053.472</v>
      </c>
      <c r="CH190" s="89"/>
      <c r="CI190" s="88">
        <v>63065.7</v>
      </c>
      <c r="CJ190" s="89">
        <v>10830.5</v>
      </c>
      <c r="CK190" s="89">
        <v>10804.5</v>
      </c>
      <c r="CL190" s="89">
        <v>26</v>
      </c>
      <c r="CM190" s="89">
        <v>53915.799999999996</v>
      </c>
      <c r="CN190" s="89">
        <v>-1680.6</v>
      </c>
      <c r="CO190" s="88">
        <v>37467</v>
      </c>
      <c r="CP190" s="89">
        <v>-4312</v>
      </c>
      <c r="CQ190" s="89">
        <v>6892.8</v>
      </c>
      <c r="CR190" s="89">
        <v>-11204.8</v>
      </c>
      <c r="CS190" s="89">
        <v>51081.8</v>
      </c>
      <c r="CT190" s="89">
        <v>-9302.9</v>
      </c>
      <c r="CU190" s="88">
        <v>46669.297094483722</v>
      </c>
      <c r="CV190" s="89">
        <v>21947.57447579355</v>
      </c>
      <c r="CW190" s="89">
        <v>22226.762986369304</v>
      </c>
      <c r="CX190" s="89">
        <v>-279.18851057575409</v>
      </c>
      <c r="CY190" s="89">
        <v>24721.722618690172</v>
      </c>
      <c r="CZ190" s="89"/>
      <c r="DA190" s="88">
        <v>31884.667333319689</v>
      </c>
      <c r="DB190" s="89">
        <v>-2881.9057926315363</v>
      </c>
      <c r="DC190" s="89">
        <v>-4882.224242439881</v>
      </c>
      <c r="DD190" s="89">
        <v>2000.3184498083451</v>
      </c>
      <c r="DE190" s="89">
        <v>66004.417599507899</v>
      </c>
      <c r="DF190" s="89">
        <v>-31237.844473556681</v>
      </c>
      <c r="DG190" s="88">
        <v>240146.33100000001</v>
      </c>
      <c r="DH190" s="89">
        <v>156072.16800000001</v>
      </c>
      <c r="DI190" s="89"/>
      <c r="DJ190" s="89"/>
      <c r="DK190" s="89">
        <v>87017.510999999999</v>
      </c>
      <c r="DL190" s="89">
        <v>-2943.348</v>
      </c>
      <c r="DM190" s="88">
        <v>2838671.9299651803</v>
      </c>
      <c r="DN190" s="89">
        <v>1400093.8299999998</v>
      </c>
      <c r="DO190" s="89">
        <v>1247674.1299999999</v>
      </c>
      <c r="DP190" s="89">
        <v>152419.70000000001</v>
      </c>
      <c r="DQ190" s="89">
        <v>1438578.1</v>
      </c>
      <c r="DR190" s="89"/>
      <c r="DS190" s="88">
        <v>51599.135989838047</v>
      </c>
      <c r="DT190" s="89">
        <v>41453.613384332537</v>
      </c>
      <c r="DU190" s="89">
        <v>40639.202917885756</v>
      </c>
      <c r="DV190" s="89">
        <v>814.41046644678397</v>
      </c>
      <c r="DW190" s="89">
        <v>20508.529115190504</v>
      </c>
      <c r="DX190" s="89">
        <v>-10363.006509684987</v>
      </c>
      <c r="DY190" s="88">
        <v>6597.1966220000004</v>
      </c>
      <c r="DZ190" s="89">
        <f t="shared" si="15"/>
        <v>-177.02903200000003</v>
      </c>
      <c r="EA190" s="89">
        <v>796.94331399999999</v>
      </c>
      <c r="EB190" s="89">
        <v>-973.97234600000002</v>
      </c>
      <c r="EC190" s="89">
        <v>6774.2256539999998</v>
      </c>
      <c r="ED190" s="89"/>
      <c r="EE190" s="88">
        <v>9360.9493132117823</v>
      </c>
      <c r="EF190" s="89">
        <v>-498.59631922000017</v>
      </c>
      <c r="EG190" s="89">
        <v>-498.59631922000017</v>
      </c>
      <c r="EH190" s="89">
        <v>0</v>
      </c>
      <c r="EI190" s="89">
        <v>12911.672601210001</v>
      </c>
      <c r="EJ190" s="89">
        <v>-3052.1269687782165</v>
      </c>
      <c r="EK190" s="88">
        <v>6375792.0813609995</v>
      </c>
      <c r="EL190" s="89">
        <v>-156765.29471400008</v>
      </c>
      <c r="EM190" s="89">
        <v>-156832.59563100012</v>
      </c>
      <c r="EN190" s="89">
        <v>67.300917000044137</v>
      </c>
      <c r="EO190" s="89">
        <v>6466889.8700549994</v>
      </c>
      <c r="EP190" s="89">
        <v>65667.506020000001</v>
      </c>
      <c r="EQ190" s="88">
        <v>29204.04815675001</v>
      </c>
      <c r="ER190" s="89">
        <v>-13539.6811285</v>
      </c>
      <c r="ES190" s="89"/>
      <c r="ET190" s="89"/>
      <c r="EU190" s="89">
        <v>65236.133679250001</v>
      </c>
      <c r="EV190" s="89">
        <v>-22492.40439399999</v>
      </c>
      <c r="EW190" s="88">
        <v>357226.54920215847</v>
      </c>
      <c r="EX190" s="89">
        <f t="shared" si="14"/>
        <v>65608.712088059998</v>
      </c>
      <c r="EY190" s="89">
        <v>60088.190853510001</v>
      </c>
      <c r="EZ190" s="89">
        <v>5520.5212345500004</v>
      </c>
      <c r="FA190" s="89">
        <v>222575.85929568001</v>
      </c>
      <c r="FB190" s="89">
        <v>69041.977818418498</v>
      </c>
      <c r="FC190" s="88">
        <v>1174.5804649999998</v>
      </c>
      <c r="FD190" s="89">
        <v>276.40246500000001</v>
      </c>
      <c r="FE190" s="89">
        <v>561.95887700000003</v>
      </c>
      <c r="FF190" s="89">
        <v>-285.55641200000002</v>
      </c>
      <c r="FG190" s="89">
        <v>898.178</v>
      </c>
      <c r="FH190" s="89"/>
      <c r="FI190" s="88">
        <v>638.37024800000006</v>
      </c>
      <c r="FJ190" s="89">
        <v>-38.405752000000007</v>
      </c>
      <c r="FK190" s="89">
        <v>34.192972999999995</v>
      </c>
      <c r="FL190" s="89">
        <v>-72.598725000000002</v>
      </c>
      <c r="FM190" s="89">
        <v>676.77599999999995</v>
      </c>
      <c r="FN190" s="89"/>
      <c r="FO190" s="88">
        <v>1674.3865690000002</v>
      </c>
      <c r="FP190" s="89">
        <v>-288.98143100000004</v>
      </c>
      <c r="FQ190" s="89">
        <v>-102.71555500000002</v>
      </c>
      <c r="FR190" s="89">
        <v>-186.26587599999999</v>
      </c>
      <c r="FS190" s="89">
        <v>1963.3679999999999</v>
      </c>
      <c r="FT190" s="89"/>
      <c r="FU190" s="88"/>
      <c r="FV190" s="89"/>
      <c r="FW190" s="89"/>
      <c r="FX190" s="89"/>
      <c r="FY190" s="89"/>
      <c r="FZ190" s="89"/>
      <c r="GA190" s="120">
        <v>13347.5</v>
      </c>
      <c r="GB190" s="121">
        <v>-10621.8</v>
      </c>
      <c r="GC190" s="121">
        <v>-14309</v>
      </c>
      <c r="GD190" s="121">
        <v>3687.2</v>
      </c>
      <c r="GE190" s="121">
        <v>23969.3</v>
      </c>
      <c r="GF190" s="89"/>
      <c r="GG190" s="88"/>
      <c r="GH190" s="89"/>
      <c r="GI190" s="89"/>
      <c r="GJ190" s="89"/>
      <c r="GK190" s="89"/>
      <c r="GL190" s="89"/>
      <c r="GM190" s="88">
        <v>51358.031821574048</v>
      </c>
      <c r="GN190" s="89">
        <v>10286.34815965121</v>
      </c>
      <c r="GO190" s="89">
        <v>10286.24681592739</v>
      </c>
      <c r="GP190" s="89">
        <v>0.10134372382052242</v>
      </c>
      <c r="GQ190" s="89">
        <v>28148.276121350209</v>
      </c>
      <c r="GR190" s="89">
        <v>12923.407540572631</v>
      </c>
      <c r="GS190" s="88"/>
      <c r="GT190" s="87"/>
      <c r="GU190" s="87"/>
      <c r="GV190" s="87"/>
      <c r="GW190" s="87"/>
      <c r="GX190" s="87"/>
      <c r="GY190" s="87"/>
      <c r="GZ190" s="88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8"/>
      <c r="HM190" s="87"/>
      <c r="HN190" s="87"/>
      <c r="HO190" s="87"/>
      <c r="HP190" s="87"/>
      <c r="HQ190" s="87"/>
      <c r="HR190" s="87"/>
      <c r="HS190" s="87"/>
    </row>
    <row r="191" spans="1:228">
      <c r="A191" s="69"/>
      <c r="B191" s="87" t="s">
        <v>496</v>
      </c>
      <c r="C191" s="88">
        <v>1730.8091010000001</v>
      </c>
      <c r="D191" s="87">
        <v>80.911100999999945</v>
      </c>
      <c r="E191" s="87">
        <v>250.49228299999996</v>
      </c>
      <c r="F191" s="87">
        <v>-169.58118200000001</v>
      </c>
      <c r="G191" s="87">
        <v>1649.8979999999999</v>
      </c>
      <c r="H191" s="87"/>
      <c r="I191" s="88">
        <v>136204.57</v>
      </c>
      <c r="J191" s="89">
        <v>158817.91200000001</v>
      </c>
      <c r="K191" s="89"/>
      <c r="L191" s="89"/>
      <c r="M191" s="89">
        <v>55730.023000000001</v>
      </c>
      <c r="N191" s="89">
        <v>-78343.365000000005</v>
      </c>
      <c r="O191" s="90"/>
      <c r="P191" s="91"/>
      <c r="Q191" s="91"/>
      <c r="R191" s="91"/>
      <c r="S191" s="91"/>
      <c r="T191" s="91"/>
      <c r="U191" s="90">
        <v>5072.3879999999999</v>
      </c>
      <c r="V191" s="91">
        <v>1315.1</v>
      </c>
      <c r="W191" s="91">
        <v>826.6</v>
      </c>
      <c r="X191" s="91">
        <v>488.52100000000002</v>
      </c>
      <c r="Y191" s="91">
        <v>3757.288</v>
      </c>
      <c r="Z191" s="91"/>
      <c r="AA191" s="88">
        <v>1347.636</v>
      </c>
      <c r="AB191" s="89">
        <v>164.36799999999999</v>
      </c>
      <c r="AC191" s="89">
        <v>125.92100000000001</v>
      </c>
      <c r="AD191" s="89">
        <v>38.447000000000003</v>
      </c>
      <c r="AE191" s="89">
        <v>1183.268</v>
      </c>
      <c r="AF191" s="89"/>
      <c r="AG191" s="88">
        <v>40485.453136703421</v>
      </c>
      <c r="AH191" s="89">
        <v>10587.821242078866</v>
      </c>
      <c r="AI191" s="89">
        <v>10587.821242078866</v>
      </c>
      <c r="AJ191" s="89"/>
      <c r="AK191" s="89">
        <v>29897.631894624552</v>
      </c>
      <c r="AL191" s="89"/>
      <c r="AM191" s="88">
        <v>1562974</v>
      </c>
      <c r="AN191" s="89">
        <v>855968</v>
      </c>
      <c r="AO191" s="89">
        <v>837899</v>
      </c>
      <c r="AP191" s="89">
        <v>18069</v>
      </c>
      <c r="AQ191" s="89">
        <v>639546</v>
      </c>
      <c r="AR191" s="89">
        <v>67459</v>
      </c>
      <c r="AS191" s="88">
        <v>37029000</v>
      </c>
      <c r="AT191" s="89">
        <v>42000</v>
      </c>
      <c r="AU191" s="89">
        <v>42000</v>
      </c>
      <c r="AV191" s="89"/>
      <c r="AW191" s="89">
        <v>39746000</v>
      </c>
      <c r="AX191" s="89">
        <v>-2759000</v>
      </c>
      <c r="AY191" s="88">
        <v>90115650.766726762</v>
      </c>
      <c r="AZ191" s="89">
        <f t="shared" si="13"/>
        <v>27567436.481250487</v>
      </c>
      <c r="BA191" s="89">
        <v>21533375.3017869</v>
      </c>
      <c r="BB191" s="89">
        <v>6034061.1794635896</v>
      </c>
      <c r="BC191" s="89">
        <v>62548214.285476275</v>
      </c>
      <c r="BD191" s="89"/>
      <c r="BE191" s="88">
        <v>3850355.23896136</v>
      </c>
      <c r="BF191" s="89">
        <v>676578.04026946996</v>
      </c>
      <c r="BG191" s="89">
        <v>645103.40727454994</v>
      </c>
      <c r="BH191" s="89">
        <v>31474.632994920001</v>
      </c>
      <c r="BI191" s="89">
        <v>3032747.1247203499</v>
      </c>
      <c r="BJ191" s="89">
        <v>141030.07397154</v>
      </c>
      <c r="BK191" s="88">
        <v>446.03689199999997</v>
      </c>
      <c r="BL191" s="89">
        <v>-26.761107999999993</v>
      </c>
      <c r="BM191" s="89">
        <v>19.844043000000006</v>
      </c>
      <c r="BN191" s="89">
        <v>-46.605150999999999</v>
      </c>
      <c r="BO191" s="89">
        <v>472.798</v>
      </c>
      <c r="BP191" s="89"/>
      <c r="BQ191" s="88">
        <v>6044.6</v>
      </c>
      <c r="BR191" s="89">
        <v>-1829.9</v>
      </c>
      <c r="BS191" s="89">
        <v>-772.9</v>
      </c>
      <c r="BT191" s="89">
        <v>-1057</v>
      </c>
      <c r="BU191" s="89">
        <v>7874.5</v>
      </c>
      <c r="BV191" s="89"/>
      <c r="BW191" s="88">
        <v>8328.4350836914437</v>
      </c>
      <c r="BX191" s="89">
        <v>2503.1549563828717</v>
      </c>
      <c r="BY191" s="89">
        <v>1601.3831230528717</v>
      </c>
      <c r="BZ191" s="89">
        <v>901.77183332999994</v>
      </c>
      <c r="CA191" s="89">
        <v>6832.5922749371439</v>
      </c>
      <c r="CB191" s="89">
        <v>-1007.3121476285716</v>
      </c>
      <c r="CC191" s="88">
        <v>1021.2679059999999</v>
      </c>
      <c r="CD191" s="89">
        <v>-35.287094000000018</v>
      </c>
      <c r="CE191" s="89">
        <v>34.273840999999983</v>
      </c>
      <c r="CF191" s="89">
        <v>-69.560935000000001</v>
      </c>
      <c r="CG191" s="89">
        <v>1056.5550000000001</v>
      </c>
      <c r="CH191" s="89"/>
      <c r="CI191" s="88">
        <v>62371.5</v>
      </c>
      <c r="CJ191" s="89">
        <v>11019</v>
      </c>
      <c r="CK191" s="89">
        <v>10993.3</v>
      </c>
      <c r="CL191" s="89">
        <v>25.7</v>
      </c>
      <c r="CM191" s="89">
        <v>54655.5</v>
      </c>
      <c r="CN191" s="89">
        <v>-3303</v>
      </c>
      <c r="CO191" s="88">
        <v>35929.5</v>
      </c>
      <c r="CP191" s="89">
        <v>-5002.5</v>
      </c>
      <c r="CQ191" s="89">
        <v>7316.9</v>
      </c>
      <c r="CR191" s="89">
        <v>-12319.4</v>
      </c>
      <c r="CS191" s="89">
        <v>50863</v>
      </c>
      <c r="CT191" s="89">
        <v>-9931</v>
      </c>
      <c r="CU191" s="88">
        <v>45871.018823996899</v>
      </c>
      <c r="CV191" s="89">
        <v>20823.862675455821</v>
      </c>
      <c r="CW191" s="89">
        <v>21039.470291204871</v>
      </c>
      <c r="CX191" s="89">
        <v>-215.60761574905013</v>
      </c>
      <c r="CY191" s="89">
        <v>25047.156148541075</v>
      </c>
      <c r="CZ191" s="89"/>
      <c r="DA191" s="88">
        <v>32498.842610689324</v>
      </c>
      <c r="DB191" s="89">
        <v>-2746.3165489615944</v>
      </c>
      <c r="DC191" s="89">
        <v>-4884.7727845376576</v>
      </c>
      <c r="DD191" s="89">
        <v>2138.4562355760627</v>
      </c>
      <c r="DE191" s="89">
        <v>66872.82916619067</v>
      </c>
      <c r="DF191" s="89">
        <v>-31627.670006539753</v>
      </c>
      <c r="DG191" s="88">
        <v>239897.13099999999</v>
      </c>
      <c r="DH191" s="89">
        <v>155859.454</v>
      </c>
      <c r="DI191" s="89"/>
      <c r="DJ191" s="89"/>
      <c r="DK191" s="89">
        <v>87505.357000000004</v>
      </c>
      <c r="DL191" s="89">
        <v>-3467.68</v>
      </c>
      <c r="DM191" s="88">
        <v>2898552.5263185599</v>
      </c>
      <c r="DN191" s="89">
        <v>1441618.7259999998</v>
      </c>
      <c r="DO191" s="89">
        <v>1284455.8259999999</v>
      </c>
      <c r="DP191" s="89">
        <v>157162.9</v>
      </c>
      <c r="DQ191" s="89">
        <v>1456933.8</v>
      </c>
      <c r="DR191" s="89"/>
      <c r="DS191" s="88">
        <v>50429.476412145326</v>
      </c>
      <c r="DT191" s="89">
        <v>40289.85488687094</v>
      </c>
      <c r="DU191" s="89">
        <v>39479.195637378725</v>
      </c>
      <c r="DV191" s="89">
        <v>810.65924949221608</v>
      </c>
      <c r="DW191" s="89">
        <v>21187.562727082743</v>
      </c>
      <c r="DX191" s="89">
        <v>-11047.941201808353</v>
      </c>
      <c r="DY191" s="88">
        <v>6715.8942269999998</v>
      </c>
      <c r="DZ191" s="89">
        <f t="shared" si="15"/>
        <v>-141.87290899999994</v>
      </c>
      <c r="EA191" s="89">
        <v>808.00095499999998</v>
      </c>
      <c r="EB191" s="89">
        <v>-949.87386399999991</v>
      </c>
      <c r="EC191" s="89">
        <v>6857.7671360000004</v>
      </c>
      <c r="ED191" s="89"/>
      <c r="EE191" s="88">
        <v>9518.4481395543207</v>
      </c>
      <c r="EF191" s="89">
        <v>-424.14955245000016</v>
      </c>
      <c r="EG191" s="89">
        <v>-424.19987277000018</v>
      </c>
      <c r="EH191" s="89">
        <v>5.0320319999999995E-2</v>
      </c>
      <c r="EI191" s="89">
        <v>13049.660454050001</v>
      </c>
      <c r="EJ191" s="89">
        <v>-3107.0627620456785</v>
      </c>
      <c r="EK191" s="88">
        <v>6465530.356666998</v>
      </c>
      <c r="EL191" s="89">
        <v>-220355.20072700057</v>
      </c>
      <c r="EM191" s="89">
        <v>-112554.02167200064</v>
      </c>
      <c r="EN191" s="89">
        <v>-107801.17905499993</v>
      </c>
      <c r="EO191" s="89">
        <v>6630024.0025049988</v>
      </c>
      <c r="EP191" s="89">
        <v>55861.554888999992</v>
      </c>
      <c r="EQ191" s="88">
        <v>34609.661946480002</v>
      </c>
      <c r="ER191" s="89">
        <v>-8100.7551109199985</v>
      </c>
      <c r="ES191" s="89"/>
      <c r="ET191" s="89"/>
      <c r="EU191" s="89">
        <v>65982.398636959988</v>
      </c>
      <c r="EV191" s="89">
        <v>-23271.981579559986</v>
      </c>
      <c r="EW191" s="88">
        <v>370750.72975275293</v>
      </c>
      <c r="EX191" s="89">
        <f t="shared" si="14"/>
        <v>65372.065317630018</v>
      </c>
      <c r="EY191" s="89">
        <v>58580.935053280016</v>
      </c>
      <c r="EZ191" s="89">
        <v>6791.1302643500003</v>
      </c>
      <c r="FA191" s="89">
        <v>193384.33456040002</v>
      </c>
      <c r="FB191" s="89">
        <v>111994.32987472287</v>
      </c>
      <c r="FC191" s="88">
        <v>1189.3067169999997</v>
      </c>
      <c r="FD191" s="89">
        <v>276.01371699999999</v>
      </c>
      <c r="FE191" s="89">
        <v>567.96065799999997</v>
      </c>
      <c r="FF191" s="89">
        <v>-291.94694099999998</v>
      </c>
      <c r="FG191" s="89">
        <v>913.29300000000001</v>
      </c>
      <c r="FH191" s="89"/>
      <c r="FI191" s="88">
        <v>623.30703500000004</v>
      </c>
      <c r="FJ191" s="89">
        <v>-53.485965000000022</v>
      </c>
      <c r="FK191" s="89">
        <v>21.328274999999994</v>
      </c>
      <c r="FL191" s="89">
        <v>-74.814240000000012</v>
      </c>
      <c r="FM191" s="89">
        <v>676.79300000000001</v>
      </c>
      <c r="FN191" s="89"/>
      <c r="FO191" s="88">
        <v>1732.4655930000001</v>
      </c>
      <c r="FP191" s="89">
        <v>-270.45340700000003</v>
      </c>
      <c r="FQ191" s="89">
        <v>-80.240531000000018</v>
      </c>
      <c r="FR191" s="89">
        <v>-190.21287599999999</v>
      </c>
      <c r="FS191" s="89">
        <v>2002.9190000000001</v>
      </c>
      <c r="FT191" s="89"/>
      <c r="FU191" s="88"/>
      <c r="FV191" s="89"/>
      <c r="FW191" s="89"/>
      <c r="FX191" s="89"/>
      <c r="FY191" s="89"/>
      <c r="FZ191" s="89"/>
      <c r="GA191" s="120">
        <v>14081.3</v>
      </c>
      <c r="GB191" s="121">
        <v>-9978.8000000000011</v>
      </c>
      <c r="GC191" s="121">
        <v>-13786.7</v>
      </c>
      <c r="GD191" s="121">
        <v>3807.9</v>
      </c>
      <c r="GE191" s="121">
        <v>24060.2</v>
      </c>
      <c r="GF191" s="89"/>
      <c r="GG191" s="88"/>
      <c r="GH191" s="89"/>
      <c r="GI191" s="89"/>
      <c r="GJ191" s="89"/>
      <c r="GK191" s="89"/>
      <c r="GL191" s="89"/>
      <c r="GM191" s="88">
        <v>53758.02108601512</v>
      </c>
      <c r="GN191" s="89">
        <v>12344.884714785599</v>
      </c>
      <c r="GO191" s="89">
        <v>12344.783362194941</v>
      </c>
      <c r="GP191" s="89">
        <v>0.10135259065963328</v>
      </c>
      <c r="GQ191" s="89">
        <v>29705.457350758297</v>
      </c>
      <c r="GR191" s="89">
        <v>11707.67902047122</v>
      </c>
      <c r="GS191" s="88"/>
      <c r="GT191" s="87"/>
      <c r="GU191" s="87"/>
      <c r="GV191" s="87"/>
      <c r="GW191" s="87"/>
      <c r="GX191" s="87"/>
      <c r="GY191" s="87"/>
      <c r="GZ191" s="88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8"/>
      <c r="HM191" s="87"/>
      <c r="HN191" s="87"/>
      <c r="HO191" s="87"/>
      <c r="HP191" s="87"/>
      <c r="HQ191" s="87"/>
      <c r="HR191" s="87"/>
      <c r="HS191" s="87"/>
    </row>
    <row r="192" spans="1:228">
      <c r="A192" s="69"/>
      <c r="B192" s="87" t="s">
        <v>497</v>
      </c>
      <c r="C192" s="88">
        <v>1785.592999</v>
      </c>
      <c r="D192" s="87">
        <v>92.934999000000005</v>
      </c>
      <c r="E192" s="87">
        <v>253.89320800000002</v>
      </c>
      <c r="F192" s="87">
        <v>-160.95820900000001</v>
      </c>
      <c r="G192" s="87">
        <v>1692.6579999999999</v>
      </c>
      <c r="H192" s="87"/>
      <c r="I192" s="88">
        <v>134836.23099999997</v>
      </c>
      <c r="J192" s="89">
        <v>158093.87899999999</v>
      </c>
      <c r="K192" s="89"/>
      <c r="L192" s="89"/>
      <c r="M192" s="89">
        <v>56783.362999999998</v>
      </c>
      <c r="N192" s="89">
        <v>-80041.010999999999</v>
      </c>
      <c r="O192" s="90"/>
      <c r="P192" s="91"/>
      <c r="Q192" s="91"/>
      <c r="R192" s="91"/>
      <c r="S192" s="91"/>
      <c r="T192" s="91"/>
      <c r="U192" s="90">
        <v>5169.8119999999999</v>
      </c>
      <c r="V192" s="91">
        <v>1363.2</v>
      </c>
      <c r="W192" s="91">
        <v>847.5</v>
      </c>
      <c r="X192" s="91">
        <v>515.70800000000008</v>
      </c>
      <c r="Y192" s="91">
        <v>3806.6120000000001</v>
      </c>
      <c r="Z192" s="91"/>
      <c r="AA192" s="88">
        <v>1291.077</v>
      </c>
      <c r="AB192" s="89">
        <v>92.876000000000005</v>
      </c>
      <c r="AC192" s="89">
        <v>54.365000000000002</v>
      </c>
      <c r="AD192" s="89">
        <v>38.511000000000003</v>
      </c>
      <c r="AE192" s="89">
        <v>1198.201</v>
      </c>
      <c r="AF192" s="89"/>
      <c r="AG192" s="88">
        <v>40652.697838575332</v>
      </c>
      <c r="AH192" s="89">
        <v>10608.428348421467</v>
      </c>
      <c r="AI192" s="89">
        <v>10608.428348421467</v>
      </c>
      <c r="AJ192" s="89"/>
      <c r="AK192" s="89">
        <v>30044.273490153901</v>
      </c>
      <c r="AL192" s="89"/>
      <c r="AM192" s="88">
        <v>1571970</v>
      </c>
      <c r="AN192" s="89">
        <v>862818</v>
      </c>
      <c r="AO192" s="89">
        <v>844445</v>
      </c>
      <c r="AP192" s="89">
        <v>18373</v>
      </c>
      <c r="AQ192" s="89">
        <v>647440</v>
      </c>
      <c r="AR192" s="89">
        <v>61713</v>
      </c>
      <c r="AS192" s="88">
        <v>38105000</v>
      </c>
      <c r="AT192" s="89">
        <v>-6000</v>
      </c>
      <c r="AU192" s="89">
        <v>-6000</v>
      </c>
      <c r="AV192" s="89"/>
      <c r="AW192" s="89">
        <v>40425000</v>
      </c>
      <c r="AX192" s="89">
        <v>-2314000</v>
      </c>
      <c r="AY192" s="88">
        <v>94034795.402386948</v>
      </c>
      <c r="AZ192" s="89">
        <f t="shared" si="13"/>
        <v>30357506.82402293</v>
      </c>
      <c r="BA192" s="89">
        <v>23664940.735612929</v>
      </c>
      <c r="BB192" s="89">
        <v>6692566.0884100003</v>
      </c>
      <c r="BC192" s="89">
        <v>63677288.578364022</v>
      </c>
      <c r="BD192" s="89"/>
      <c r="BE192" s="88">
        <v>3917774.9656264102</v>
      </c>
      <c r="BF192" s="89">
        <v>695680.11857301998</v>
      </c>
      <c r="BG192" s="89">
        <v>660210.79293658002</v>
      </c>
      <c r="BH192" s="89">
        <v>35469.32563644</v>
      </c>
      <c r="BI192" s="89">
        <v>3114235.0102933897</v>
      </c>
      <c r="BJ192" s="89">
        <v>107859.83676000001</v>
      </c>
      <c r="BK192" s="88">
        <v>461.58910499999996</v>
      </c>
      <c r="BL192" s="89">
        <v>-23.797895000000008</v>
      </c>
      <c r="BM192" s="89">
        <v>16.717037999999992</v>
      </c>
      <c r="BN192" s="89">
        <v>-40.514932999999999</v>
      </c>
      <c r="BO192" s="89">
        <v>485.387</v>
      </c>
      <c r="BP192" s="89"/>
      <c r="BQ192" s="88">
        <v>5977.2</v>
      </c>
      <c r="BR192" s="89">
        <v>-2038.6</v>
      </c>
      <c r="BS192" s="89">
        <v>-1206.2</v>
      </c>
      <c r="BT192" s="89">
        <v>-832.4</v>
      </c>
      <c r="BU192" s="89">
        <v>8015.9</v>
      </c>
      <c r="BV192" s="89"/>
      <c r="BW192" s="88">
        <v>8488.6934531635434</v>
      </c>
      <c r="BX192" s="89">
        <v>2456.5710620949717</v>
      </c>
      <c r="BY192" s="89">
        <v>1524.6442189049717</v>
      </c>
      <c r="BZ192" s="89">
        <v>931.92684319000011</v>
      </c>
      <c r="CA192" s="89">
        <v>7011.9986691771437</v>
      </c>
      <c r="CB192" s="89">
        <v>-979.87627810857157</v>
      </c>
      <c r="CC192" s="88">
        <v>1028.6120550000001</v>
      </c>
      <c r="CD192" s="89">
        <v>-42.305945000000008</v>
      </c>
      <c r="CE192" s="89">
        <v>13.809975999999995</v>
      </c>
      <c r="CF192" s="89">
        <v>-56.115921</v>
      </c>
      <c r="CG192" s="89">
        <v>1070.9179999999999</v>
      </c>
      <c r="CH192" s="89"/>
      <c r="CI192" s="88">
        <v>63743.7</v>
      </c>
      <c r="CJ192" s="89">
        <v>11346.2</v>
      </c>
      <c r="CK192" s="89">
        <v>11320.6</v>
      </c>
      <c r="CL192" s="89">
        <v>25.6</v>
      </c>
      <c r="CM192" s="89">
        <v>55608</v>
      </c>
      <c r="CN192" s="89">
        <v>-3210.4</v>
      </c>
      <c r="CO192" s="88">
        <v>37177.199999999997</v>
      </c>
      <c r="CP192" s="89">
        <v>-4495.3999999999996</v>
      </c>
      <c r="CQ192" s="89">
        <v>6583.4</v>
      </c>
      <c r="CR192" s="89">
        <v>-11078.8</v>
      </c>
      <c r="CS192" s="89">
        <v>50868.7</v>
      </c>
      <c r="CT192" s="89">
        <v>-9196.1</v>
      </c>
      <c r="CU192" s="88">
        <v>46499.720977329955</v>
      </c>
      <c r="CV192" s="89">
        <v>21029.630977329954</v>
      </c>
      <c r="CW192" s="89">
        <v>21192.956103546967</v>
      </c>
      <c r="CX192" s="89">
        <v>-163.32512621701267</v>
      </c>
      <c r="CY192" s="89">
        <v>25470.09</v>
      </c>
      <c r="CZ192" s="89"/>
      <c r="DA192" s="88">
        <v>33301.816088405045</v>
      </c>
      <c r="DB192" s="89">
        <v>-3265.1248441670459</v>
      </c>
      <c r="DC192" s="89">
        <v>-5155.9878201012179</v>
      </c>
      <c r="DD192" s="89">
        <v>1890.862975934172</v>
      </c>
      <c r="DE192" s="89">
        <v>68146.80035466417</v>
      </c>
      <c r="DF192" s="89">
        <v>-31579.859422092075</v>
      </c>
      <c r="DG192" s="88">
        <v>237670.03022738133</v>
      </c>
      <c r="DH192" s="89">
        <v>150113.97222738134</v>
      </c>
      <c r="DI192" s="89"/>
      <c r="DJ192" s="89"/>
      <c r="DK192" s="89">
        <v>91619.847999999998</v>
      </c>
      <c r="DL192" s="89">
        <v>-4063.79</v>
      </c>
      <c r="DM192" s="88">
        <v>2930498.5441724597</v>
      </c>
      <c r="DN192" s="89">
        <v>1475366.6440000001</v>
      </c>
      <c r="DO192" s="89">
        <v>1326325.1440000001</v>
      </c>
      <c r="DP192" s="89">
        <v>149041.5</v>
      </c>
      <c r="DQ192" s="89">
        <v>1455131.9</v>
      </c>
      <c r="DR192" s="89"/>
      <c r="DS192" s="88">
        <v>50592.825152771657</v>
      </c>
      <c r="DT192" s="89">
        <v>39740.045804568093</v>
      </c>
      <c r="DU192" s="89">
        <v>38927.830439462494</v>
      </c>
      <c r="DV192" s="89">
        <v>812.21536510559997</v>
      </c>
      <c r="DW192" s="89">
        <v>21701.437917637108</v>
      </c>
      <c r="DX192" s="89">
        <v>-10848.658569433544</v>
      </c>
      <c r="DY192" s="88">
        <v>6960.525783</v>
      </c>
      <c r="DZ192" s="89">
        <f t="shared" si="15"/>
        <v>-77.478852999999845</v>
      </c>
      <c r="EA192" s="89">
        <v>837.89451100000008</v>
      </c>
      <c r="EB192" s="89">
        <v>-915.37336399999992</v>
      </c>
      <c r="EC192" s="89">
        <v>7038.0046359999997</v>
      </c>
      <c r="ED192" s="89"/>
      <c r="EE192" s="88">
        <v>9805.8583524765818</v>
      </c>
      <c r="EF192" s="89">
        <v>-364.57891251999968</v>
      </c>
      <c r="EG192" s="89">
        <v>-364.78486030999966</v>
      </c>
      <c r="EH192" s="89">
        <v>0.20594778999999996</v>
      </c>
      <c r="EI192" s="89">
        <v>13249.812940569998</v>
      </c>
      <c r="EJ192" s="89">
        <v>-3079.3756755734175</v>
      </c>
      <c r="EK192" s="88">
        <v>6479565.104509999</v>
      </c>
      <c r="EL192" s="89">
        <v>-295104.56161400059</v>
      </c>
      <c r="EM192" s="89">
        <v>-240740.32978700055</v>
      </c>
      <c r="EN192" s="89">
        <v>-54364.23182700004</v>
      </c>
      <c r="EO192" s="89">
        <v>6721669.1639869995</v>
      </c>
      <c r="EP192" s="89">
        <v>53000.502137000003</v>
      </c>
      <c r="EQ192" s="88">
        <v>35119.677786639993</v>
      </c>
      <c r="ER192" s="89">
        <v>-7985.8963600999987</v>
      </c>
      <c r="ES192" s="89"/>
      <c r="ET192" s="89"/>
      <c r="EU192" s="89">
        <v>67464.204525380002</v>
      </c>
      <c r="EV192" s="89">
        <v>-24358.630378640009</v>
      </c>
      <c r="EW192" s="88">
        <v>378615.26053629682</v>
      </c>
      <c r="EX192" s="89">
        <f t="shared" si="14"/>
        <v>65328.835466140008</v>
      </c>
      <c r="EY192" s="89">
        <v>58406.36761079001</v>
      </c>
      <c r="EZ192" s="89">
        <v>6922.4678553499989</v>
      </c>
      <c r="FA192" s="89">
        <v>197846.14779732999</v>
      </c>
      <c r="FB192" s="89">
        <v>115440.27727282682</v>
      </c>
      <c r="FC192" s="88">
        <v>1229.355781</v>
      </c>
      <c r="FD192" s="89">
        <v>310.53178100000002</v>
      </c>
      <c r="FE192" s="89">
        <v>604.923722</v>
      </c>
      <c r="FF192" s="89">
        <v>-294.39194099999997</v>
      </c>
      <c r="FG192" s="89">
        <v>918.82399999999996</v>
      </c>
      <c r="FH192" s="89"/>
      <c r="FI192" s="88">
        <v>651.01020299999993</v>
      </c>
      <c r="FJ192" s="89">
        <v>-38.783797000000007</v>
      </c>
      <c r="FK192" s="89">
        <v>26.722546999999992</v>
      </c>
      <c r="FL192" s="89">
        <v>-65.506343999999999</v>
      </c>
      <c r="FM192" s="89">
        <v>689.79399999999998</v>
      </c>
      <c r="FN192" s="89"/>
      <c r="FO192" s="88">
        <v>1766.1296770000001</v>
      </c>
      <c r="FP192" s="89">
        <v>-270.480323</v>
      </c>
      <c r="FQ192" s="89">
        <v>-80.002447000000018</v>
      </c>
      <c r="FR192" s="89">
        <v>-190.47787599999998</v>
      </c>
      <c r="FS192" s="89">
        <v>2036.61</v>
      </c>
      <c r="FT192" s="89"/>
      <c r="FU192" s="88"/>
      <c r="FV192" s="89"/>
      <c r="FW192" s="89"/>
      <c r="FX192" s="89"/>
      <c r="FY192" s="89"/>
      <c r="FZ192" s="89"/>
      <c r="GA192" s="88">
        <v>12394.1</v>
      </c>
      <c r="GB192" s="89">
        <v>-11754.8</v>
      </c>
      <c r="GC192" s="89">
        <v>-15496.1</v>
      </c>
      <c r="GD192" s="89">
        <v>3741.3</v>
      </c>
      <c r="GE192" s="89">
        <v>24148.9</v>
      </c>
      <c r="GF192" s="89"/>
      <c r="GG192" s="88"/>
      <c r="GH192" s="89"/>
      <c r="GI192" s="89"/>
      <c r="GJ192" s="89"/>
      <c r="GK192" s="89"/>
      <c r="GL192" s="89"/>
      <c r="GM192" s="88">
        <v>55049.744535682868</v>
      </c>
      <c r="GN192" s="89">
        <v>11553.718018548658</v>
      </c>
      <c r="GO192" s="89">
        <v>11553.621295387349</v>
      </c>
      <c r="GP192" s="89">
        <v>9.6723161308094857E-2</v>
      </c>
      <c r="GQ192" s="89">
        <v>31045.393791852013</v>
      </c>
      <c r="GR192" s="89">
        <v>12450.632725282199</v>
      </c>
      <c r="GS192" s="88"/>
      <c r="GT192" s="87"/>
      <c r="GU192" s="87"/>
      <c r="GV192" s="87"/>
      <c r="GW192" s="87"/>
      <c r="GX192" s="87"/>
      <c r="GY192" s="87"/>
      <c r="GZ192" s="88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8"/>
      <c r="HM192" s="87"/>
      <c r="HN192" s="87"/>
      <c r="HO192" s="87"/>
      <c r="HP192" s="87"/>
      <c r="HQ192" s="87"/>
      <c r="HR192" s="87"/>
      <c r="HS192" s="87"/>
    </row>
    <row r="193" spans="1:227">
      <c r="A193" s="69"/>
      <c r="B193" s="87" t="s">
        <v>498</v>
      </c>
      <c r="C193" s="88">
        <v>1800.9592769999999</v>
      </c>
      <c r="D193" s="87">
        <v>90.836276999999967</v>
      </c>
      <c r="E193" s="87">
        <v>255.88948599999998</v>
      </c>
      <c r="F193" s="87">
        <v>-165.05320900000001</v>
      </c>
      <c r="G193" s="87">
        <v>1710.123</v>
      </c>
      <c r="H193" s="87"/>
      <c r="I193" s="88">
        <v>134868.15599999999</v>
      </c>
      <c r="J193" s="89">
        <v>156244.31899999999</v>
      </c>
      <c r="K193" s="89"/>
      <c r="L193" s="89"/>
      <c r="M193" s="89">
        <v>58385.377999999997</v>
      </c>
      <c r="N193" s="89">
        <v>-79761.540999999997</v>
      </c>
      <c r="O193" s="90"/>
      <c r="P193" s="91"/>
      <c r="Q193" s="91"/>
      <c r="R193" s="91"/>
      <c r="S193" s="91"/>
      <c r="T193" s="91"/>
      <c r="U193" s="90">
        <v>5360.2420000000002</v>
      </c>
      <c r="V193" s="91">
        <v>1442.2</v>
      </c>
      <c r="W193" s="91">
        <v>938.5</v>
      </c>
      <c r="X193" s="91">
        <v>503.68400000000003</v>
      </c>
      <c r="Y193" s="91">
        <v>3918.0419999999999</v>
      </c>
      <c r="Z193" s="91"/>
      <c r="AA193" s="88">
        <v>1342.5070000000001</v>
      </c>
      <c r="AB193" s="89">
        <v>152.96800000000002</v>
      </c>
      <c r="AC193" s="89">
        <v>92.65</v>
      </c>
      <c r="AD193" s="89">
        <v>60.317999999999998</v>
      </c>
      <c r="AE193" s="89">
        <v>1189.539</v>
      </c>
      <c r="AF193" s="89"/>
      <c r="AG193" s="88">
        <v>40682.241696569887</v>
      </c>
      <c r="AH193" s="89">
        <v>10539.107922914622</v>
      </c>
      <c r="AI193" s="89">
        <v>10539.107922914622</v>
      </c>
      <c r="AJ193" s="89"/>
      <c r="AK193" s="89">
        <v>30143.133773655267</v>
      </c>
      <c r="AL193" s="89"/>
      <c r="AM193" s="88">
        <v>1601693</v>
      </c>
      <c r="AN193" s="89">
        <v>864446</v>
      </c>
      <c r="AO193" s="89">
        <v>846374</v>
      </c>
      <c r="AP193" s="89">
        <v>18072</v>
      </c>
      <c r="AQ193" s="89">
        <v>662472</v>
      </c>
      <c r="AR193" s="89">
        <v>74775</v>
      </c>
      <c r="AS193" s="88">
        <v>38618000</v>
      </c>
      <c r="AT193" s="89">
        <v>-31000</v>
      </c>
      <c r="AU193" s="89">
        <v>-31000</v>
      </c>
      <c r="AV193" s="89"/>
      <c r="AW193" s="89">
        <v>41235000</v>
      </c>
      <c r="AX193" s="89">
        <v>-2586000</v>
      </c>
      <c r="AY193" s="88">
        <v>97510595.450390399</v>
      </c>
      <c r="AZ193" s="89">
        <f t="shared" si="13"/>
        <v>32504307.215031646</v>
      </c>
      <c r="BA193" s="89">
        <v>26714517.739275429</v>
      </c>
      <c r="BB193" s="89">
        <v>5789789.4757562187</v>
      </c>
      <c r="BC193" s="89">
        <v>65006288.235358737</v>
      </c>
      <c r="BD193" s="89"/>
      <c r="BE193" s="88">
        <v>3995998.8552975501</v>
      </c>
      <c r="BF193" s="89">
        <v>712511.24949583993</v>
      </c>
      <c r="BG193" s="89">
        <v>654256.58241711999</v>
      </c>
      <c r="BH193" s="89">
        <v>58254.667078719998</v>
      </c>
      <c r="BI193" s="89">
        <v>3183446.80650996</v>
      </c>
      <c r="BJ193" s="89">
        <v>100040.79929174999</v>
      </c>
      <c r="BK193" s="88">
        <v>439.45738299999999</v>
      </c>
      <c r="BL193" s="89">
        <v>-26.054617000000007</v>
      </c>
      <c r="BM193" s="89">
        <v>15.667843999999997</v>
      </c>
      <c r="BN193" s="89">
        <v>-41.722461000000003</v>
      </c>
      <c r="BO193" s="89">
        <v>465.512</v>
      </c>
      <c r="BP193" s="89"/>
      <c r="BQ193" s="88">
        <v>6076.3</v>
      </c>
      <c r="BR193" s="89">
        <v>-2067.5</v>
      </c>
      <c r="BS193" s="89">
        <v>-1192.2</v>
      </c>
      <c r="BT193" s="89">
        <v>-875.3</v>
      </c>
      <c r="BU193" s="89">
        <v>8143.7</v>
      </c>
      <c r="BV193" s="89"/>
      <c r="BW193" s="88">
        <v>8592.0960972791436</v>
      </c>
      <c r="BX193" s="89">
        <v>2517.4375136705712</v>
      </c>
      <c r="BY193" s="89">
        <v>1568.0716600105713</v>
      </c>
      <c r="BZ193" s="89">
        <v>949.36585366000008</v>
      </c>
      <c r="CA193" s="89">
        <v>7072.8281929171444</v>
      </c>
      <c r="CB193" s="89">
        <v>-998.16960930857147</v>
      </c>
      <c r="CC193" s="88">
        <v>1043.2330440000001</v>
      </c>
      <c r="CD193" s="89">
        <v>-36.981956000000011</v>
      </c>
      <c r="CE193" s="89">
        <v>20.364959999999993</v>
      </c>
      <c r="CF193" s="89">
        <v>-57.346916</v>
      </c>
      <c r="CG193" s="89">
        <v>1080.2149999999999</v>
      </c>
      <c r="CH193" s="89"/>
      <c r="CI193" s="88">
        <v>65178</v>
      </c>
      <c r="CJ193" s="89">
        <v>11329.4</v>
      </c>
      <c r="CK193" s="89">
        <v>11304.5</v>
      </c>
      <c r="CL193" s="89">
        <v>24.9</v>
      </c>
      <c r="CM193" s="89">
        <v>56761.599999999999</v>
      </c>
      <c r="CN193" s="89">
        <v>-2913</v>
      </c>
      <c r="CO193" s="88">
        <v>39432.1</v>
      </c>
      <c r="CP193" s="89">
        <v>-2977.4</v>
      </c>
      <c r="CQ193" s="89">
        <v>7536.7</v>
      </c>
      <c r="CR193" s="89">
        <v>-10514.1</v>
      </c>
      <c r="CS193" s="89">
        <v>51630.7</v>
      </c>
      <c r="CT193" s="89">
        <v>-9221.1</v>
      </c>
      <c r="CU193" s="88">
        <v>46643.621292375581</v>
      </c>
      <c r="CV193" s="89">
        <v>20930.751292375586</v>
      </c>
      <c r="CW193" s="89">
        <v>21028.535516212571</v>
      </c>
      <c r="CX193" s="89">
        <v>-97.784223836986314</v>
      </c>
      <c r="CY193" s="89">
        <v>25712.87</v>
      </c>
      <c r="CZ193" s="89"/>
      <c r="DA193" s="88">
        <v>33939.221740193607</v>
      </c>
      <c r="DB193" s="89">
        <v>-3228.8781126456652</v>
      </c>
      <c r="DC193" s="89">
        <v>-5063.7536060356651</v>
      </c>
      <c r="DD193" s="89">
        <v>1834.87549339</v>
      </c>
      <c r="DE193" s="89">
        <v>69506.97838620955</v>
      </c>
      <c r="DF193" s="89">
        <v>-32338.878533370287</v>
      </c>
      <c r="DG193" s="88">
        <v>240392.21129641336</v>
      </c>
      <c r="DH193" s="89">
        <v>149793.11329641336</v>
      </c>
      <c r="DI193" s="89"/>
      <c r="DJ193" s="89"/>
      <c r="DK193" s="89">
        <v>93741.122000000003</v>
      </c>
      <c r="DL193" s="89">
        <v>-3142.0239999999999</v>
      </c>
      <c r="DM193" s="88">
        <v>2954239.0777425999</v>
      </c>
      <c r="DN193" s="89">
        <v>1469411.378</v>
      </c>
      <c r="DO193" s="89">
        <v>1322514.378</v>
      </c>
      <c r="DP193" s="89">
        <v>146897</v>
      </c>
      <c r="DQ193" s="89">
        <v>1484827.7</v>
      </c>
      <c r="DR193" s="89"/>
      <c r="DS193" s="88">
        <v>51353.776641266515</v>
      </c>
      <c r="DT193" s="89">
        <v>40026.807576485036</v>
      </c>
      <c r="DU193" s="89">
        <v>39211.694643901355</v>
      </c>
      <c r="DV193" s="89">
        <v>815.112932583678</v>
      </c>
      <c r="DW193" s="89">
        <v>22343.643124831033</v>
      </c>
      <c r="DX193" s="89">
        <v>-11016.674060049554</v>
      </c>
      <c r="DY193" s="88">
        <v>7008.9574680000005</v>
      </c>
      <c r="DZ193" s="89">
        <f t="shared" si="15"/>
        <v>-67.538231999999994</v>
      </c>
      <c r="EA193" s="89">
        <v>848.40106800000001</v>
      </c>
      <c r="EB193" s="89">
        <v>-915.9393</v>
      </c>
      <c r="EC193" s="89">
        <v>7076.4957000000004</v>
      </c>
      <c r="ED193" s="89"/>
      <c r="EE193" s="88">
        <v>10031.15724051341</v>
      </c>
      <c r="EF193" s="89">
        <v>-332.61377757999969</v>
      </c>
      <c r="EG193" s="89">
        <v>-332.6769803899997</v>
      </c>
      <c r="EH193" s="89">
        <v>6.3202809999999998E-2</v>
      </c>
      <c r="EI193" s="89">
        <v>13435.83355838</v>
      </c>
      <c r="EJ193" s="89">
        <v>-3072.0625402865871</v>
      </c>
      <c r="EK193" s="88">
        <v>6913646.8118113</v>
      </c>
      <c r="EL193" s="89">
        <v>-383070.92530400009</v>
      </c>
      <c r="EM193" s="89">
        <v>-293889.0670380001</v>
      </c>
      <c r="EN193" s="89">
        <v>-89181.858265999981</v>
      </c>
      <c r="EO193" s="89">
        <v>7236209.5731690004</v>
      </c>
      <c r="EP193" s="89">
        <v>60508.163946299988</v>
      </c>
      <c r="EQ193" s="88">
        <v>35590.379303800008</v>
      </c>
      <c r="ER193" s="89">
        <v>-7470.3313796199991</v>
      </c>
      <c r="ES193" s="89"/>
      <c r="ET193" s="89"/>
      <c r="EU193" s="89">
        <v>68220.045116900001</v>
      </c>
      <c r="EV193" s="89">
        <v>-25159.334433479991</v>
      </c>
      <c r="EW193" s="88">
        <v>391586.52701699518</v>
      </c>
      <c r="EX193" s="89">
        <f t="shared" si="14"/>
        <v>67730.000227910001</v>
      </c>
      <c r="EY193" s="89">
        <v>60727.929819530007</v>
      </c>
      <c r="EZ193" s="89">
        <v>7002.0704083799992</v>
      </c>
      <c r="FA193" s="89">
        <v>205815.59767406998</v>
      </c>
      <c r="FB193" s="89">
        <v>118040.92911501521</v>
      </c>
      <c r="FC193" s="88">
        <v>1251.778329</v>
      </c>
      <c r="FD193" s="89">
        <v>330.62632899999988</v>
      </c>
      <c r="FE193" s="89">
        <v>620.13927499999988</v>
      </c>
      <c r="FF193" s="89">
        <v>-289.512946</v>
      </c>
      <c r="FG193" s="89">
        <v>921.15200000000004</v>
      </c>
      <c r="FH193" s="89"/>
      <c r="FI193" s="88">
        <v>658.21121300000004</v>
      </c>
      <c r="FJ193" s="89">
        <v>-32.138787000000022</v>
      </c>
      <c r="FK193" s="89">
        <v>37.141964999999971</v>
      </c>
      <c r="FL193" s="89">
        <v>-69.280751999999993</v>
      </c>
      <c r="FM193" s="89">
        <v>690.35</v>
      </c>
      <c r="FN193" s="89"/>
      <c r="FO193" s="88">
        <v>1783.8002990000002</v>
      </c>
      <c r="FP193" s="89">
        <v>-284.64070100000004</v>
      </c>
      <c r="FQ193" s="89">
        <v>-99.458825000000019</v>
      </c>
      <c r="FR193" s="89">
        <v>-185.18187599999999</v>
      </c>
      <c r="FS193" s="89">
        <v>2068.4409999999998</v>
      </c>
      <c r="FT193" s="89"/>
      <c r="FU193" s="88"/>
      <c r="FV193" s="89"/>
      <c r="FW193" s="89"/>
      <c r="FX193" s="89"/>
      <c r="FY193" s="89"/>
      <c r="FZ193" s="89"/>
      <c r="GA193" s="120">
        <v>13641</v>
      </c>
      <c r="GB193" s="121">
        <v>-11514.6</v>
      </c>
      <c r="GC193" s="121">
        <v>-15347.7</v>
      </c>
      <c r="GD193" s="121">
        <v>3833.1</v>
      </c>
      <c r="GE193" s="121">
        <v>25155.599999999999</v>
      </c>
      <c r="GF193" s="89"/>
      <c r="GG193" s="88"/>
      <c r="GH193" s="89"/>
      <c r="GI193" s="89"/>
      <c r="GJ193" s="89"/>
      <c r="GK193" s="89"/>
      <c r="GL193" s="89"/>
      <c r="GM193" s="88">
        <v>57142.805813960811</v>
      </c>
      <c r="GN193" s="89">
        <v>10636.332976988651</v>
      </c>
      <c r="GO193" s="89">
        <v>10636.236111953331</v>
      </c>
      <c r="GP193" s="89">
        <v>9.6865035319700837E-2</v>
      </c>
      <c r="GQ193" s="89">
        <v>32172.776122054751</v>
      </c>
      <c r="GR193" s="89">
        <v>14333.696714917411</v>
      </c>
      <c r="GS193" s="88"/>
      <c r="GT193" s="87"/>
      <c r="GU193" s="87"/>
      <c r="GV193" s="87"/>
      <c r="GW193" s="87"/>
      <c r="GX193" s="87"/>
      <c r="GY193" s="87"/>
      <c r="GZ193" s="88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8"/>
      <c r="HM193" s="87"/>
      <c r="HN193" s="87"/>
      <c r="HO193" s="87"/>
      <c r="HP193" s="87"/>
      <c r="HQ193" s="87"/>
      <c r="HR193" s="87"/>
      <c r="HS193" s="87"/>
    </row>
    <row r="194" spans="1:227">
      <c r="A194" s="69"/>
      <c r="B194" s="87" t="s">
        <v>499</v>
      </c>
      <c r="C194" s="88">
        <v>1829.758077</v>
      </c>
      <c r="D194" s="87">
        <v>74.933076999999997</v>
      </c>
      <c r="E194" s="87">
        <v>251.86328599999999</v>
      </c>
      <c r="F194" s="87">
        <v>-176.93020899999999</v>
      </c>
      <c r="G194" s="87">
        <v>1754.825</v>
      </c>
      <c r="H194" s="87"/>
      <c r="I194" s="88">
        <v>132345.72899999999</v>
      </c>
      <c r="J194" s="89">
        <v>149724.36499999999</v>
      </c>
      <c r="K194" s="89"/>
      <c r="L194" s="89"/>
      <c r="M194" s="89">
        <v>60186.224000000002</v>
      </c>
      <c r="N194" s="89">
        <v>-77564.86</v>
      </c>
      <c r="O194" s="90"/>
      <c r="P194" s="91"/>
      <c r="Q194" s="91"/>
      <c r="R194" s="91"/>
      <c r="S194" s="91"/>
      <c r="T194" s="91"/>
      <c r="U194" s="90">
        <v>5457.3339999999998</v>
      </c>
      <c r="V194" s="91">
        <v>1448</v>
      </c>
      <c r="W194" s="91">
        <v>947.2</v>
      </c>
      <c r="X194" s="91">
        <v>500.88799999999998</v>
      </c>
      <c r="Y194" s="91">
        <v>4009.3339999999998</v>
      </c>
      <c r="Z194" s="91"/>
      <c r="AA194" s="88">
        <v>1406.114</v>
      </c>
      <c r="AB194" s="89">
        <v>210.32300000000001</v>
      </c>
      <c r="AC194" s="89">
        <v>149.941</v>
      </c>
      <c r="AD194" s="89">
        <v>60.381999999999998</v>
      </c>
      <c r="AE194" s="89">
        <v>1195.7909999999999</v>
      </c>
      <c r="AF194" s="89"/>
      <c r="AG194" s="88">
        <v>40559.805331639538</v>
      </c>
      <c r="AH194" s="89">
        <v>10407.376754554272</v>
      </c>
      <c r="AI194" s="89">
        <v>10407.376754554272</v>
      </c>
      <c r="AJ194" s="89"/>
      <c r="AK194" s="89">
        <v>30152.428577085266</v>
      </c>
      <c r="AL194" s="89"/>
      <c r="AM194" s="88">
        <v>1633588</v>
      </c>
      <c r="AN194" s="89">
        <v>880889</v>
      </c>
      <c r="AO194" s="89">
        <v>862433</v>
      </c>
      <c r="AP194" s="89">
        <v>18456</v>
      </c>
      <c r="AQ194" s="89">
        <v>674980</v>
      </c>
      <c r="AR194" s="89">
        <v>77719</v>
      </c>
      <c r="AS194" s="88">
        <v>39608000</v>
      </c>
      <c r="AT194" s="89">
        <v>-249000</v>
      </c>
      <c r="AU194" s="89">
        <v>-249000</v>
      </c>
      <c r="AV194" s="89"/>
      <c r="AW194" s="89">
        <v>41965000</v>
      </c>
      <c r="AX194" s="89">
        <v>-2108000</v>
      </c>
      <c r="AY194" s="88">
        <v>100781132.91261698</v>
      </c>
      <c r="AZ194" s="89">
        <f t="shared" si="13"/>
        <v>34733273.797319256</v>
      </c>
      <c r="BA194" s="89">
        <v>29077434.442439254</v>
      </c>
      <c r="BB194" s="89">
        <v>5655839.3548800005</v>
      </c>
      <c r="BC194" s="89">
        <v>66047859.115297735</v>
      </c>
      <c r="BD194" s="89"/>
      <c r="BE194" s="88">
        <v>4053025.5970811401</v>
      </c>
      <c r="BF194" s="89">
        <v>716453.96684830007</v>
      </c>
      <c r="BG194" s="89">
        <v>657541.50793703005</v>
      </c>
      <c r="BH194" s="89">
        <v>58912.458911269998</v>
      </c>
      <c r="BI194" s="89">
        <v>3282884.9455520799</v>
      </c>
      <c r="BJ194" s="89">
        <v>53686.684680760001</v>
      </c>
      <c r="BK194" s="88">
        <v>450.58348799999999</v>
      </c>
      <c r="BL194" s="89">
        <v>-32.144512000000013</v>
      </c>
      <c r="BM194" s="89">
        <v>9.5153419999999898</v>
      </c>
      <c r="BN194" s="89">
        <v>-41.659854000000003</v>
      </c>
      <c r="BO194" s="89">
        <v>482.72800000000001</v>
      </c>
      <c r="BP194" s="89"/>
      <c r="BQ194" s="88">
        <v>6282.7</v>
      </c>
      <c r="BR194" s="89">
        <v>-2011.9</v>
      </c>
      <c r="BS194" s="89">
        <v>-1112.2</v>
      </c>
      <c r="BT194" s="89">
        <v>-899.7</v>
      </c>
      <c r="BU194" s="89">
        <v>8294.6</v>
      </c>
      <c r="BV194" s="89"/>
      <c r="BW194" s="88">
        <v>8703.1826320506843</v>
      </c>
      <c r="BX194" s="89">
        <v>2577.2055659249713</v>
      </c>
      <c r="BY194" s="89">
        <v>1611.7070237749713</v>
      </c>
      <c r="BZ194" s="89">
        <v>965.49854215000005</v>
      </c>
      <c r="CA194" s="89">
        <v>7175.3297458571433</v>
      </c>
      <c r="CB194" s="89">
        <v>-1049.3526797314289</v>
      </c>
      <c r="CC194" s="88">
        <v>1067.900965</v>
      </c>
      <c r="CD194" s="89">
        <v>-26.510035000000006</v>
      </c>
      <c r="CE194" s="89">
        <v>28.815880999999994</v>
      </c>
      <c r="CF194" s="89">
        <v>-55.325915999999999</v>
      </c>
      <c r="CG194" s="89">
        <v>1094.4110000000001</v>
      </c>
      <c r="CH194" s="89"/>
      <c r="CI194" s="88">
        <v>65969.2</v>
      </c>
      <c r="CJ194" s="89">
        <v>17800.7</v>
      </c>
      <c r="CK194" s="89">
        <v>12616</v>
      </c>
      <c r="CL194" s="89">
        <v>5184.7</v>
      </c>
      <c r="CM194" s="89">
        <v>49546.899999999994</v>
      </c>
      <c r="CN194" s="89">
        <v>-1378.3</v>
      </c>
      <c r="CO194" s="88">
        <v>41524.5</v>
      </c>
      <c r="CP194" s="89">
        <v>-1541.3</v>
      </c>
      <c r="CQ194" s="89">
        <v>9883.2000000000007</v>
      </c>
      <c r="CR194" s="89">
        <v>-11424.5</v>
      </c>
      <c r="CS194" s="89">
        <v>52250.9</v>
      </c>
      <c r="CT194" s="89">
        <v>-9185</v>
      </c>
      <c r="CU194" s="88">
        <v>47016.87846060923</v>
      </c>
      <c r="CV194" s="89">
        <v>21000.548460609229</v>
      </c>
      <c r="CW194" s="89">
        <v>21215.469888658641</v>
      </c>
      <c r="CX194" s="89">
        <v>-214.9214280494125</v>
      </c>
      <c r="CY194" s="89">
        <v>26016.33</v>
      </c>
      <c r="CZ194" s="89"/>
      <c r="DA194" s="88">
        <v>35537.693623108978</v>
      </c>
      <c r="DB194" s="89">
        <v>-2324.1864123309338</v>
      </c>
      <c r="DC194" s="89">
        <v>-4127.9057544209336</v>
      </c>
      <c r="DD194" s="89">
        <v>1803.7193420899998</v>
      </c>
      <c r="DE194" s="89">
        <v>71333.90744452599</v>
      </c>
      <c r="DF194" s="89">
        <v>-33472.027409086077</v>
      </c>
      <c r="DG194" s="88">
        <v>239203.41562373083</v>
      </c>
      <c r="DH194" s="89">
        <v>145128.41462373085</v>
      </c>
      <c r="DI194" s="89"/>
      <c r="DJ194" s="89"/>
      <c r="DK194" s="89">
        <v>97471.895999999993</v>
      </c>
      <c r="DL194" s="89">
        <v>-3396.895</v>
      </c>
      <c r="DM194" s="88">
        <v>3045365.2914292798</v>
      </c>
      <c r="DN194" s="89">
        <v>1503635.591</v>
      </c>
      <c r="DO194" s="89">
        <v>1355362.291</v>
      </c>
      <c r="DP194" s="89">
        <v>148273.29999999999</v>
      </c>
      <c r="DQ194" s="89">
        <v>1541729.7</v>
      </c>
      <c r="DR194" s="89"/>
      <c r="DS194" s="88">
        <v>52260.794436235126</v>
      </c>
      <c r="DT194" s="89">
        <v>40204.649836571683</v>
      </c>
      <c r="DU194" s="89">
        <v>39375.062951490239</v>
      </c>
      <c r="DV194" s="89">
        <v>829.58688508144405</v>
      </c>
      <c r="DW194" s="89">
        <v>23151.785505342938</v>
      </c>
      <c r="DX194" s="89">
        <v>-11095.6409056795</v>
      </c>
      <c r="DY194" s="88">
        <v>7173.9231019999997</v>
      </c>
      <c r="DZ194" s="89">
        <f t="shared" si="15"/>
        <v>-56.487205000000017</v>
      </c>
      <c r="EA194" s="89">
        <v>860.99348799999996</v>
      </c>
      <c r="EB194" s="89">
        <v>-917.48069299999997</v>
      </c>
      <c r="EC194" s="89">
        <v>7230.4103070000001</v>
      </c>
      <c r="ED194" s="89"/>
      <c r="EE194" s="88">
        <v>10162.570719855812</v>
      </c>
      <c r="EF194" s="89">
        <v>-342.72815889000043</v>
      </c>
      <c r="EG194" s="89">
        <v>-342.80230278000045</v>
      </c>
      <c r="EH194" s="89">
        <v>7.414388999999999E-2</v>
      </c>
      <c r="EI194" s="89">
        <v>13625.274746269999</v>
      </c>
      <c r="EJ194" s="89">
        <v>-3119.9758675241874</v>
      </c>
      <c r="EK194" s="88">
        <v>7408542.4758044714</v>
      </c>
      <c r="EL194" s="89">
        <v>-221464.91804465</v>
      </c>
      <c r="EM194" s="89">
        <v>-167570.75888964999</v>
      </c>
      <c r="EN194" s="89">
        <v>-53894.159155000001</v>
      </c>
      <c r="EO194" s="89">
        <v>7569639.7367461212</v>
      </c>
      <c r="EP194" s="89">
        <v>60367.65710299999</v>
      </c>
      <c r="EQ194" s="88">
        <v>38008.960646519998</v>
      </c>
      <c r="ER194" s="89">
        <v>-6906.3306799899992</v>
      </c>
      <c r="ES194" s="89"/>
      <c r="ET194" s="89"/>
      <c r="EU194" s="89">
        <v>70633.617745809999</v>
      </c>
      <c r="EV194" s="89">
        <v>-25718.3264193</v>
      </c>
      <c r="EW194" s="88">
        <v>392695.58296719089</v>
      </c>
      <c r="EX194" s="89">
        <f t="shared" si="14"/>
        <v>69734.694246309999</v>
      </c>
      <c r="EY194" s="89">
        <v>62619.849922339999</v>
      </c>
      <c r="EZ194" s="89">
        <v>7114.8443239699991</v>
      </c>
      <c r="FA194" s="89">
        <v>208010.40764331998</v>
      </c>
      <c r="FB194" s="89">
        <v>114950.48107756094</v>
      </c>
      <c r="FC194" s="88">
        <v>1259.0599240000001</v>
      </c>
      <c r="FD194" s="89">
        <v>331.44692399999997</v>
      </c>
      <c r="FE194" s="89">
        <v>622.49986999999999</v>
      </c>
      <c r="FF194" s="89">
        <v>-291.05294600000002</v>
      </c>
      <c r="FG194" s="89">
        <v>927.61300000000006</v>
      </c>
      <c r="FH194" s="89"/>
      <c r="FI194" s="88">
        <v>675.69644000000005</v>
      </c>
      <c r="FJ194" s="89">
        <v>-12.34655999999999</v>
      </c>
      <c r="FK194" s="89">
        <v>54.679192000000008</v>
      </c>
      <c r="FL194" s="89">
        <v>-67.025751999999997</v>
      </c>
      <c r="FM194" s="89">
        <v>688.04300000000001</v>
      </c>
      <c r="FN194" s="89"/>
      <c r="FO194" s="88">
        <v>1831.2650190000002</v>
      </c>
      <c r="FP194" s="89">
        <v>-277.12198100000001</v>
      </c>
      <c r="FQ194" s="89">
        <v>-99.247104999999976</v>
      </c>
      <c r="FR194" s="89">
        <v>-177.874876</v>
      </c>
      <c r="FS194" s="89">
        <v>2108.3870000000002</v>
      </c>
      <c r="FT194" s="89"/>
      <c r="FU194" s="88"/>
      <c r="FV194" s="89"/>
      <c r="FW194" s="89"/>
      <c r="FX194" s="89"/>
      <c r="FY194" s="89"/>
      <c r="FZ194" s="89"/>
      <c r="GA194" s="120">
        <v>14692.3</v>
      </c>
      <c r="GB194" s="121">
        <v>-11733.400000000001</v>
      </c>
      <c r="GC194" s="121">
        <v>-15575.1</v>
      </c>
      <c r="GD194" s="121">
        <v>3841.7</v>
      </c>
      <c r="GE194" s="121">
        <v>26425.7</v>
      </c>
      <c r="GF194" s="89"/>
      <c r="GG194" s="88"/>
      <c r="GH194" s="89"/>
      <c r="GI194" s="89"/>
      <c r="GJ194" s="89"/>
      <c r="GK194" s="89"/>
      <c r="GL194" s="89"/>
      <c r="GM194" s="88">
        <v>60029.098809773175</v>
      </c>
      <c r="GN194" s="89">
        <v>10575.6117427342</v>
      </c>
      <c r="GO194" s="89">
        <v>10575.514050499849</v>
      </c>
      <c r="GP194" s="89">
        <v>9.7692194379866121E-2</v>
      </c>
      <c r="GQ194" s="89">
        <v>34189.686868887104</v>
      </c>
      <c r="GR194" s="89">
        <v>15263.800198191848</v>
      </c>
      <c r="GS194" s="88"/>
      <c r="GT194" s="87"/>
      <c r="GU194" s="87"/>
      <c r="GV194" s="87"/>
      <c r="GW194" s="87"/>
      <c r="GX194" s="87"/>
      <c r="GY194" s="87"/>
      <c r="GZ194" s="88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8"/>
      <c r="HM194" s="87"/>
      <c r="HN194" s="87"/>
      <c r="HO194" s="87"/>
      <c r="HP194" s="87"/>
      <c r="HQ194" s="87"/>
      <c r="HR194" s="87"/>
      <c r="HS194" s="87"/>
    </row>
    <row r="195" spans="1:227" ht="12" thickBot="1">
      <c r="A195" s="102"/>
      <c r="B195" s="126" t="s">
        <v>500</v>
      </c>
      <c r="C195" s="104">
        <v>1838.6401039999998</v>
      </c>
      <c r="D195" s="105">
        <v>81.614104000000026</v>
      </c>
      <c r="E195" s="105">
        <v>262.01791300000002</v>
      </c>
      <c r="F195" s="105">
        <v>-180.403809</v>
      </c>
      <c r="G195" s="105">
        <v>1757.0260000000001</v>
      </c>
      <c r="H195" s="105"/>
      <c r="I195" s="104">
        <v>132586.652</v>
      </c>
      <c r="J195" s="105">
        <v>156706.45699999999</v>
      </c>
      <c r="K195" s="105"/>
      <c r="L195" s="105"/>
      <c r="M195" s="105">
        <v>62060.663</v>
      </c>
      <c r="N195" s="105">
        <v>-86180.467999999993</v>
      </c>
      <c r="O195" s="104">
        <v>5899.5</v>
      </c>
      <c r="P195" s="105">
        <v>945.8</v>
      </c>
      <c r="Q195" s="105">
        <v>642.5</v>
      </c>
      <c r="R195" s="105">
        <v>303.3</v>
      </c>
      <c r="S195" s="105">
        <v>4953.7</v>
      </c>
      <c r="T195" s="105"/>
      <c r="U195" s="104">
        <v>5190.5640000000003</v>
      </c>
      <c r="V195" s="105">
        <v>1094.9000000000001</v>
      </c>
      <c r="W195" s="105">
        <v>560.4</v>
      </c>
      <c r="X195" s="105">
        <v>534.57100000000003</v>
      </c>
      <c r="Y195" s="105">
        <v>4095.6639999999998</v>
      </c>
      <c r="Z195" s="105"/>
      <c r="AA195" s="104">
        <v>1411.4749999999999</v>
      </c>
      <c r="AB195" s="105">
        <v>208.19299999999998</v>
      </c>
      <c r="AC195" s="105">
        <v>146.90799999999999</v>
      </c>
      <c r="AD195" s="105">
        <v>61.284999999999997</v>
      </c>
      <c r="AE195" s="105">
        <v>1203.2819999999999</v>
      </c>
      <c r="AF195" s="105"/>
      <c r="AG195" s="104">
        <v>41126.804863118465</v>
      </c>
      <c r="AH195" s="105">
        <v>10877.813923749221</v>
      </c>
      <c r="AI195" s="105">
        <v>10877.813923749221</v>
      </c>
      <c r="AJ195" s="105"/>
      <c r="AK195" s="105">
        <v>30248.990939369247</v>
      </c>
      <c r="AL195" s="105"/>
      <c r="AM195" s="104">
        <v>1654749</v>
      </c>
      <c r="AN195" s="105">
        <v>899190</v>
      </c>
      <c r="AO195" s="105">
        <v>880175</v>
      </c>
      <c r="AP195" s="105">
        <v>19015</v>
      </c>
      <c r="AQ195" s="105">
        <v>691109</v>
      </c>
      <c r="AR195" s="105">
        <v>64450</v>
      </c>
      <c r="AS195" s="104">
        <v>39586000</v>
      </c>
      <c r="AT195" s="105">
        <v>-1053000</v>
      </c>
      <c r="AU195" s="105">
        <v>-1053000</v>
      </c>
      <c r="AV195" s="105"/>
      <c r="AW195" s="105">
        <v>42589000</v>
      </c>
      <c r="AX195" s="105">
        <v>-1950000</v>
      </c>
      <c r="AY195" s="104">
        <v>102916769.25135095</v>
      </c>
      <c r="AZ195" s="105">
        <f t="shared" si="13"/>
        <v>35156753.322694421</v>
      </c>
      <c r="BA195" s="105">
        <v>29973136.920704417</v>
      </c>
      <c r="BB195" s="105">
        <v>5183616.4019900002</v>
      </c>
      <c r="BC195" s="105">
        <v>67760015.928656533</v>
      </c>
      <c r="BD195" s="105"/>
      <c r="BE195" s="104">
        <v>4130652.3834096198</v>
      </c>
      <c r="BF195" s="105">
        <v>702418.31286407006</v>
      </c>
      <c r="BG195" s="105">
        <v>645598.48844571004</v>
      </c>
      <c r="BH195" s="108">
        <v>56819.824418360004</v>
      </c>
      <c r="BI195" s="108">
        <v>3396497.1225563502</v>
      </c>
      <c r="BJ195" s="108">
        <v>31736.947989200002</v>
      </c>
      <c r="BK195" s="109">
        <v>462.47779499999996</v>
      </c>
      <c r="BL195" s="108">
        <v>-23.240205</v>
      </c>
      <c r="BM195" s="108">
        <v>17.629489000000003</v>
      </c>
      <c r="BN195" s="108">
        <v>-40.869694000000003</v>
      </c>
      <c r="BO195" s="108">
        <v>485.71800000000002</v>
      </c>
      <c r="BP195" s="108"/>
      <c r="BQ195" s="109">
        <v>6232.2</v>
      </c>
      <c r="BR195" s="108">
        <v>-2264.6</v>
      </c>
      <c r="BS195" s="108">
        <v>-1399.7</v>
      </c>
      <c r="BT195" s="108">
        <v>-864.9</v>
      </c>
      <c r="BU195" s="108">
        <v>8496.7999999999993</v>
      </c>
      <c r="BV195" s="108"/>
      <c r="BW195" s="109">
        <v>8909.4794357881437</v>
      </c>
      <c r="BX195" s="105">
        <v>2665.0249181995714</v>
      </c>
      <c r="BY195" s="105">
        <v>1692.5712766895713</v>
      </c>
      <c r="BZ195" s="105">
        <v>972.45364151000001</v>
      </c>
      <c r="CA195" s="105">
        <v>7337.817630067143</v>
      </c>
      <c r="CB195" s="105">
        <v>-1093.3631124785718</v>
      </c>
      <c r="CC195" s="104">
        <v>1082.3201669999999</v>
      </c>
      <c r="CD195" s="105">
        <v>-32.183833000000007</v>
      </c>
      <c r="CE195" s="105">
        <v>14.871301999999996</v>
      </c>
      <c r="CF195" s="105">
        <v>-47.055135</v>
      </c>
      <c r="CG195" s="105">
        <v>1114.5039999999999</v>
      </c>
      <c r="CH195" s="105"/>
      <c r="CI195" s="104">
        <v>70456</v>
      </c>
      <c r="CJ195" s="105">
        <v>18831.099999999999</v>
      </c>
      <c r="CK195" s="105">
        <v>13348.8</v>
      </c>
      <c r="CL195" s="105">
        <v>5482.3</v>
      </c>
      <c r="CM195" s="105">
        <v>52682.8</v>
      </c>
      <c r="CN195" s="105">
        <v>-1057.9000000000001</v>
      </c>
      <c r="CO195" s="104">
        <v>39895.800000000003</v>
      </c>
      <c r="CP195" s="105">
        <v>-3155.3</v>
      </c>
      <c r="CQ195" s="105">
        <v>12521.3</v>
      </c>
      <c r="CR195" s="105">
        <v>-15676.6</v>
      </c>
      <c r="CS195" s="105">
        <v>52428.6</v>
      </c>
      <c r="CT195" s="105">
        <v>-9377.5</v>
      </c>
      <c r="CU195" s="104">
        <v>48028.642035863188</v>
      </c>
      <c r="CV195" s="105">
        <v>21582.65203586319</v>
      </c>
      <c r="CW195" s="105">
        <v>21814.657846448852</v>
      </c>
      <c r="CX195" s="105">
        <v>-232.00581058566212</v>
      </c>
      <c r="CY195" s="105">
        <v>26445.99</v>
      </c>
      <c r="CZ195" s="103"/>
      <c r="DA195" s="109">
        <v>39017.876397413624</v>
      </c>
      <c r="DB195" s="108">
        <v>-1930.1482502569293</v>
      </c>
      <c r="DC195" s="108">
        <v>-3639.4007985969292</v>
      </c>
      <c r="DD195" s="108">
        <v>1709.25254834</v>
      </c>
      <c r="DE195" s="108">
        <v>72464.375623990782</v>
      </c>
      <c r="DF195" s="108">
        <v>-31516.350976320231</v>
      </c>
      <c r="DG195" s="109">
        <v>238553.84362373082</v>
      </c>
      <c r="DH195" s="108">
        <v>144994.61962373083</v>
      </c>
      <c r="DI195" s="108"/>
      <c r="DJ195" s="108"/>
      <c r="DK195" s="108">
        <v>97833.445999999996</v>
      </c>
      <c r="DL195" s="108">
        <v>-4274.2219999999998</v>
      </c>
      <c r="DM195" s="104">
        <v>2965255.0934401099</v>
      </c>
      <c r="DN195" s="105">
        <v>1433957.425</v>
      </c>
      <c r="DO195" s="105">
        <v>1282732.625</v>
      </c>
      <c r="DP195" s="105">
        <v>151224.79999999999</v>
      </c>
      <c r="DQ195" s="105">
        <v>1531297.6680000001</v>
      </c>
      <c r="DR195" s="105"/>
      <c r="DS195" s="104">
        <v>52422.02748795168</v>
      </c>
      <c r="DT195" s="105">
        <v>41270.057563434631</v>
      </c>
      <c r="DU195" s="105">
        <v>40426.259078152871</v>
      </c>
      <c r="DV195" s="105">
        <v>843.79848528176012</v>
      </c>
      <c r="DW195" s="105">
        <v>23926.251841779711</v>
      </c>
      <c r="DX195" s="105">
        <v>-12774.281917262662</v>
      </c>
      <c r="DY195" s="104">
        <v>7274.314601</v>
      </c>
      <c r="DZ195" s="105">
        <f t="shared" si="15"/>
        <v>-33.948040999999876</v>
      </c>
      <c r="EA195" s="105">
        <v>903.86231700000008</v>
      </c>
      <c r="EB195" s="105">
        <v>-937.81035799999995</v>
      </c>
      <c r="EC195" s="105">
        <v>7308.2626419999997</v>
      </c>
      <c r="ED195" s="105"/>
      <c r="EE195" s="104">
        <v>9892.9018243800128</v>
      </c>
      <c r="EF195" s="105">
        <v>-568.83368513000016</v>
      </c>
      <c r="EG195" s="105">
        <v>-568.88836802000014</v>
      </c>
      <c r="EH195" s="105">
        <v>5.4682889999999998E-2</v>
      </c>
      <c r="EI195" s="105">
        <v>13472.282142209999</v>
      </c>
      <c r="EJ195" s="105">
        <v>-3010.5466326999858</v>
      </c>
      <c r="EK195" s="104">
        <v>8118634.9072228093</v>
      </c>
      <c r="EL195" s="105">
        <v>320240.03074348037</v>
      </c>
      <c r="EM195" s="105">
        <v>316060.04429148044</v>
      </c>
      <c r="EN195" s="105">
        <v>4179.9864519999246</v>
      </c>
      <c r="EO195" s="105">
        <v>7742848.4598303288</v>
      </c>
      <c r="EP195" s="105">
        <v>55546.416648999992</v>
      </c>
      <c r="EQ195" s="104">
        <v>39240.669087279988</v>
      </c>
      <c r="ER195" s="105">
        <v>-6040.6802929100004</v>
      </c>
      <c r="ES195" s="105"/>
      <c r="ET195" s="105"/>
      <c r="EU195" s="105">
        <v>72063.993854930013</v>
      </c>
      <c r="EV195" s="105">
        <v>-26782.644474740024</v>
      </c>
      <c r="EW195" s="104">
        <v>420047.20691261807</v>
      </c>
      <c r="EX195" s="105">
        <f t="shared" si="14"/>
        <v>111697.06825900001</v>
      </c>
      <c r="EY195" s="105">
        <v>104721.30824383</v>
      </c>
      <c r="EZ195" s="105">
        <v>6975.7600151699999</v>
      </c>
      <c r="FA195" s="105">
        <v>212890.83891874002</v>
      </c>
      <c r="FB195" s="105">
        <v>95459.299734878048</v>
      </c>
      <c r="FC195" s="104">
        <v>1258.9247269999998</v>
      </c>
      <c r="FD195" s="105">
        <v>317.81172700000008</v>
      </c>
      <c r="FE195" s="105">
        <v>625.15267300000005</v>
      </c>
      <c r="FF195" s="105">
        <v>-307.34094599999997</v>
      </c>
      <c r="FG195" s="105">
        <v>941.11300000000006</v>
      </c>
      <c r="FH195" s="105"/>
      <c r="FI195" s="104">
        <v>700.34529899999995</v>
      </c>
      <c r="FJ195" s="105">
        <v>7.9102990000000233</v>
      </c>
      <c r="FK195" s="105">
        <v>74.52905100000001</v>
      </c>
      <c r="FL195" s="105">
        <v>-66.618751999999986</v>
      </c>
      <c r="FM195" s="105">
        <v>692.43499999999995</v>
      </c>
      <c r="FN195" s="103"/>
      <c r="FO195" s="104">
        <v>1860.6303759999998</v>
      </c>
      <c r="FP195" s="105">
        <v>-276.16262399999999</v>
      </c>
      <c r="FQ195" s="105">
        <v>-90.917748000000017</v>
      </c>
      <c r="FR195" s="105">
        <v>-185.24487599999998</v>
      </c>
      <c r="FS195" s="105">
        <v>2136.7930000000001</v>
      </c>
      <c r="FT195" s="105"/>
      <c r="FU195" s="104"/>
      <c r="FV195" s="105"/>
      <c r="FW195" s="105"/>
      <c r="FX195" s="105"/>
      <c r="FY195" s="105"/>
      <c r="FZ195" s="105"/>
      <c r="GA195" s="104">
        <v>11918.3</v>
      </c>
      <c r="GB195" s="105">
        <v>-15038.3</v>
      </c>
      <c r="GC195" s="105">
        <v>-18923</v>
      </c>
      <c r="GD195" s="105">
        <v>3884.7</v>
      </c>
      <c r="GE195" s="105">
        <v>27356.6</v>
      </c>
      <c r="GF195" s="108"/>
      <c r="GG195" s="109"/>
      <c r="GH195" s="108"/>
      <c r="GI195" s="108"/>
      <c r="GJ195" s="108"/>
      <c r="GK195" s="108"/>
      <c r="GL195" s="108"/>
      <c r="GM195" s="109">
        <v>63158.45709264472</v>
      </c>
      <c r="GN195" s="108">
        <v>10067.318892780189</v>
      </c>
      <c r="GO195" s="108">
        <v>10067.221621262899</v>
      </c>
      <c r="GP195" s="108">
        <v>9.7273517289802394E-2</v>
      </c>
      <c r="GQ195" s="108">
        <v>38716.72138904161</v>
      </c>
      <c r="GR195" s="129">
        <v>14374.416810822919</v>
      </c>
    </row>
    <row r="196" spans="1:227">
      <c r="A196" s="86">
        <v>2006</v>
      </c>
      <c r="B196" s="87" t="s">
        <v>489</v>
      </c>
      <c r="C196" s="88">
        <v>1850.269327</v>
      </c>
      <c r="D196" s="87">
        <v>52.395327000000037</v>
      </c>
      <c r="E196" s="87">
        <v>243.07913600000003</v>
      </c>
      <c r="F196" s="87">
        <v>-190.683809</v>
      </c>
      <c r="G196" s="87">
        <v>1797.874</v>
      </c>
      <c r="H196" s="87"/>
      <c r="I196" s="88">
        <v>131976.196</v>
      </c>
      <c r="J196" s="89">
        <v>150159.79</v>
      </c>
      <c r="K196" s="89"/>
      <c r="L196" s="89"/>
      <c r="M196" s="89">
        <v>63516.875</v>
      </c>
      <c r="N196" s="89">
        <v>-81700.468999999997</v>
      </c>
      <c r="O196" s="90"/>
      <c r="P196" s="91"/>
      <c r="Q196" s="91"/>
      <c r="R196" s="91"/>
      <c r="S196" s="91"/>
      <c r="T196" s="91"/>
      <c r="U196" s="90">
        <v>5169.6829999999991</v>
      </c>
      <c r="V196" s="91">
        <v>1024.9000000000001</v>
      </c>
      <c r="W196" s="91">
        <v>502.6</v>
      </c>
      <c r="X196" s="91">
        <v>522.33000000000004</v>
      </c>
      <c r="Y196" s="91">
        <v>4144.7829999999994</v>
      </c>
      <c r="Z196" s="91"/>
      <c r="AA196" s="88">
        <v>1394.019</v>
      </c>
      <c r="AB196" s="89">
        <v>190.67099999999999</v>
      </c>
      <c r="AC196" s="89">
        <v>129.608</v>
      </c>
      <c r="AD196" s="89">
        <v>61.063000000000002</v>
      </c>
      <c r="AE196" s="89">
        <v>1203.348</v>
      </c>
      <c r="AF196" s="89"/>
      <c r="AG196" s="88">
        <v>38565.848508940762</v>
      </c>
      <c r="AH196" s="89">
        <v>8325.6736340415264</v>
      </c>
      <c r="AI196" s="89">
        <v>8325.6736340415264</v>
      </c>
      <c r="AJ196" s="89"/>
      <c r="AK196" s="89">
        <v>30240.17487489924</v>
      </c>
      <c r="AL196" s="89"/>
      <c r="AM196" s="88">
        <v>1698811</v>
      </c>
      <c r="AN196" s="89">
        <v>922628</v>
      </c>
      <c r="AO196" s="89">
        <v>903724</v>
      </c>
      <c r="AP196" s="89">
        <v>18904</v>
      </c>
      <c r="AQ196" s="89">
        <v>693256</v>
      </c>
      <c r="AR196" s="89">
        <v>82926</v>
      </c>
      <c r="AS196" s="88">
        <v>39547000</v>
      </c>
      <c r="AT196" s="89">
        <v>-757000</v>
      </c>
      <c r="AU196" s="89">
        <v>-757000</v>
      </c>
      <c r="AV196" s="89"/>
      <c r="AW196" s="89">
        <v>42955000</v>
      </c>
      <c r="AX196" s="89">
        <v>-2651000</v>
      </c>
      <c r="AY196" s="88">
        <v>102750059.58649659</v>
      </c>
      <c r="AZ196" s="89">
        <f t="shared" si="13"/>
        <v>34532235.724457785</v>
      </c>
      <c r="BA196" s="89">
        <v>29455306.322877783</v>
      </c>
      <c r="BB196" s="89">
        <v>5076929.4015799994</v>
      </c>
      <c r="BC196" s="89">
        <v>68217823.862038821</v>
      </c>
      <c r="BD196" s="89"/>
      <c r="BE196" s="88">
        <v>4157883.3867689501</v>
      </c>
      <c r="BF196" s="89">
        <v>716295.29551412002</v>
      </c>
      <c r="BG196" s="89">
        <v>657027.30297921004</v>
      </c>
      <c r="BH196" s="89">
        <v>59267.992534910001</v>
      </c>
      <c r="BI196" s="89">
        <v>3409989.0249753697</v>
      </c>
      <c r="BJ196" s="89">
        <v>31599.066279459999</v>
      </c>
      <c r="BK196" s="88">
        <v>461.16902900000002</v>
      </c>
      <c r="BL196" s="89">
        <v>-31.231971000000001</v>
      </c>
      <c r="BM196" s="89">
        <v>12.265590000000003</v>
      </c>
      <c r="BN196" s="89">
        <v>-43.497561000000005</v>
      </c>
      <c r="BO196" s="89">
        <v>492.40100000000001</v>
      </c>
      <c r="BP196" s="89"/>
      <c r="BQ196" s="88">
        <v>6205.62</v>
      </c>
      <c r="BR196" s="89">
        <v>-2307.88</v>
      </c>
      <c r="BS196" s="89">
        <v>-1380.41</v>
      </c>
      <c r="BT196" s="89">
        <v>-927.47</v>
      </c>
      <c r="BU196" s="89">
        <v>8513.5</v>
      </c>
      <c r="BV196" s="89"/>
      <c r="BW196" s="88">
        <v>9002.9154726292436</v>
      </c>
      <c r="BX196" s="89">
        <v>2663.9897296206718</v>
      </c>
      <c r="BY196" s="89">
        <v>1689.8390881106716</v>
      </c>
      <c r="BZ196" s="89">
        <v>974.15064151000001</v>
      </c>
      <c r="CA196" s="89">
        <v>7386.0852448771439</v>
      </c>
      <c r="CB196" s="89">
        <v>-1047.1595018685714</v>
      </c>
      <c r="CC196" s="88">
        <v>1076.7388819999999</v>
      </c>
      <c r="CD196" s="89">
        <v>-44.120118000000012</v>
      </c>
      <c r="CE196" s="89">
        <v>2.8150169999999926</v>
      </c>
      <c r="CF196" s="89">
        <v>-46.935135000000002</v>
      </c>
      <c r="CG196" s="89">
        <v>1120.8589999999999</v>
      </c>
      <c r="CH196" s="89"/>
      <c r="CI196" s="88">
        <v>68188.600000000006</v>
      </c>
      <c r="CJ196" s="89">
        <v>16220.5</v>
      </c>
      <c r="CK196" s="89">
        <v>10725.8</v>
      </c>
      <c r="CL196" s="89">
        <v>5494.7</v>
      </c>
      <c r="CM196" s="89">
        <v>53380.200000000004</v>
      </c>
      <c r="CN196" s="89">
        <v>-1412.2</v>
      </c>
      <c r="CO196" s="88">
        <v>27804.5</v>
      </c>
      <c r="CP196" s="89">
        <v>-15482.9</v>
      </c>
      <c r="CQ196" s="89">
        <v>3137.7</v>
      </c>
      <c r="CR196" s="89">
        <v>-18620.599999999999</v>
      </c>
      <c r="CS196" s="89">
        <v>53079.8</v>
      </c>
      <c r="CT196" s="89">
        <v>-9792.4</v>
      </c>
      <c r="CU196" s="88">
        <v>48822.390140911615</v>
      </c>
      <c r="CV196" s="89">
        <v>22078.350140911614</v>
      </c>
      <c r="CW196" s="89">
        <v>22317.019311629592</v>
      </c>
      <c r="CX196" s="89">
        <v>-238.66917071797815</v>
      </c>
      <c r="CY196" s="89">
        <v>26744.04</v>
      </c>
      <c r="CZ196" s="89"/>
      <c r="DA196" s="88">
        <v>39263.422545203917</v>
      </c>
      <c r="DB196" s="89">
        <v>-1498.9279694712268</v>
      </c>
      <c r="DC196" s="89">
        <v>-3700.1010338714841</v>
      </c>
      <c r="DD196" s="89">
        <v>2201.1730644002573</v>
      </c>
      <c r="DE196" s="89">
        <v>73687.187348341249</v>
      </c>
      <c r="DF196" s="89">
        <v>-32924.836833666101</v>
      </c>
      <c r="DG196" s="88">
        <v>232346.83657999997</v>
      </c>
      <c r="DH196" s="89">
        <v>136093.53757999997</v>
      </c>
      <c r="DI196" s="89"/>
      <c r="DJ196" s="89"/>
      <c r="DK196" s="89">
        <v>99637.986000000004</v>
      </c>
      <c r="DL196" s="89">
        <v>-3384.6869999999999</v>
      </c>
      <c r="DM196" s="88">
        <v>3031197.8390729399</v>
      </c>
      <c r="DN196" s="89">
        <v>1484728.0859999999</v>
      </c>
      <c r="DO196" s="89">
        <v>1327657.5859999999</v>
      </c>
      <c r="DP196" s="89">
        <v>157070.5</v>
      </c>
      <c r="DQ196" s="89">
        <v>1546469.753</v>
      </c>
      <c r="DR196" s="89"/>
      <c r="DS196" s="88">
        <v>50460.774640953452</v>
      </c>
      <c r="DT196" s="89">
        <v>41305.884211562763</v>
      </c>
      <c r="DU196" s="89">
        <v>40459.321032398584</v>
      </c>
      <c r="DV196" s="89">
        <v>846.56317916418004</v>
      </c>
      <c r="DW196" s="89">
        <v>24338.497442339707</v>
      </c>
      <c r="DX196" s="89">
        <v>-15183.607012949016</v>
      </c>
      <c r="DY196" s="88">
        <v>7304.4975760000007</v>
      </c>
      <c r="DZ196" s="89">
        <f t="shared" si="15"/>
        <v>-68.693505999999843</v>
      </c>
      <c r="EA196" s="89">
        <v>875.66041200000006</v>
      </c>
      <c r="EB196" s="89">
        <v>-944.35391799999991</v>
      </c>
      <c r="EC196" s="89">
        <v>7373.1910820000003</v>
      </c>
      <c r="ED196" s="89"/>
      <c r="EE196" s="88">
        <v>9774.2785665301926</v>
      </c>
      <c r="EF196" s="89">
        <v>-583.08352386000013</v>
      </c>
      <c r="EG196" s="89">
        <v>-583.11132816000008</v>
      </c>
      <c r="EH196" s="89">
        <v>2.7804299999999997E-2</v>
      </c>
      <c r="EI196" s="89">
        <v>13642.65242445</v>
      </c>
      <c r="EJ196" s="89">
        <v>-3285.2903340598059</v>
      </c>
      <c r="EK196" s="88">
        <v>7940531.6492043007</v>
      </c>
      <c r="EL196" s="89">
        <v>146379.92197559989</v>
      </c>
      <c r="EM196" s="89">
        <v>171737.01409038994</v>
      </c>
      <c r="EN196" s="89">
        <v>-25357.092114790052</v>
      </c>
      <c r="EO196" s="89">
        <v>7739475.6161447009</v>
      </c>
      <c r="EP196" s="89">
        <v>54676.111084000004</v>
      </c>
      <c r="EQ196" s="88">
        <v>38385.616662970002</v>
      </c>
      <c r="ER196" s="89">
        <v>-3930.3992821000011</v>
      </c>
      <c r="ES196" s="89"/>
      <c r="ET196" s="89"/>
      <c r="EU196" s="89">
        <v>70310.716516700006</v>
      </c>
      <c r="EV196" s="89">
        <v>-27994.700571630005</v>
      </c>
      <c r="EW196" s="88">
        <v>416617.46684285539</v>
      </c>
      <c r="EX196" s="89">
        <f t="shared" si="14"/>
        <v>107596.16232043999</v>
      </c>
      <c r="EY196" s="89">
        <v>100784.51807614</v>
      </c>
      <c r="EZ196" s="89">
        <v>6811.6442443000005</v>
      </c>
      <c r="FA196" s="89">
        <v>210172.42919794997</v>
      </c>
      <c r="FB196" s="89">
        <v>98848.875324465393</v>
      </c>
      <c r="FC196" s="88">
        <v>1268.113869</v>
      </c>
      <c r="FD196" s="89">
        <v>324.37386900000001</v>
      </c>
      <c r="FE196" s="89">
        <v>631.59750800000006</v>
      </c>
      <c r="FF196" s="89">
        <v>-307.22363900000005</v>
      </c>
      <c r="FG196" s="89">
        <v>943.74</v>
      </c>
      <c r="FH196" s="89"/>
      <c r="FI196" s="88">
        <v>702.964696</v>
      </c>
      <c r="FJ196" s="89">
        <v>7.8326959999999985</v>
      </c>
      <c r="FK196" s="89">
        <v>72.689447999999999</v>
      </c>
      <c r="FL196" s="89">
        <v>-64.856752</v>
      </c>
      <c r="FM196" s="89">
        <v>695.13199999999995</v>
      </c>
      <c r="FN196" s="89"/>
      <c r="FO196" s="88">
        <v>1880.366898</v>
      </c>
      <c r="FP196" s="89">
        <v>-270.29010199999993</v>
      </c>
      <c r="FQ196" s="89">
        <v>-91.491225999999969</v>
      </c>
      <c r="FR196" s="89">
        <v>-178.79887599999998</v>
      </c>
      <c r="FS196" s="89">
        <v>2150.6570000000002</v>
      </c>
      <c r="FT196" s="89"/>
      <c r="FU196" s="88">
        <v>1385.5</v>
      </c>
      <c r="FV196" s="89">
        <v>402.2</v>
      </c>
      <c r="FW196" s="89">
        <v>379.5</v>
      </c>
      <c r="FX196" s="89">
        <v>22.7</v>
      </c>
      <c r="FY196" s="89">
        <v>969.5</v>
      </c>
      <c r="FZ196" s="89">
        <v>13.8</v>
      </c>
      <c r="GA196" s="120">
        <v>11465.7</v>
      </c>
      <c r="GB196" s="121">
        <v>-15493</v>
      </c>
      <c r="GC196" s="121">
        <v>-19508.8</v>
      </c>
      <c r="GD196" s="121">
        <v>4015.8</v>
      </c>
      <c r="GE196" s="121">
        <v>27358.7</v>
      </c>
      <c r="GF196" s="89"/>
      <c r="GG196" s="88"/>
      <c r="GH196" s="89"/>
      <c r="GI196" s="89"/>
      <c r="GJ196" s="89"/>
      <c r="GK196" s="89"/>
      <c r="GL196" s="89"/>
      <c r="GM196" s="88">
        <v>64493.236163701033</v>
      </c>
      <c r="GN196" s="89">
        <v>11038.139108444877</v>
      </c>
      <c r="GO196" s="89">
        <v>11038.04278071547</v>
      </c>
      <c r="GP196" s="89">
        <v>9.6327729407697918E-2</v>
      </c>
      <c r="GQ196" s="89">
        <v>37689.581391716209</v>
      </c>
      <c r="GR196" s="89">
        <v>15765.515663539945</v>
      </c>
      <c r="GS196" s="88"/>
      <c r="GT196" s="87"/>
      <c r="GU196" s="87"/>
      <c r="GV196" s="87"/>
      <c r="GW196" s="87"/>
      <c r="GX196" s="87"/>
      <c r="GY196" s="87"/>
      <c r="GZ196" s="88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8"/>
      <c r="HM196" s="87"/>
      <c r="HN196" s="87"/>
      <c r="HO196" s="87"/>
      <c r="HP196" s="87"/>
      <c r="HQ196" s="87"/>
      <c r="HR196" s="87"/>
      <c r="HS196" s="87"/>
    </row>
    <row r="197" spans="1:227">
      <c r="A197" s="69"/>
      <c r="B197" s="87" t="s">
        <v>490</v>
      </c>
      <c r="C197" s="88">
        <v>1849.1356320000002</v>
      </c>
      <c r="D197" s="87">
        <v>37.514631999999978</v>
      </c>
      <c r="E197" s="87">
        <v>229.51044099999999</v>
      </c>
      <c r="F197" s="87">
        <v>-191.99580900000001</v>
      </c>
      <c r="G197" s="87">
        <v>1811.6210000000001</v>
      </c>
      <c r="H197" s="87"/>
      <c r="I197" s="88">
        <v>130871.637</v>
      </c>
      <c r="J197" s="89">
        <v>149391.717</v>
      </c>
      <c r="K197" s="89"/>
      <c r="L197" s="89"/>
      <c r="M197" s="89">
        <v>65630.755999999994</v>
      </c>
      <c r="N197" s="89">
        <v>-84150.835999999996</v>
      </c>
      <c r="O197" s="90"/>
      <c r="P197" s="91"/>
      <c r="Q197" s="91"/>
      <c r="R197" s="91"/>
      <c r="S197" s="91"/>
      <c r="T197" s="91"/>
      <c r="U197" s="90">
        <v>5189.79</v>
      </c>
      <c r="V197" s="91">
        <v>1000.1</v>
      </c>
      <c r="W197" s="91">
        <v>477.4</v>
      </c>
      <c r="X197" s="91">
        <v>522.61</v>
      </c>
      <c r="Y197" s="91">
        <v>4189.6899999999996</v>
      </c>
      <c r="Z197" s="91"/>
      <c r="AA197" s="88">
        <v>1410.3710000000001</v>
      </c>
      <c r="AB197" s="89">
        <v>198.08300000000003</v>
      </c>
      <c r="AC197" s="89">
        <v>141.71100000000001</v>
      </c>
      <c r="AD197" s="89">
        <v>56.372</v>
      </c>
      <c r="AE197" s="89">
        <v>1212.288</v>
      </c>
      <c r="AF197" s="89"/>
      <c r="AG197" s="88">
        <v>38395.373798973771</v>
      </c>
      <c r="AH197" s="89">
        <v>8239.4403447656496</v>
      </c>
      <c r="AI197" s="89">
        <v>8239.4403447656496</v>
      </c>
      <c r="AJ197" s="89"/>
      <c r="AK197" s="89">
        <v>30155.933454208123</v>
      </c>
      <c r="AL197" s="89"/>
      <c r="AM197" s="88">
        <v>1717535</v>
      </c>
      <c r="AN197" s="89">
        <v>932319</v>
      </c>
      <c r="AO197" s="89">
        <v>913629</v>
      </c>
      <c r="AP197" s="89">
        <v>18690</v>
      </c>
      <c r="AQ197" s="89">
        <v>699801</v>
      </c>
      <c r="AR197" s="89">
        <v>85415</v>
      </c>
      <c r="AS197" s="88">
        <v>39831000</v>
      </c>
      <c r="AT197" s="89">
        <v>-1010000</v>
      </c>
      <c r="AU197" s="89">
        <v>-1010000</v>
      </c>
      <c r="AV197" s="89"/>
      <c r="AW197" s="89">
        <v>43357000</v>
      </c>
      <c r="AX197" s="89">
        <v>-2516000</v>
      </c>
      <c r="AY197" s="88">
        <v>102045041.28504345</v>
      </c>
      <c r="AZ197" s="89">
        <f t="shared" si="13"/>
        <v>32239086.085589368</v>
      </c>
      <c r="BA197" s="89">
        <v>27136283.562538367</v>
      </c>
      <c r="BB197" s="89">
        <v>5102802.5230510002</v>
      </c>
      <c r="BC197" s="89">
        <v>69805955.199454084</v>
      </c>
      <c r="BD197" s="89"/>
      <c r="BE197" s="88">
        <v>4170781.2107750401</v>
      </c>
      <c r="BF197" s="89">
        <v>708119.14818783</v>
      </c>
      <c r="BG197" s="89">
        <v>648366.41090788995</v>
      </c>
      <c r="BH197" s="89">
        <v>59752.737279939996</v>
      </c>
      <c r="BI197" s="89">
        <v>3441287.4100584304</v>
      </c>
      <c r="BJ197" s="89">
        <v>21374.65252878</v>
      </c>
      <c r="BK197" s="88">
        <v>465.67742599999997</v>
      </c>
      <c r="BL197" s="89">
        <v>-33.546574000000007</v>
      </c>
      <c r="BM197" s="89">
        <v>12.715849999999991</v>
      </c>
      <c r="BN197" s="89">
        <v>-46.262423999999996</v>
      </c>
      <c r="BO197" s="89">
        <v>499.22399999999999</v>
      </c>
      <c r="BP197" s="89"/>
      <c r="BQ197" s="88">
        <v>6439.7052370000001</v>
      </c>
      <c r="BR197" s="89">
        <v>-2183.1037909999995</v>
      </c>
      <c r="BS197" s="89">
        <v>-1313.5502809999998</v>
      </c>
      <c r="BT197" s="89">
        <v>-869.55350999999996</v>
      </c>
      <c r="BU197" s="89">
        <v>8622.8090279999997</v>
      </c>
      <c r="BV197" s="89"/>
      <c r="BW197" s="88">
        <v>9111.2932457041443</v>
      </c>
      <c r="BX197" s="89">
        <v>2650.3949432055715</v>
      </c>
      <c r="BY197" s="89">
        <v>1663.0311094055714</v>
      </c>
      <c r="BZ197" s="89">
        <v>987.36383380000018</v>
      </c>
      <c r="CA197" s="89">
        <v>7456.869158317144</v>
      </c>
      <c r="CB197" s="89">
        <v>-995.97085581857129</v>
      </c>
      <c r="CC197" s="88">
        <v>1081.6156040000001</v>
      </c>
      <c r="CD197" s="89">
        <v>-41.901395999999998</v>
      </c>
      <c r="CE197" s="89">
        <v>-1.6112609999999985</v>
      </c>
      <c r="CF197" s="89">
        <v>-40.290134999999999</v>
      </c>
      <c r="CG197" s="89">
        <v>1123.5170000000001</v>
      </c>
      <c r="CH197" s="89"/>
      <c r="CI197" s="88">
        <v>68695</v>
      </c>
      <c r="CJ197" s="89">
        <v>17046.100000000002</v>
      </c>
      <c r="CK197" s="89">
        <v>11344.7</v>
      </c>
      <c r="CL197" s="89">
        <v>5701.4000000000005</v>
      </c>
      <c r="CM197" s="89">
        <v>54111.9</v>
      </c>
      <c r="CN197" s="89">
        <v>-2462.9</v>
      </c>
      <c r="CO197" s="88">
        <v>28888.400000000001</v>
      </c>
      <c r="CP197" s="89">
        <v>-14488.1</v>
      </c>
      <c r="CQ197" s="89">
        <v>4359.7</v>
      </c>
      <c r="CR197" s="89">
        <v>-18847.8</v>
      </c>
      <c r="CS197" s="89">
        <v>52871.9</v>
      </c>
      <c r="CT197" s="89">
        <v>-9495.4</v>
      </c>
      <c r="CU197" s="88">
        <v>48562.194047708137</v>
      </c>
      <c r="CV197" s="89">
        <v>22204.164047708138</v>
      </c>
      <c r="CW197" s="89">
        <v>22573.654815003229</v>
      </c>
      <c r="CX197" s="89">
        <v>-369.49076729509022</v>
      </c>
      <c r="CY197" s="89">
        <v>26358.03</v>
      </c>
      <c r="CZ197" s="89"/>
      <c r="DA197" s="88">
        <v>39344.988246987727</v>
      </c>
      <c r="DB197" s="89">
        <v>-1825.341530776542</v>
      </c>
      <c r="DC197" s="89">
        <v>-4300.3828623919671</v>
      </c>
      <c r="DD197" s="89">
        <v>2475.0413316154254</v>
      </c>
      <c r="DE197" s="89">
        <v>74638.431985909527</v>
      </c>
      <c r="DF197" s="89">
        <v>-33468.102208145261</v>
      </c>
      <c r="DG197" s="88">
        <v>229886.47735999999</v>
      </c>
      <c r="DH197" s="89">
        <v>136774.45336000001</v>
      </c>
      <c r="DI197" s="89"/>
      <c r="DJ197" s="89"/>
      <c r="DK197" s="89">
        <v>98708.841</v>
      </c>
      <c r="DL197" s="89">
        <v>-5596.817</v>
      </c>
      <c r="DM197" s="88">
        <v>3090836.3628258598</v>
      </c>
      <c r="DN197" s="89">
        <v>1507088.3939999999</v>
      </c>
      <c r="DO197" s="89">
        <v>1351293.4939999999</v>
      </c>
      <c r="DP197" s="89">
        <v>155794.9</v>
      </c>
      <c r="DQ197" s="89">
        <v>1583747.969</v>
      </c>
      <c r="DR197" s="89"/>
      <c r="DS197" s="88">
        <v>51807.247162484819</v>
      </c>
      <c r="DT197" s="89">
        <v>41472.704819448409</v>
      </c>
      <c r="DU197" s="89">
        <v>40629.360213704058</v>
      </c>
      <c r="DV197" s="89">
        <v>843.34460574435002</v>
      </c>
      <c r="DW197" s="89">
        <v>24834.298386167065</v>
      </c>
      <c r="DX197" s="89">
        <v>-14499.756043130656</v>
      </c>
      <c r="DY197" s="88">
        <v>7363.0600979999999</v>
      </c>
      <c r="DZ197" s="89">
        <f t="shared" si="15"/>
        <v>-77.056120999999962</v>
      </c>
      <c r="EA197" s="89">
        <v>864.83465999999999</v>
      </c>
      <c r="EB197" s="89">
        <v>-941.89078099999995</v>
      </c>
      <c r="EC197" s="89">
        <v>7440.1162189999995</v>
      </c>
      <c r="ED197" s="89"/>
      <c r="EE197" s="88">
        <v>9934.0095989642323</v>
      </c>
      <c r="EF197" s="89">
        <v>-476.08447119999983</v>
      </c>
      <c r="EG197" s="89">
        <v>-476.1858705799998</v>
      </c>
      <c r="EH197" s="89">
        <v>0.10139937999999998</v>
      </c>
      <c r="EI197" s="89">
        <v>13723.06426472</v>
      </c>
      <c r="EJ197" s="89">
        <v>-3312.9701945557686</v>
      </c>
      <c r="EK197" s="88">
        <v>7841849.1905606026</v>
      </c>
      <c r="EL197" s="89">
        <v>66438.521580600354</v>
      </c>
      <c r="EM197" s="89">
        <v>142846.56643340038</v>
      </c>
      <c r="EN197" s="89">
        <v>-76408.044852800027</v>
      </c>
      <c r="EO197" s="89">
        <v>7722399.9910120023</v>
      </c>
      <c r="EP197" s="89">
        <v>53010.677967999989</v>
      </c>
      <c r="EQ197" s="88">
        <v>40249.054951199993</v>
      </c>
      <c r="ER197" s="89">
        <v>-3139.0336997600007</v>
      </c>
      <c r="ES197" s="89"/>
      <c r="ET197" s="89"/>
      <c r="EU197" s="89">
        <v>71386.755320149998</v>
      </c>
      <c r="EV197" s="89">
        <v>-27998.666669190003</v>
      </c>
      <c r="EW197" s="88">
        <v>420706.62715902837</v>
      </c>
      <c r="EX197" s="89">
        <f t="shared" si="14"/>
        <v>109019.58274177997</v>
      </c>
      <c r="EY197" s="89">
        <v>102574.90346725998</v>
      </c>
      <c r="EZ197" s="89">
        <v>6444.67927452</v>
      </c>
      <c r="FA197" s="89">
        <v>209823.17757843004</v>
      </c>
      <c r="FB197" s="89">
        <v>101863.86683881834</v>
      </c>
      <c r="FC197" s="88">
        <v>1291.678662</v>
      </c>
      <c r="FD197" s="89">
        <v>338.14766199999991</v>
      </c>
      <c r="FE197" s="89">
        <v>646.39330099999995</v>
      </c>
      <c r="FF197" s="89">
        <v>-308.24563900000004</v>
      </c>
      <c r="FG197" s="89">
        <v>953.53099999999995</v>
      </c>
      <c r="FH197" s="89"/>
      <c r="FI197" s="88">
        <v>705.38563699999997</v>
      </c>
      <c r="FJ197" s="89">
        <v>5.4866369999999947</v>
      </c>
      <c r="FK197" s="89">
        <v>67.630388999999994</v>
      </c>
      <c r="FL197" s="89">
        <v>-62.143751999999999</v>
      </c>
      <c r="FM197" s="89">
        <v>699.899</v>
      </c>
      <c r="FN197" s="89"/>
      <c r="FO197" s="88">
        <v>1886.7559950000002</v>
      </c>
      <c r="FP197" s="89">
        <v>-271.63300500000003</v>
      </c>
      <c r="FQ197" s="89">
        <v>-90.651129000000012</v>
      </c>
      <c r="FR197" s="89">
        <v>-180.981876</v>
      </c>
      <c r="FS197" s="89">
        <v>2158.3890000000001</v>
      </c>
      <c r="FT197" s="89"/>
      <c r="FU197" s="88">
        <v>1422.2</v>
      </c>
      <c r="FV197" s="89">
        <v>431.40000000000003</v>
      </c>
      <c r="FW197" s="89">
        <v>408.8</v>
      </c>
      <c r="FX197" s="89">
        <v>22.6</v>
      </c>
      <c r="FY197" s="89">
        <v>976.8</v>
      </c>
      <c r="FZ197" s="89">
        <v>14</v>
      </c>
      <c r="GA197" s="120">
        <v>12231.7</v>
      </c>
      <c r="GB197" s="121">
        <v>-14740.2</v>
      </c>
      <c r="GC197" s="121">
        <v>-18441.5</v>
      </c>
      <c r="GD197" s="121">
        <v>3701.3</v>
      </c>
      <c r="GE197" s="121">
        <v>27371.9</v>
      </c>
      <c r="GF197" s="89"/>
      <c r="GG197" s="88"/>
      <c r="GH197" s="89"/>
      <c r="GI197" s="89"/>
      <c r="GJ197" s="89"/>
      <c r="GK197" s="89"/>
      <c r="GL197" s="89"/>
      <c r="GM197" s="88">
        <v>64637.941211911879</v>
      </c>
      <c r="GN197" s="89">
        <v>12744.066839242198</v>
      </c>
      <c r="GO197" s="89">
        <v>12743.970700991418</v>
      </c>
      <c r="GP197" s="89">
        <v>9.6138250779360529E-2</v>
      </c>
      <c r="GQ197" s="89">
        <v>37886.315057223073</v>
      </c>
      <c r="GR197" s="89">
        <v>14007.55931544661</v>
      </c>
      <c r="GS197" s="88"/>
      <c r="GT197" s="87"/>
      <c r="GU197" s="87"/>
      <c r="GV197" s="87"/>
      <c r="GW197" s="87"/>
      <c r="GX197" s="87"/>
      <c r="GY197" s="87"/>
      <c r="GZ197" s="88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131"/>
      <c r="HL197" s="88"/>
      <c r="HM197" s="87"/>
      <c r="HN197" s="87"/>
      <c r="HO197" s="87"/>
      <c r="HP197" s="87"/>
      <c r="HQ197" s="87"/>
      <c r="HR197" s="87"/>
      <c r="HS197" s="87"/>
    </row>
    <row r="198" spans="1:227">
      <c r="A198" s="69"/>
      <c r="B198" s="87" t="s">
        <v>491</v>
      </c>
      <c r="C198" s="88">
        <v>1841.7553109999999</v>
      </c>
      <c r="D198" s="87">
        <v>-3.7646890000000326</v>
      </c>
      <c r="E198" s="87">
        <v>199.48040799999998</v>
      </c>
      <c r="F198" s="87">
        <v>-203.24509700000002</v>
      </c>
      <c r="G198" s="87">
        <v>1845.52</v>
      </c>
      <c r="H198" s="87"/>
      <c r="I198" s="88">
        <v>129762.92999999998</v>
      </c>
      <c r="J198" s="89">
        <v>146083.296</v>
      </c>
      <c r="K198" s="89"/>
      <c r="L198" s="89"/>
      <c r="M198" s="89">
        <v>66307.525999999998</v>
      </c>
      <c r="N198" s="89">
        <v>-82627.892000000007</v>
      </c>
      <c r="O198" s="90"/>
      <c r="P198" s="91"/>
      <c r="Q198" s="91"/>
      <c r="R198" s="91"/>
      <c r="S198" s="91"/>
      <c r="T198" s="91"/>
      <c r="U198" s="90">
        <v>5161.8009999999995</v>
      </c>
      <c r="V198" s="91">
        <v>936.2</v>
      </c>
      <c r="W198" s="91">
        <v>397.4</v>
      </c>
      <c r="X198" s="91">
        <v>538.86300000000006</v>
      </c>
      <c r="Y198" s="91">
        <v>4225.6009999999997</v>
      </c>
      <c r="Z198" s="91"/>
      <c r="AA198" s="88">
        <v>1448.74</v>
      </c>
      <c r="AB198" s="89">
        <v>229.18699999999998</v>
      </c>
      <c r="AC198" s="89">
        <v>172.87799999999999</v>
      </c>
      <c r="AD198" s="89">
        <v>56.308999999999997</v>
      </c>
      <c r="AE198" s="89">
        <v>1219.5530000000001</v>
      </c>
      <c r="AF198" s="89"/>
      <c r="AG198" s="88">
        <v>38264.979307662557</v>
      </c>
      <c r="AH198" s="89">
        <v>8055.2573912500238</v>
      </c>
      <c r="AI198" s="89">
        <v>8055.2573912500238</v>
      </c>
      <c r="AJ198" s="89"/>
      <c r="AK198" s="89">
        <v>30209.721916412534</v>
      </c>
      <c r="AL198" s="89"/>
      <c r="AM198" s="88">
        <v>1741209</v>
      </c>
      <c r="AN198" s="89">
        <v>941346</v>
      </c>
      <c r="AO198" s="89">
        <v>922485</v>
      </c>
      <c r="AP198" s="89">
        <v>18861</v>
      </c>
      <c r="AQ198" s="89">
        <v>713127</v>
      </c>
      <c r="AR198" s="89">
        <v>86736</v>
      </c>
      <c r="AS198" s="88">
        <v>40183000</v>
      </c>
      <c r="AT198" s="89">
        <v>-1128000</v>
      </c>
      <c r="AU198" s="89">
        <v>-1128000</v>
      </c>
      <c r="AV198" s="89"/>
      <c r="AW198" s="89">
        <v>44135000</v>
      </c>
      <c r="AX198" s="89">
        <v>-2824000</v>
      </c>
      <c r="AY198" s="88">
        <v>100599790.51239264</v>
      </c>
      <c r="AZ198" s="89">
        <f t="shared" si="13"/>
        <v>30161514.639056958</v>
      </c>
      <c r="BA198" s="89">
        <v>25082161.496676959</v>
      </c>
      <c r="BB198" s="89">
        <v>5079353.1423799992</v>
      </c>
      <c r="BC198" s="89">
        <v>70438275.873335689</v>
      </c>
      <c r="BD198" s="89"/>
      <c r="BE198" s="88">
        <v>4273980.6292954702</v>
      </c>
      <c r="BF198" s="89">
        <v>707924.68890795996</v>
      </c>
      <c r="BG198" s="89">
        <v>649747.90387181996</v>
      </c>
      <c r="BH198" s="89">
        <v>58176.785036139998</v>
      </c>
      <c r="BI198" s="89">
        <v>3530914.3368947199</v>
      </c>
      <c r="BJ198" s="89">
        <v>33141.603492789996</v>
      </c>
      <c r="BK198" s="88">
        <v>475.27666100000005</v>
      </c>
      <c r="BL198" s="89">
        <v>-44.614339000000001</v>
      </c>
      <c r="BM198" s="89">
        <v>6.5659809999999998</v>
      </c>
      <c r="BN198" s="89">
        <v>-51.180320000000002</v>
      </c>
      <c r="BO198" s="89">
        <v>519.89099999999996</v>
      </c>
      <c r="BP198" s="89"/>
      <c r="BQ198" s="88">
        <v>6273.2439400000003</v>
      </c>
      <c r="BR198" s="89">
        <v>-2518.5491829999992</v>
      </c>
      <c r="BS198" s="89">
        <v>-1886.0976889999995</v>
      </c>
      <c r="BT198" s="89">
        <v>-632.45149399999991</v>
      </c>
      <c r="BU198" s="89">
        <v>8786.7931229999995</v>
      </c>
      <c r="BV198" s="89"/>
      <c r="BW198" s="88">
        <v>9162.9605047211444</v>
      </c>
      <c r="BX198" s="89">
        <v>2715.1742137925712</v>
      </c>
      <c r="BY198" s="89">
        <v>1713.5742353525711</v>
      </c>
      <c r="BZ198" s="89">
        <v>1001.5999784400002</v>
      </c>
      <c r="CA198" s="89">
        <v>7495.0650820971441</v>
      </c>
      <c r="CB198" s="89">
        <v>-1047.2787911685714</v>
      </c>
      <c r="CC198" s="88">
        <v>1088.568207</v>
      </c>
      <c r="CD198" s="89">
        <v>-42.16179300000001</v>
      </c>
      <c r="CE198" s="89">
        <v>2.4890569999999861</v>
      </c>
      <c r="CF198" s="89">
        <v>-44.650849999999998</v>
      </c>
      <c r="CG198" s="89">
        <v>1130.73</v>
      </c>
      <c r="CH198" s="89"/>
      <c r="CI198" s="88">
        <v>69313.600000000006</v>
      </c>
      <c r="CJ198" s="89">
        <v>16963.400000000001</v>
      </c>
      <c r="CK198" s="89">
        <v>10988</v>
      </c>
      <c r="CL198" s="89">
        <v>5975.4</v>
      </c>
      <c r="CM198" s="89">
        <v>54693.1</v>
      </c>
      <c r="CN198" s="89">
        <v>-2342.9</v>
      </c>
      <c r="CO198" s="88">
        <v>31731.599999999999</v>
      </c>
      <c r="CP198" s="89">
        <v>-13078.5</v>
      </c>
      <c r="CQ198" s="89">
        <v>5163.2</v>
      </c>
      <c r="CR198" s="89">
        <v>-18241.7</v>
      </c>
      <c r="CS198" s="89">
        <v>53675.7</v>
      </c>
      <c r="CT198" s="89">
        <v>-8865.7000000000007</v>
      </c>
      <c r="CU198" s="88">
        <v>47431.031068894663</v>
      </c>
      <c r="CV198" s="89">
        <v>21159.491068894666</v>
      </c>
      <c r="CW198" s="89">
        <v>21390.199190677136</v>
      </c>
      <c r="CX198" s="89">
        <v>-230.70812178247013</v>
      </c>
      <c r="CY198" s="89">
        <v>26271.54</v>
      </c>
      <c r="CZ198" s="89"/>
      <c r="DA198" s="88">
        <v>40347.020868771833</v>
      </c>
      <c r="DB198" s="89">
        <v>-1771.5958580244599</v>
      </c>
      <c r="DC198" s="89">
        <v>-4938.4058706244596</v>
      </c>
      <c r="DD198" s="89">
        <v>3166.8100125999999</v>
      </c>
      <c r="DE198" s="89">
        <v>76160.774157328182</v>
      </c>
      <c r="DF198" s="89">
        <v>-34042.157430531886</v>
      </c>
      <c r="DG198" s="88">
        <v>229523.74097000001</v>
      </c>
      <c r="DH198" s="89">
        <v>133051.69797000001</v>
      </c>
      <c r="DI198" s="89"/>
      <c r="DJ198" s="89"/>
      <c r="DK198" s="89">
        <v>100693.389</v>
      </c>
      <c r="DL198" s="89">
        <v>-4221.3459999999995</v>
      </c>
      <c r="DM198" s="88">
        <v>3128341.21545419</v>
      </c>
      <c r="DN198" s="89">
        <v>1467447.2899999998</v>
      </c>
      <c r="DO198" s="89">
        <v>1316041.8899999999</v>
      </c>
      <c r="DP198" s="89">
        <v>151405.4</v>
      </c>
      <c r="DQ198" s="89">
        <v>1660893.925</v>
      </c>
      <c r="DR198" s="89"/>
      <c r="DS198" s="88">
        <v>50786.289903603523</v>
      </c>
      <c r="DT198" s="89">
        <v>39835.968881871093</v>
      </c>
      <c r="DU198" s="89">
        <v>39024.623611868446</v>
      </c>
      <c r="DV198" s="89">
        <v>811.34527000264393</v>
      </c>
      <c r="DW198" s="89">
        <v>25487.89233366054</v>
      </c>
      <c r="DX198" s="89">
        <v>-14537.571311928114</v>
      </c>
      <c r="DY198" s="88">
        <v>7393.2495799999997</v>
      </c>
      <c r="DZ198" s="89">
        <f t="shared" si="15"/>
        <v>-121.2008669999999</v>
      </c>
      <c r="EA198" s="89">
        <v>825.67568600000004</v>
      </c>
      <c r="EB198" s="89">
        <v>-946.87655299999994</v>
      </c>
      <c r="EC198" s="89">
        <v>7514.4504469999993</v>
      </c>
      <c r="ED198" s="89"/>
      <c r="EE198" s="88">
        <v>10139.427907935795</v>
      </c>
      <c r="EF198" s="89">
        <v>-546.37493880500051</v>
      </c>
      <c r="EG198" s="89">
        <v>-546.44341496500056</v>
      </c>
      <c r="EH198" s="89">
        <v>6.847615999999998E-2</v>
      </c>
      <c r="EI198" s="89">
        <v>13822.542723319999</v>
      </c>
      <c r="EJ198" s="89">
        <v>-3136.7398765792027</v>
      </c>
      <c r="EK198" s="88">
        <v>7928628.2357865004</v>
      </c>
      <c r="EL198" s="89">
        <v>168211.92401199997</v>
      </c>
      <c r="EM198" s="89">
        <v>283589.09973919997</v>
      </c>
      <c r="EN198" s="89">
        <v>-115377.17572720001</v>
      </c>
      <c r="EO198" s="89">
        <v>7704978.5209430009</v>
      </c>
      <c r="EP198" s="89">
        <v>55437.790831499995</v>
      </c>
      <c r="EQ198" s="88">
        <v>38137.457973519995</v>
      </c>
      <c r="ER198" s="89">
        <v>-4175.7707925599998</v>
      </c>
      <c r="ES198" s="89"/>
      <c r="ET198" s="89"/>
      <c r="EU198" s="89">
        <v>72134.547410479994</v>
      </c>
      <c r="EV198" s="89">
        <v>-29821.318644400002</v>
      </c>
      <c r="EW198" s="88">
        <v>428646.7177938493</v>
      </c>
      <c r="EX198" s="89">
        <f t="shared" si="14"/>
        <v>111874.93481011</v>
      </c>
      <c r="EY198" s="89">
        <v>104956.31807347</v>
      </c>
      <c r="EZ198" s="89">
        <v>6918.6167366400005</v>
      </c>
      <c r="FA198" s="89">
        <v>211721.14968705998</v>
      </c>
      <c r="FB198" s="89">
        <v>105050.63329667933</v>
      </c>
      <c r="FC198" s="88">
        <v>1329.8224240000002</v>
      </c>
      <c r="FD198" s="89">
        <v>355.74642399999993</v>
      </c>
      <c r="FE198" s="89">
        <v>663.02006299999994</v>
      </c>
      <c r="FF198" s="89">
        <v>-307.273639</v>
      </c>
      <c r="FG198" s="89">
        <v>974.07600000000002</v>
      </c>
      <c r="FH198" s="89"/>
      <c r="FI198" s="88">
        <v>707.09451000000001</v>
      </c>
      <c r="FJ198" s="89">
        <v>3.4245100000000122</v>
      </c>
      <c r="FK198" s="89">
        <v>59.524885000000012</v>
      </c>
      <c r="FL198" s="89">
        <v>-56.100375</v>
      </c>
      <c r="FM198" s="89">
        <v>703.67</v>
      </c>
      <c r="FN198" s="89"/>
      <c r="FO198" s="88">
        <v>1910.5300260000001</v>
      </c>
      <c r="FP198" s="89">
        <v>-264.12897399999997</v>
      </c>
      <c r="FQ198" s="89">
        <v>-93.462097999999997</v>
      </c>
      <c r="FR198" s="89">
        <v>-170.666876</v>
      </c>
      <c r="FS198" s="89">
        <v>2174.6590000000001</v>
      </c>
      <c r="FT198" s="89"/>
      <c r="FU198" s="88">
        <v>1405.8</v>
      </c>
      <c r="FV198" s="89">
        <v>393.09999999999997</v>
      </c>
      <c r="FW198" s="89">
        <v>370.9</v>
      </c>
      <c r="FX198" s="89">
        <v>22.2</v>
      </c>
      <c r="FY198" s="89">
        <v>998.7</v>
      </c>
      <c r="FZ198" s="89">
        <v>14</v>
      </c>
      <c r="GA198" s="88">
        <v>9708.7000000000007</v>
      </c>
      <c r="GB198" s="89">
        <v>-17204.5</v>
      </c>
      <c r="GC198" s="89">
        <v>-20814.8</v>
      </c>
      <c r="GD198" s="89">
        <v>3610.3</v>
      </c>
      <c r="GE198" s="89">
        <v>27313.1</v>
      </c>
      <c r="GF198" s="89"/>
      <c r="GG198" s="88"/>
      <c r="GH198" s="89"/>
      <c r="GI198" s="89"/>
      <c r="GJ198" s="89"/>
      <c r="GK198" s="89"/>
      <c r="GL198" s="89"/>
      <c r="GM198" s="88">
        <v>67962.441607910732</v>
      </c>
      <c r="GN198" s="89">
        <v>11484.837154863046</v>
      </c>
      <c r="GO198" s="89">
        <v>11484.741111955596</v>
      </c>
      <c r="GP198" s="89">
        <v>9.6042907450348144E-2</v>
      </c>
      <c r="GQ198" s="89">
        <v>39262.163945339358</v>
      </c>
      <c r="GR198" s="89">
        <v>17215.440507708328</v>
      </c>
      <c r="GS198" s="88"/>
      <c r="GT198" s="87"/>
      <c r="GU198" s="87"/>
      <c r="GV198" s="87"/>
      <c r="GW198" s="87"/>
      <c r="GX198" s="87"/>
      <c r="GY198" s="87"/>
      <c r="GZ198" s="88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131"/>
      <c r="HL198" s="88"/>
      <c r="HM198" s="87"/>
      <c r="HN198" s="87"/>
      <c r="HO198" s="87"/>
      <c r="HP198" s="87"/>
      <c r="HQ198" s="87"/>
      <c r="HR198" s="87"/>
      <c r="HS198" s="87"/>
    </row>
    <row r="199" spans="1:227">
      <c r="A199" s="69"/>
      <c r="B199" s="87" t="s">
        <v>492</v>
      </c>
      <c r="C199" s="88">
        <v>1857.635049</v>
      </c>
      <c r="D199" s="87">
        <v>-7.9869510000000048</v>
      </c>
      <c r="E199" s="87">
        <v>197.560146</v>
      </c>
      <c r="F199" s="87">
        <v>-205.54709700000001</v>
      </c>
      <c r="G199" s="87">
        <v>1865.6220000000001</v>
      </c>
      <c r="H199" s="87"/>
      <c r="I199" s="88">
        <v>131332.25900000002</v>
      </c>
      <c r="J199" s="89">
        <v>146507.44200000001</v>
      </c>
      <c r="K199" s="89"/>
      <c r="L199" s="89"/>
      <c r="M199" s="89">
        <v>67991.168999999994</v>
      </c>
      <c r="N199" s="89">
        <v>-83166.351999999999</v>
      </c>
      <c r="O199" s="90"/>
      <c r="P199" s="91"/>
      <c r="Q199" s="91"/>
      <c r="R199" s="91"/>
      <c r="S199" s="91"/>
      <c r="T199" s="91"/>
      <c r="U199" s="90">
        <v>5355.0689999999995</v>
      </c>
      <c r="V199" s="91">
        <v>1068.4000000000001</v>
      </c>
      <c r="W199" s="91">
        <v>553.70000000000005</v>
      </c>
      <c r="X199" s="91">
        <v>514.71699999999998</v>
      </c>
      <c r="Y199" s="91">
        <v>4286.6689999999999</v>
      </c>
      <c r="Z199" s="91"/>
      <c r="AA199" s="88">
        <v>1466.327</v>
      </c>
      <c r="AB199" s="89">
        <v>234.92500000000001</v>
      </c>
      <c r="AC199" s="89">
        <v>178.953</v>
      </c>
      <c r="AD199" s="89">
        <v>55.972000000000001</v>
      </c>
      <c r="AE199" s="89">
        <v>1231.402</v>
      </c>
      <c r="AF199" s="89"/>
      <c r="AG199" s="88">
        <v>38542.900774248701</v>
      </c>
      <c r="AH199" s="89">
        <v>8104.4454614273764</v>
      </c>
      <c r="AI199" s="89">
        <v>8104.4454614273764</v>
      </c>
      <c r="AJ199" s="89"/>
      <c r="AK199" s="89">
        <v>30438.455312821327</v>
      </c>
      <c r="AL199" s="89"/>
      <c r="AM199" s="88">
        <v>1772560</v>
      </c>
      <c r="AN199" s="89">
        <v>951578</v>
      </c>
      <c r="AO199" s="89">
        <v>932272</v>
      </c>
      <c r="AP199" s="89">
        <v>19306</v>
      </c>
      <c r="AQ199" s="89">
        <v>726045</v>
      </c>
      <c r="AR199" s="89">
        <v>94936</v>
      </c>
      <c r="AS199" s="88">
        <v>40531000</v>
      </c>
      <c r="AT199" s="89">
        <v>-1527000</v>
      </c>
      <c r="AU199" s="89">
        <v>-1527000</v>
      </c>
      <c r="AV199" s="89"/>
      <c r="AW199" s="89">
        <v>44818000</v>
      </c>
      <c r="AX199" s="89">
        <v>-2760000</v>
      </c>
      <c r="AY199" s="88">
        <v>103749487.98259729</v>
      </c>
      <c r="AZ199" s="89">
        <f t="shared" si="13"/>
        <v>30848967.555512056</v>
      </c>
      <c r="BA199" s="89">
        <v>25798779.294152055</v>
      </c>
      <c r="BB199" s="89">
        <v>5050188.2613599999</v>
      </c>
      <c r="BC199" s="89">
        <v>72900520.427085221</v>
      </c>
      <c r="BD199" s="89"/>
      <c r="BE199" s="88">
        <v>4301240.5915724495</v>
      </c>
      <c r="BF199" s="89">
        <v>661396.55164629</v>
      </c>
      <c r="BG199" s="89">
        <v>602566.70648386003</v>
      </c>
      <c r="BH199" s="89">
        <v>58829.84516243</v>
      </c>
      <c r="BI199" s="89">
        <v>3577352.8667079601</v>
      </c>
      <c r="BJ199" s="89">
        <v>62491.173218199998</v>
      </c>
      <c r="BK199" s="88">
        <v>487.502657</v>
      </c>
      <c r="BL199" s="89">
        <v>-47.985342999999993</v>
      </c>
      <c r="BM199" s="89">
        <v>4.122464000000007</v>
      </c>
      <c r="BN199" s="89">
        <v>-52.107807000000001</v>
      </c>
      <c r="BO199" s="89">
        <v>535.48800000000006</v>
      </c>
      <c r="BP199" s="89"/>
      <c r="BQ199" s="88">
        <v>5694.3825519999991</v>
      </c>
      <c r="BR199" s="89">
        <v>-2926.4792969999999</v>
      </c>
      <c r="BS199" s="89">
        <v>-2286.2797719999999</v>
      </c>
      <c r="BT199" s="89">
        <v>-640.19952500000011</v>
      </c>
      <c r="BU199" s="89">
        <v>8620.861848999999</v>
      </c>
      <c r="BV199" s="89"/>
      <c r="BW199" s="88">
        <v>8858.7777545167864</v>
      </c>
      <c r="BX199" s="89">
        <v>2281.5838641510709</v>
      </c>
      <c r="BY199" s="89">
        <v>1264.123214441071</v>
      </c>
      <c r="BZ199" s="89">
        <v>1017.4606497100001</v>
      </c>
      <c r="CA199" s="89">
        <v>7580.5546997071433</v>
      </c>
      <c r="CB199" s="89">
        <v>-1003.3608093414282</v>
      </c>
      <c r="CC199" s="88">
        <v>1094.7286050000002</v>
      </c>
      <c r="CD199" s="89">
        <v>-47.262394999999998</v>
      </c>
      <c r="CE199" s="89">
        <v>4.8761910000000066</v>
      </c>
      <c r="CF199" s="89">
        <v>-52.138586000000004</v>
      </c>
      <c r="CG199" s="89">
        <v>1141.991</v>
      </c>
      <c r="CH199" s="89"/>
      <c r="CI199" s="88">
        <v>69823.899999999994</v>
      </c>
      <c r="CJ199" s="89">
        <v>16657.900000000001</v>
      </c>
      <c r="CK199" s="89">
        <v>10501.8</v>
      </c>
      <c r="CL199" s="89">
        <v>6156.1</v>
      </c>
      <c r="CM199" s="89">
        <v>55497.5</v>
      </c>
      <c r="CN199" s="89">
        <v>-2331.5</v>
      </c>
      <c r="CO199" s="88">
        <v>32323.1</v>
      </c>
      <c r="CP199" s="89">
        <v>-12965</v>
      </c>
      <c r="CQ199" s="89">
        <v>5528</v>
      </c>
      <c r="CR199" s="89">
        <v>-18493</v>
      </c>
      <c r="CS199" s="89">
        <v>54156.9</v>
      </c>
      <c r="CT199" s="89">
        <v>-8868.7999999999993</v>
      </c>
      <c r="CU199" s="88">
        <v>47807.205999999998</v>
      </c>
      <c r="CV199" s="89">
        <v>21628.025999999998</v>
      </c>
      <c r="CW199" s="89">
        <v>21981.01</v>
      </c>
      <c r="CX199" s="89">
        <v>-352.98399999999998</v>
      </c>
      <c r="CY199" s="89">
        <v>26179.18</v>
      </c>
      <c r="CZ199" s="89"/>
      <c r="DA199" s="88">
        <v>38926.060677332163</v>
      </c>
      <c r="DB199" s="89">
        <v>-3778.3680304783838</v>
      </c>
      <c r="DC199" s="89">
        <v>-6824.2190149376638</v>
      </c>
      <c r="DD199" s="89">
        <v>3045.85098445928</v>
      </c>
      <c r="DE199" s="89">
        <v>78241.048036110646</v>
      </c>
      <c r="DF199" s="89">
        <v>-35536.61932830009</v>
      </c>
      <c r="DG199" s="88">
        <v>227792.57354000001</v>
      </c>
      <c r="DH199" s="89">
        <v>130506.41354000001</v>
      </c>
      <c r="DI199" s="89"/>
      <c r="DJ199" s="89"/>
      <c r="DK199" s="89">
        <v>101665.242</v>
      </c>
      <c r="DL199" s="89">
        <v>-4379.0820000000003</v>
      </c>
      <c r="DM199" s="88">
        <v>3098671.2263811301</v>
      </c>
      <c r="DN199" s="89">
        <v>1410313.3419999999</v>
      </c>
      <c r="DO199" s="89">
        <v>1262177.0419999999</v>
      </c>
      <c r="DP199" s="89">
        <v>148136.29999999999</v>
      </c>
      <c r="DQ199" s="89">
        <v>1688357.8840000001</v>
      </c>
      <c r="DR199" s="89"/>
      <c r="DS199" s="88">
        <v>51355.803528389188</v>
      </c>
      <c r="DT199" s="89">
        <v>39627.159243107621</v>
      </c>
      <c r="DU199" s="89">
        <v>38791.772793740114</v>
      </c>
      <c r="DV199" s="89">
        <v>835.38644936750802</v>
      </c>
      <c r="DW199" s="89">
        <v>25947.553145511418</v>
      </c>
      <c r="DX199" s="89">
        <v>-14218.908860229867</v>
      </c>
      <c r="DY199" s="88">
        <v>7458.6203480000004</v>
      </c>
      <c r="DZ199" s="89">
        <f t="shared" si="15"/>
        <v>-128.32556</v>
      </c>
      <c r="EA199" s="89">
        <v>836.35853199999997</v>
      </c>
      <c r="EB199" s="89">
        <v>-964.68409199999996</v>
      </c>
      <c r="EC199" s="89">
        <v>7586.9459079999997</v>
      </c>
      <c r="ED199" s="89"/>
      <c r="EE199" s="88">
        <v>10203.021680894923</v>
      </c>
      <c r="EF199" s="89">
        <v>-566.93836835999969</v>
      </c>
      <c r="EG199" s="89">
        <v>-567.0531131299997</v>
      </c>
      <c r="EH199" s="89">
        <v>0.11474476999999998</v>
      </c>
      <c r="EI199" s="89">
        <v>13978.392275809998</v>
      </c>
      <c r="EJ199" s="89">
        <v>-3208.4322265550754</v>
      </c>
      <c r="EK199" s="88">
        <v>7509964.2466854407</v>
      </c>
      <c r="EL199" s="89">
        <v>-183160.73342103971</v>
      </c>
      <c r="EM199" s="89">
        <v>-103432.00204279972</v>
      </c>
      <c r="EN199" s="89">
        <v>-79728.731378239987</v>
      </c>
      <c r="EO199" s="89">
        <v>7639236.6626724806</v>
      </c>
      <c r="EP199" s="89">
        <v>53888.317434000004</v>
      </c>
      <c r="EQ199" s="88">
        <v>37399.902562699994</v>
      </c>
      <c r="ER199" s="89">
        <v>-6025.1759573299996</v>
      </c>
      <c r="ES199" s="89"/>
      <c r="ET199" s="89"/>
      <c r="EU199" s="89">
        <v>72954.183466090006</v>
      </c>
      <c r="EV199" s="89">
        <v>-29529.104946060012</v>
      </c>
      <c r="EW199" s="88">
        <v>443499.73440407269</v>
      </c>
      <c r="EX199" s="89">
        <f t="shared" si="14"/>
        <v>112223.28663001001</v>
      </c>
      <c r="EY199" s="89">
        <v>105410.66402133001</v>
      </c>
      <c r="EZ199" s="89">
        <v>6812.6226086799998</v>
      </c>
      <c r="FA199" s="89">
        <v>214623.73729342999</v>
      </c>
      <c r="FB199" s="89">
        <v>116652.71048063267</v>
      </c>
      <c r="FC199" s="88">
        <v>1353.0311019999999</v>
      </c>
      <c r="FD199" s="89">
        <v>375.76910199999998</v>
      </c>
      <c r="FE199" s="89">
        <v>682.59374100000002</v>
      </c>
      <c r="FF199" s="89">
        <v>-306.82463900000005</v>
      </c>
      <c r="FG199" s="89">
        <v>977.26199999999994</v>
      </c>
      <c r="FH199" s="89"/>
      <c r="FI199" s="88">
        <v>696.87796500000013</v>
      </c>
      <c r="FJ199" s="89">
        <v>-5.3370350000000073</v>
      </c>
      <c r="FK199" s="89">
        <v>49.478654999999996</v>
      </c>
      <c r="FL199" s="89">
        <v>-54.815690000000004</v>
      </c>
      <c r="FM199" s="89">
        <v>702.21500000000003</v>
      </c>
      <c r="FN199" s="89"/>
      <c r="FO199" s="88">
        <v>1942.8983640000004</v>
      </c>
      <c r="FP199" s="89">
        <v>-262.34963600000003</v>
      </c>
      <c r="FQ199" s="89">
        <v>-85.024760000000015</v>
      </c>
      <c r="FR199" s="89">
        <v>-177.32487599999999</v>
      </c>
      <c r="FS199" s="89">
        <v>2205.248</v>
      </c>
      <c r="FT199" s="89"/>
      <c r="FU199" s="88">
        <v>1487.6</v>
      </c>
      <c r="FV199" s="89">
        <v>397.4</v>
      </c>
      <c r="FW199" s="89">
        <v>375.7</v>
      </c>
      <c r="FX199" s="89">
        <v>21.7</v>
      </c>
      <c r="FY199" s="89">
        <v>1078.0999999999999</v>
      </c>
      <c r="FZ199" s="89">
        <v>12.1</v>
      </c>
      <c r="GA199" s="120">
        <v>7662.7</v>
      </c>
      <c r="GB199" s="121">
        <v>-19496.099999999999</v>
      </c>
      <c r="GC199" s="121">
        <v>-23091.3</v>
      </c>
      <c r="GD199" s="121">
        <v>3595.2</v>
      </c>
      <c r="GE199" s="121">
        <v>27358.799999999999</v>
      </c>
      <c r="GF199" s="89"/>
      <c r="GG199" s="88"/>
      <c r="GH199" s="89"/>
      <c r="GI199" s="89"/>
      <c r="GJ199" s="89"/>
      <c r="GK199" s="89"/>
      <c r="GL199" s="89"/>
      <c r="GM199" s="88">
        <v>70273.385948831099</v>
      </c>
      <c r="GN199" s="89">
        <v>11422.822764944907</v>
      </c>
      <c r="GO199" s="89">
        <v>11422.72659007272</v>
      </c>
      <c r="GP199" s="89">
        <v>9.6174872187897567E-2</v>
      </c>
      <c r="GQ199" s="89">
        <v>40073.137180108941</v>
      </c>
      <c r="GR199" s="89">
        <v>18772.426003777222</v>
      </c>
      <c r="GS199" s="88"/>
      <c r="GT199" s="87"/>
      <c r="GU199" s="87"/>
      <c r="GV199" s="87"/>
      <c r="GW199" s="87"/>
      <c r="GX199" s="87"/>
      <c r="GY199" s="87"/>
      <c r="GZ199" s="88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131"/>
      <c r="HL199" s="88"/>
      <c r="HM199" s="87"/>
      <c r="HN199" s="87"/>
      <c r="HO199" s="87"/>
      <c r="HP199" s="87"/>
      <c r="HQ199" s="87"/>
      <c r="HR199" s="87"/>
      <c r="HS199" s="87"/>
    </row>
    <row r="200" spans="1:227">
      <c r="A200" s="69"/>
      <c r="B200" s="87" t="s">
        <v>493</v>
      </c>
      <c r="C200" s="88">
        <v>1844.4756929999999</v>
      </c>
      <c r="D200" s="87">
        <v>-32.644307000000026</v>
      </c>
      <c r="E200" s="87">
        <v>172.66179</v>
      </c>
      <c r="F200" s="87">
        <v>-205.30609700000002</v>
      </c>
      <c r="G200" s="87">
        <v>1877.12</v>
      </c>
      <c r="H200" s="87"/>
      <c r="I200" s="88">
        <v>130488.90999999999</v>
      </c>
      <c r="J200" s="89">
        <v>150426.236</v>
      </c>
      <c r="K200" s="89"/>
      <c r="L200" s="89"/>
      <c r="M200" s="89">
        <v>70455.134000000005</v>
      </c>
      <c r="N200" s="89">
        <v>-90392.46</v>
      </c>
      <c r="O200" s="90"/>
      <c r="P200" s="91"/>
      <c r="Q200" s="91"/>
      <c r="R200" s="91"/>
      <c r="S200" s="91"/>
      <c r="T200" s="91"/>
      <c r="U200" s="90">
        <v>5367.0579999999991</v>
      </c>
      <c r="V200" s="91">
        <v>1132.0999999999999</v>
      </c>
      <c r="W200" s="91">
        <v>611.79999999999995</v>
      </c>
      <c r="X200" s="91">
        <v>520.34100000000001</v>
      </c>
      <c r="Y200" s="91">
        <v>4234.9579999999996</v>
      </c>
      <c r="Z200" s="91"/>
      <c r="AA200" s="88">
        <v>1472.8150000000001</v>
      </c>
      <c r="AB200" s="89">
        <v>231.87900000000002</v>
      </c>
      <c r="AC200" s="89">
        <v>181.495</v>
      </c>
      <c r="AD200" s="89">
        <v>50.384</v>
      </c>
      <c r="AE200" s="89">
        <v>1240.9359999999999</v>
      </c>
      <c r="AF200" s="89"/>
      <c r="AG200" s="88">
        <v>38914.253134365979</v>
      </c>
      <c r="AH200" s="89">
        <v>8182.5820906870422</v>
      </c>
      <c r="AI200" s="89">
        <v>8182.5820906870422</v>
      </c>
      <c r="AJ200" s="89"/>
      <c r="AK200" s="89">
        <v>30731.671043678936</v>
      </c>
      <c r="AL200" s="89"/>
      <c r="AM200" s="88">
        <v>1773577</v>
      </c>
      <c r="AN200" s="89">
        <v>949587</v>
      </c>
      <c r="AO200" s="89">
        <v>930075</v>
      </c>
      <c r="AP200" s="89">
        <v>19512</v>
      </c>
      <c r="AQ200" s="89">
        <v>746453</v>
      </c>
      <c r="AR200" s="89">
        <v>77537</v>
      </c>
      <c r="AS200" s="88">
        <v>40279000</v>
      </c>
      <c r="AT200" s="89">
        <v>-1622000</v>
      </c>
      <c r="AU200" s="89">
        <v>-1622000</v>
      </c>
      <c r="AV200" s="89"/>
      <c r="AW200" s="89">
        <v>45285000</v>
      </c>
      <c r="AX200" s="89">
        <v>-3384000</v>
      </c>
      <c r="AY200" s="88">
        <v>104237348.37722366</v>
      </c>
      <c r="AZ200" s="89">
        <f t="shared" si="13"/>
        <v>28768223.144697428</v>
      </c>
      <c r="BA200" s="89">
        <v>23623548.618117426</v>
      </c>
      <c r="BB200" s="89">
        <v>5144674.5265800012</v>
      </c>
      <c r="BC200" s="89">
        <v>75469125.232526213</v>
      </c>
      <c r="BD200" s="89"/>
      <c r="BE200" s="88">
        <v>4361866.5082435999</v>
      </c>
      <c r="BF200" s="89">
        <v>731933.87535978004</v>
      </c>
      <c r="BG200" s="89">
        <v>671547.75503578002</v>
      </c>
      <c r="BH200" s="89">
        <v>60386.120324000003</v>
      </c>
      <c r="BI200" s="89">
        <v>3673757.2319857101</v>
      </c>
      <c r="BJ200" s="89">
        <v>-43824.599101890002</v>
      </c>
      <c r="BK200" s="88">
        <v>486.35018099999996</v>
      </c>
      <c r="BL200" s="89">
        <v>-53.516818999999998</v>
      </c>
      <c r="BM200" s="89">
        <v>0.59812700000000774</v>
      </c>
      <c r="BN200" s="89">
        <v>-54.114946000000003</v>
      </c>
      <c r="BO200" s="89">
        <v>539.86699999999996</v>
      </c>
      <c r="BP200" s="89"/>
      <c r="BQ200" s="88">
        <v>6260.25</v>
      </c>
      <c r="BR200" s="89">
        <v>-2379.4900000000002</v>
      </c>
      <c r="BS200" s="89">
        <v>-1735.13</v>
      </c>
      <c r="BT200" s="89">
        <v>-644.36</v>
      </c>
      <c r="BU200" s="89">
        <v>8639.74</v>
      </c>
      <c r="BV200" s="89"/>
      <c r="BW200" s="88">
        <v>8790.8479185549841</v>
      </c>
      <c r="BX200" s="89">
        <v>2265.8461730592717</v>
      </c>
      <c r="BY200" s="89">
        <v>1237.9119718692718</v>
      </c>
      <c r="BZ200" s="89">
        <v>1027.9342011900001</v>
      </c>
      <c r="CA200" s="89">
        <v>7601.9611913071421</v>
      </c>
      <c r="CB200" s="89">
        <v>-1076.9594458114288</v>
      </c>
      <c r="CC200" s="88">
        <v>1098.8710650000003</v>
      </c>
      <c r="CD200" s="89">
        <v>-43.941935000000008</v>
      </c>
      <c r="CE200" s="89">
        <v>9.7086509999999979</v>
      </c>
      <c r="CF200" s="89">
        <v>-53.650586000000004</v>
      </c>
      <c r="CG200" s="89">
        <v>1142.8130000000001</v>
      </c>
      <c r="CH200" s="89"/>
      <c r="CI200" s="88">
        <v>70561.399999999994</v>
      </c>
      <c r="CJ200" s="89">
        <v>17097.5</v>
      </c>
      <c r="CK200" s="89">
        <v>10743.3</v>
      </c>
      <c r="CL200" s="89">
        <v>6354.2000000000007</v>
      </c>
      <c r="CM200" s="89">
        <v>55612.2</v>
      </c>
      <c r="CN200" s="89">
        <v>-2148.3000000000002</v>
      </c>
      <c r="CO200" s="88">
        <v>30093</v>
      </c>
      <c r="CP200" s="89">
        <v>-14137.2</v>
      </c>
      <c r="CQ200" s="89">
        <v>3636.4</v>
      </c>
      <c r="CR200" s="89">
        <v>-17773.600000000002</v>
      </c>
      <c r="CS200" s="89">
        <v>54691.8</v>
      </c>
      <c r="CT200" s="89">
        <v>-10461.6</v>
      </c>
      <c r="CU200" s="88">
        <v>47163.729000000007</v>
      </c>
      <c r="CV200" s="89">
        <v>21543.209000000003</v>
      </c>
      <c r="CW200" s="89">
        <v>21822.13</v>
      </c>
      <c r="CX200" s="89">
        <v>-278.92099999999999</v>
      </c>
      <c r="CY200" s="89">
        <v>25620.52</v>
      </c>
      <c r="CZ200" s="89"/>
      <c r="DA200" s="88">
        <v>40668.735606180016</v>
      </c>
      <c r="DB200" s="89">
        <v>-4375.446266460237</v>
      </c>
      <c r="DC200" s="89">
        <v>-7341.2837369456975</v>
      </c>
      <c r="DD200" s="89">
        <v>2965.8374704854605</v>
      </c>
      <c r="DE200" s="89">
        <v>79891.460871753225</v>
      </c>
      <c r="DF200" s="89">
        <v>-34847.278999112976</v>
      </c>
      <c r="DG200" s="88">
        <v>234417.80799999999</v>
      </c>
      <c r="DH200" s="89">
        <v>136476.66899999999</v>
      </c>
      <c r="DI200" s="89"/>
      <c r="DJ200" s="89"/>
      <c r="DK200" s="89">
        <v>102479.367</v>
      </c>
      <c r="DL200" s="89">
        <v>-4538.2280000000001</v>
      </c>
      <c r="DM200" s="88">
        <v>3104998.1695958301</v>
      </c>
      <c r="DN200" s="89">
        <v>1382125.0649999999</v>
      </c>
      <c r="DO200" s="89">
        <v>1234650.0649999999</v>
      </c>
      <c r="DP200" s="89">
        <v>147475</v>
      </c>
      <c r="DQ200" s="89">
        <v>1722873.105</v>
      </c>
      <c r="DR200" s="89"/>
      <c r="DS200" s="88">
        <v>51348.998847971445</v>
      </c>
      <c r="DT200" s="89">
        <v>39353.918730405698</v>
      </c>
      <c r="DU200" s="89">
        <v>38523.778849010065</v>
      </c>
      <c r="DV200" s="89">
        <v>830.13988139563094</v>
      </c>
      <c r="DW200" s="89">
        <v>26474.660332871885</v>
      </c>
      <c r="DX200" s="89">
        <v>-14479.580215306147</v>
      </c>
      <c r="DY200" s="88">
        <v>7488.5678150000003</v>
      </c>
      <c r="DZ200" s="89">
        <f t="shared" si="15"/>
        <v>-152.85165599999993</v>
      </c>
      <c r="EA200" s="89">
        <v>823.63687300000004</v>
      </c>
      <c r="EB200" s="89">
        <v>-976.48852899999997</v>
      </c>
      <c r="EC200" s="89">
        <v>7641.4194710000002</v>
      </c>
      <c r="ED200" s="89"/>
      <c r="EE200" s="88">
        <v>10290.67480095354</v>
      </c>
      <c r="EF200" s="89">
        <v>-513.61169226000015</v>
      </c>
      <c r="EG200" s="89">
        <v>-513.72314208000012</v>
      </c>
      <c r="EH200" s="89">
        <v>0.11144982</v>
      </c>
      <c r="EI200" s="89">
        <v>14202.312112070002</v>
      </c>
      <c r="EJ200" s="89">
        <v>-3398.0256188564604</v>
      </c>
      <c r="EK200" s="88">
        <v>7079239.5514005506</v>
      </c>
      <c r="EL200" s="89">
        <v>-600176.73672441021</v>
      </c>
      <c r="EM200" s="89">
        <v>-372959.62271784013</v>
      </c>
      <c r="EN200" s="89">
        <v>-227217.11400657002</v>
      </c>
      <c r="EO200" s="89">
        <v>7675732.082738461</v>
      </c>
      <c r="EP200" s="89">
        <v>3684.2053864999907</v>
      </c>
      <c r="EQ200" s="88">
        <v>38430.462997299997</v>
      </c>
      <c r="ER200" s="89">
        <v>-5842.8212197100002</v>
      </c>
      <c r="ES200" s="89"/>
      <c r="ET200" s="89"/>
      <c r="EU200" s="89">
        <v>73787.995313240011</v>
      </c>
      <c r="EV200" s="89">
        <v>-29514.711096230014</v>
      </c>
      <c r="EW200" s="88">
        <v>448668.29298884445</v>
      </c>
      <c r="EX200" s="89">
        <f t="shared" si="14"/>
        <v>113446.54560700001</v>
      </c>
      <c r="EY200" s="89">
        <v>106727.53012757</v>
      </c>
      <c r="EZ200" s="89">
        <v>6719.0154794299997</v>
      </c>
      <c r="FA200" s="89">
        <v>217372.06948701001</v>
      </c>
      <c r="FB200" s="89">
        <v>117849.67789483444</v>
      </c>
      <c r="FC200" s="88">
        <v>1362.91751</v>
      </c>
      <c r="FD200" s="89">
        <v>381.38450999999992</v>
      </c>
      <c r="FE200" s="89">
        <v>682.42914899999994</v>
      </c>
      <c r="FF200" s="89">
        <v>-301.04463900000002</v>
      </c>
      <c r="FG200" s="89">
        <v>981.53300000000002</v>
      </c>
      <c r="FH200" s="89"/>
      <c r="FI200" s="88">
        <v>713.61418999999989</v>
      </c>
      <c r="FJ200" s="89">
        <v>3.1561900000000023</v>
      </c>
      <c r="FK200" s="89">
        <v>60.389179000000006</v>
      </c>
      <c r="FL200" s="89">
        <v>-57.232989000000003</v>
      </c>
      <c r="FM200" s="89">
        <v>710.45799999999997</v>
      </c>
      <c r="FN200" s="89"/>
      <c r="FO200" s="88">
        <v>1952.2984880000001</v>
      </c>
      <c r="FP200" s="89">
        <v>-275.17751199999998</v>
      </c>
      <c r="FQ200" s="89">
        <v>-88.277636000000001</v>
      </c>
      <c r="FR200" s="89">
        <v>-186.89987599999998</v>
      </c>
      <c r="FS200" s="89">
        <v>2227.4760000000001</v>
      </c>
      <c r="FT200" s="89"/>
      <c r="FU200" s="88">
        <v>1479.3</v>
      </c>
      <c r="FV200" s="89">
        <v>372.79999999999995</v>
      </c>
      <c r="FW200" s="89">
        <v>351.4</v>
      </c>
      <c r="FX200" s="89">
        <v>21.4</v>
      </c>
      <c r="FY200" s="89">
        <v>1094.8</v>
      </c>
      <c r="FZ200" s="89">
        <v>11.7</v>
      </c>
      <c r="GA200" s="120">
        <v>8244.6</v>
      </c>
      <c r="GB200" s="121">
        <v>-19210.8</v>
      </c>
      <c r="GC200" s="121">
        <v>-22827.1</v>
      </c>
      <c r="GD200" s="121">
        <v>3616.3</v>
      </c>
      <c r="GE200" s="121">
        <v>27455.4</v>
      </c>
      <c r="GF200" s="89"/>
      <c r="GG200" s="88"/>
      <c r="GH200" s="89"/>
      <c r="GI200" s="89"/>
      <c r="GJ200" s="89"/>
      <c r="GK200" s="89"/>
      <c r="GL200" s="89"/>
      <c r="GM200" s="88">
        <v>72666.422581824241</v>
      </c>
      <c r="GN200" s="89">
        <v>11968.093226054629</v>
      </c>
      <c r="GO200" s="89">
        <v>11967.989293694471</v>
      </c>
      <c r="GP200" s="89">
        <v>0.10393236015923321</v>
      </c>
      <c r="GQ200" s="89">
        <v>42433.116949839728</v>
      </c>
      <c r="GR200" s="89">
        <v>18265.212405929899</v>
      </c>
      <c r="GS200" s="88"/>
      <c r="GT200" s="87"/>
      <c r="GU200" s="87"/>
      <c r="GV200" s="87"/>
      <c r="GW200" s="87"/>
      <c r="GX200" s="87"/>
      <c r="GY200" s="87"/>
      <c r="GZ200" s="88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131"/>
      <c r="HL200" s="88"/>
      <c r="HM200" s="87"/>
      <c r="HN200" s="87"/>
      <c r="HO200" s="87"/>
      <c r="HP200" s="87"/>
      <c r="HQ200" s="87"/>
      <c r="HR200" s="87"/>
      <c r="HS200" s="87"/>
    </row>
    <row r="201" spans="1:227">
      <c r="A201" s="69"/>
      <c r="B201" s="87" t="s">
        <v>494</v>
      </c>
      <c r="C201" s="88">
        <v>1855.3203290000001</v>
      </c>
      <c r="D201" s="87">
        <v>-35.978670999999991</v>
      </c>
      <c r="E201" s="87">
        <v>171.80730600000001</v>
      </c>
      <c r="F201" s="87">
        <v>-207.785977</v>
      </c>
      <c r="G201" s="87">
        <v>1891.299</v>
      </c>
      <c r="H201" s="87"/>
      <c r="I201" s="88">
        <v>131512.63200000001</v>
      </c>
      <c r="J201" s="89">
        <v>149069.60200000001</v>
      </c>
      <c r="K201" s="89"/>
      <c r="L201" s="89"/>
      <c r="M201" s="89">
        <v>72590.005999999994</v>
      </c>
      <c r="N201" s="89">
        <v>-90146.975999999995</v>
      </c>
      <c r="O201" s="90"/>
      <c r="P201" s="91"/>
      <c r="Q201" s="91"/>
      <c r="R201" s="91"/>
      <c r="S201" s="91"/>
      <c r="T201" s="91"/>
      <c r="U201" s="90">
        <v>5428.9080000000004</v>
      </c>
      <c r="V201" s="91">
        <v>1160.8</v>
      </c>
      <c r="W201" s="91">
        <v>601.29999999999995</v>
      </c>
      <c r="X201" s="91">
        <v>559.51900000000001</v>
      </c>
      <c r="Y201" s="91">
        <v>4268.1080000000002</v>
      </c>
      <c r="Z201" s="91"/>
      <c r="AA201" s="88">
        <v>1497.9349999999999</v>
      </c>
      <c r="AB201" s="89">
        <v>253.28900000000002</v>
      </c>
      <c r="AC201" s="89">
        <v>202.67500000000001</v>
      </c>
      <c r="AD201" s="89">
        <v>50.613999999999997</v>
      </c>
      <c r="AE201" s="89">
        <v>1244.646</v>
      </c>
      <c r="AF201" s="89"/>
      <c r="AG201" s="88">
        <v>39066.76326450803</v>
      </c>
      <c r="AH201" s="89">
        <v>8324.1304919686845</v>
      </c>
      <c r="AI201" s="89">
        <v>8324.1304919686845</v>
      </c>
      <c r="AJ201" s="89"/>
      <c r="AK201" s="89">
        <v>30742.632772539342</v>
      </c>
      <c r="AL201" s="89"/>
      <c r="AM201" s="88">
        <v>1799212</v>
      </c>
      <c r="AN201" s="89">
        <v>957811</v>
      </c>
      <c r="AO201" s="89">
        <v>938635</v>
      </c>
      <c r="AP201" s="89">
        <v>19176</v>
      </c>
      <c r="AQ201" s="89">
        <v>750186</v>
      </c>
      <c r="AR201" s="89">
        <v>91216</v>
      </c>
      <c r="AS201" s="88">
        <v>39899000</v>
      </c>
      <c r="AT201" s="89">
        <v>-2598000</v>
      </c>
      <c r="AU201" s="89">
        <v>-2598000</v>
      </c>
      <c r="AV201" s="89"/>
      <c r="AW201" s="89">
        <v>45871000</v>
      </c>
      <c r="AX201" s="89">
        <v>-3374000</v>
      </c>
      <c r="AY201" s="88">
        <v>106566360.26146856</v>
      </c>
      <c r="AZ201" s="89">
        <f t="shared" si="13"/>
        <v>28641135.066395354</v>
      </c>
      <c r="BA201" s="89">
        <v>23497278.612515353</v>
      </c>
      <c r="BB201" s="89">
        <v>5143856.4538799999</v>
      </c>
      <c r="BC201" s="89">
        <v>77925225.195073217</v>
      </c>
      <c r="BD201" s="89"/>
      <c r="BE201" s="88">
        <v>4445946.5943022296</v>
      </c>
      <c r="BF201" s="89">
        <v>708658.40812515002</v>
      </c>
      <c r="BG201" s="89">
        <v>649428.09129144996</v>
      </c>
      <c r="BH201" s="89">
        <v>59230.316833700002</v>
      </c>
      <c r="BI201" s="89">
        <v>3759677.4888616297</v>
      </c>
      <c r="BJ201" s="89">
        <v>-22389.302684549999</v>
      </c>
      <c r="BK201" s="88">
        <v>464.47038900000001</v>
      </c>
      <c r="BL201" s="89">
        <v>-47.362611000000001</v>
      </c>
      <c r="BM201" s="89">
        <v>6.1633690000000056</v>
      </c>
      <c r="BN201" s="89">
        <v>-53.525980000000004</v>
      </c>
      <c r="BO201" s="89">
        <v>511.83300000000003</v>
      </c>
      <c r="BP201" s="89"/>
      <c r="BQ201" s="88">
        <v>6390.6340579999978</v>
      </c>
      <c r="BR201" s="89">
        <v>-2439.7440590000001</v>
      </c>
      <c r="BS201" s="89">
        <v>-1727.0193850000003</v>
      </c>
      <c r="BT201" s="89">
        <v>-712.72467399999994</v>
      </c>
      <c r="BU201" s="89">
        <v>8830.3781169999984</v>
      </c>
      <c r="BV201" s="89"/>
      <c r="BW201" s="88">
        <v>8886.4124289079427</v>
      </c>
      <c r="BX201" s="89">
        <v>2370.052523329372</v>
      </c>
      <c r="BY201" s="89">
        <v>1340.1451589993717</v>
      </c>
      <c r="BZ201" s="89">
        <v>1029.9073643300001</v>
      </c>
      <c r="CA201" s="89">
        <v>7649.5352599371436</v>
      </c>
      <c r="CB201" s="89">
        <v>-1133.1753543585714</v>
      </c>
      <c r="CC201" s="88">
        <v>1132.2636789999999</v>
      </c>
      <c r="CD201" s="89">
        <v>-29.164320999999987</v>
      </c>
      <c r="CE201" s="89">
        <v>17.882260000000009</v>
      </c>
      <c r="CF201" s="89">
        <v>-47.046580999999996</v>
      </c>
      <c r="CG201" s="89">
        <v>1161.4280000000001</v>
      </c>
      <c r="CH201" s="89"/>
      <c r="CI201" s="88">
        <v>73903.399999999994</v>
      </c>
      <c r="CJ201" s="89">
        <v>18525.3</v>
      </c>
      <c r="CK201" s="89">
        <v>11988.1</v>
      </c>
      <c r="CL201" s="89">
        <v>6537.2</v>
      </c>
      <c r="CM201" s="89">
        <v>57195.100000000006</v>
      </c>
      <c r="CN201" s="89">
        <v>-1817.1</v>
      </c>
      <c r="CO201" s="88">
        <v>32984.5</v>
      </c>
      <c r="CP201" s="89">
        <v>-15017.7</v>
      </c>
      <c r="CQ201" s="89">
        <v>2484.3000000000002</v>
      </c>
      <c r="CR201" s="89">
        <v>-17502</v>
      </c>
      <c r="CS201" s="89">
        <v>56973.1</v>
      </c>
      <c r="CT201" s="89">
        <v>-8970.9</v>
      </c>
      <c r="CU201" s="88">
        <v>47965.759999999995</v>
      </c>
      <c r="CV201" s="89">
        <v>20901.05</v>
      </c>
      <c r="CW201" s="89">
        <v>21291.02</v>
      </c>
      <c r="CX201" s="89">
        <v>-389.97</v>
      </c>
      <c r="CY201" s="89">
        <v>27064.71</v>
      </c>
      <c r="CZ201" s="89"/>
      <c r="DA201" s="88">
        <v>41259.591740409487</v>
      </c>
      <c r="DB201" s="89">
        <v>-3958.7021457496812</v>
      </c>
      <c r="DC201" s="89">
        <v>-6954.6733712996811</v>
      </c>
      <c r="DD201" s="89">
        <v>2995.9712255499999</v>
      </c>
      <c r="DE201" s="89">
        <v>80033.256889617085</v>
      </c>
      <c r="DF201" s="89">
        <v>-34814.96300345791</v>
      </c>
      <c r="DG201" s="88">
        <v>232173.06975</v>
      </c>
      <c r="DH201" s="89">
        <v>131326.42975000001</v>
      </c>
      <c r="DI201" s="89"/>
      <c r="DJ201" s="89"/>
      <c r="DK201" s="89">
        <v>106908.045</v>
      </c>
      <c r="DL201" s="89">
        <v>-6061.4049999999997</v>
      </c>
      <c r="DM201" s="88">
        <v>3156150.1266955696</v>
      </c>
      <c r="DN201" s="89">
        <v>1372666.55</v>
      </c>
      <c r="DO201" s="89">
        <v>1222089.95</v>
      </c>
      <c r="DP201" s="89">
        <v>150576.6</v>
      </c>
      <c r="DQ201" s="89">
        <v>1783483.577</v>
      </c>
      <c r="DR201" s="89"/>
      <c r="DS201" s="88">
        <v>51642.220147933382</v>
      </c>
      <c r="DT201" s="89">
        <v>39148.47954412167</v>
      </c>
      <c r="DU201" s="89">
        <v>38320.262070211102</v>
      </c>
      <c r="DV201" s="89">
        <v>828.21747391057011</v>
      </c>
      <c r="DW201" s="89">
        <v>27116.293090100859</v>
      </c>
      <c r="DX201" s="89">
        <v>-14622.552486289154</v>
      </c>
      <c r="DY201" s="88">
        <v>7581.7947460000005</v>
      </c>
      <c r="DZ201" s="89">
        <f t="shared" si="15"/>
        <v>-148.50731900000005</v>
      </c>
      <c r="EA201" s="89">
        <v>838.57961599999999</v>
      </c>
      <c r="EB201" s="89">
        <v>-987.08693500000004</v>
      </c>
      <c r="EC201" s="89">
        <v>7730.3020650000008</v>
      </c>
      <c r="ED201" s="89"/>
      <c r="EE201" s="88">
        <v>10473.199759615605</v>
      </c>
      <c r="EF201" s="89">
        <v>-630.15698592699948</v>
      </c>
      <c r="EG201" s="89">
        <v>-630.3023896869995</v>
      </c>
      <c r="EH201" s="89">
        <v>0.14540375999999997</v>
      </c>
      <c r="EI201" s="89">
        <v>14427.947999549999</v>
      </c>
      <c r="EJ201" s="89">
        <v>-3324.5912540073928</v>
      </c>
      <c r="EK201" s="88">
        <v>7013694.0294628302</v>
      </c>
      <c r="EL201" s="89">
        <v>-607686.71486289985</v>
      </c>
      <c r="EM201" s="89">
        <v>-381588.30164552992</v>
      </c>
      <c r="EN201" s="89">
        <v>-226098.4132173699</v>
      </c>
      <c r="EO201" s="89">
        <v>7634911.9424482305</v>
      </c>
      <c r="EP201" s="89">
        <v>-13531.19812250002</v>
      </c>
      <c r="EQ201" s="88">
        <v>39174.793500999993</v>
      </c>
      <c r="ER201" s="89">
        <v>-5539.2741222000004</v>
      </c>
      <c r="ES201" s="89"/>
      <c r="ET201" s="89"/>
      <c r="EU201" s="89">
        <v>75063.113122919996</v>
      </c>
      <c r="EV201" s="89">
        <v>-30349.045499719999</v>
      </c>
      <c r="EW201" s="88">
        <v>453975.86265223497</v>
      </c>
      <c r="EX201" s="89">
        <f t="shared" si="14"/>
        <v>113751.63643587999</v>
      </c>
      <c r="EY201" s="89">
        <v>105934.23490847999</v>
      </c>
      <c r="EZ201" s="89">
        <v>7817.4015274000003</v>
      </c>
      <c r="FA201" s="89">
        <v>222133.66914016003</v>
      </c>
      <c r="FB201" s="89">
        <v>118090.55707619493</v>
      </c>
      <c r="FC201" s="88">
        <v>1370.002892</v>
      </c>
      <c r="FD201" s="89">
        <v>377.35089199999993</v>
      </c>
      <c r="FE201" s="89">
        <v>688.10853099999997</v>
      </c>
      <c r="FF201" s="89">
        <v>-310.75763900000004</v>
      </c>
      <c r="FG201" s="89">
        <v>992.65200000000004</v>
      </c>
      <c r="FH201" s="89"/>
      <c r="FI201" s="88">
        <v>708.49758200000008</v>
      </c>
      <c r="FJ201" s="89">
        <v>-4.1704179999999909</v>
      </c>
      <c r="FK201" s="89">
        <v>59.42457000000001</v>
      </c>
      <c r="FL201" s="89">
        <v>-63.594988000000001</v>
      </c>
      <c r="FM201" s="89">
        <v>712.66800000000001</v>
      </c>
      <c r="FN201" s="89"/>
      <c r="FO201" s="88">
        <v>1994.2914409999998</v>
      </c>
      <c r="FP201" s="89">
        <v>-269.69055900000006</v>
      </c>
      <c r="FQ201" s="89">
        <v>-79.578682000000029</v>
      </c>
      <c r="FR201" s="89">
        <v>-190.11187700000002</v>
      </c>
      <c r="FS201" s="89">
        <v>2263.982</v>
      </c>
      <c r="FT201" s="89"/>
      <c r="FU201" s="88">
        <v>1492.1999999999998</v>
      </c>
      <c r="FV201" s="89">
        <v>357.1</v>
      </c>
      <c r="FW201" s="89">
        <v>336</v>
      </c>
      <c r="FX201" s="89">
        <v>21.1</v>
      </c>
      <c r="FY201" s="89">
        <v>1123</v>
      </c>
      <c r="FZ201" s="89">
        <v>12.1</v>
      </c>
      <c r="GA201" s="88">
        <v>7202</v>
      </c>
      <c r="GB201" s="89">
        <v>-20637.2</v>
      </c>
      <c r="GC201" s="89">
        <v>-24058.3</v>
      </c>
      <c r="GD201" s="89">
        <v>3421.1</v>
      </c>
      <c r="GE201" s="89">
        <v>27839.200000000001</v>
      </c>
      <c r="GF201" s="89"/>
      <c r="GG201" s="88"/>
      <c r="GH201" s="89"/>
      <c r="GI201" s="89"/>
      <c r="GJ201" s="89"/>
      <c r="GK201" s="89"/>
      <c r="GL201" s="89"/>
      <c r="GM201" s="88">
        <v>77840.48575880214</v>
      </c>
      <c r="GN201" s="89">
        <v>13424.42640625823</v>
      </c>
      <c r="GO201" s="89">
        <v>13424.330315354939</v>
      </c>
      <c r="GP201" s="89">
        <v>9.6090903289616114E-2</v>
      </c>
      <c r="GQ201" s="89">
        <v>46723.57678209697</v>
      </c>
      <c r="GR201" s="89">
        <v>17692.48257044694</v>
      </c>
      <c r="GS201" s="88"/>
      <c r="GT201" s="87"/>
      <c r="GU201" s="87"/>
      <c r="GV201" s="87"/>
      <c r="GW201" s="87"/>
      <c r="GX201" s="87"/>
      <c r="GY201" s="87"/>
      <c r="GZ201" s="88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131"/>
      <c r="HL201" s="88"/>
      <c r="HM201" s="87"/>
      <c r="HN201" s="87"/>
      <c r="HO201" s="87"/>
      <c r="HP201" s="87"/>
      <c r="HQ201" s="87"/>
      <c r="HR201" s="87"/>
      <c r="HS201" s="87"/>
    </row>
    <row r="202" spans="1:227">
      <c r="A202" s="69"/>
      <c r="B202" s="87" t="s">
        <v>495</v>
      </c>
      <c r="C202" s="88">
        <v>1798.3094429999999</v>
      </c>
      <c r="D202" s="87">
        <v>-110.223557</v>
      </c>
      <c r="E202" s="87">
        <v>88.796420000000012</v>
      </c>
      <c r="F202" s="87">
        <v>-199.01997700000001</v>
      </c>
      <c r="G202" s="87">
        <v>1908.5329999999999</v>
      </c>
      <c r="H202" s="87"/>
      <c r="I202" s="88">
        <v>131453.796</v>
      </c>
      <c r="J202" s="89">
        <v>148800.25599999999</v>
      </c>
      <c r="K202" s="89"/>
      <c r="L202" s="89"/>
      <c r="M202" s="89">
        <v>74322.63</v>
      </c>
      <c r="N202" s="89">
        <v>-91669.09</v>
      </c>
      <c r="O202" s="90"/>
      <c r="P202" s="91"/>
      <c r="Q202" s="91"/>
      <c r="R202" s="91"/>
      <c r="S202" s="91"/>
      <c r="T202" s="91"/>
      <c r="U202" s="90">
        <v>5506.6390000000001</v>
      </c>
      <c r="V202" s="91">
        <v>1203.8</v>
      </c>
      <c r="W202" s="91">
        <v>654.1</v>
      </c>
      <c r="X202" s="91">
        <v>549.77099999999996</v>
      </c>
      <c r="Y202" s="91">
        <v>4302.8389999999999</v>
      </c>
      <c r="Z202" s="91"/>
      <c r="AA202" s="88">
        <v>1466.298</v>
      </c>
      <c r="AB202" s="89">
        <v>202.36200000000002</v>
      </c>
      <c r="AC202" s="89">
        <v>151.81100000000001</v>
      </c>
      <c r="AD202" s="89">
        <v>50.551000000000002</v>
      </c>
      <c r="AE202" s="89">
        <v>1263.9359999999999</v>
      </c>
      <c r="AF202" s="89"/>
      <c r="AG202" s="88">
        <v>39354.215023761535</v>
      </c>
      <c r="AH202" s="89">
        <v>8260.0359376347969</v>
      </c>
      <c r="AI202" s="89">
        <v>8260.0359376347969</v>
      </c>
      <c r="AJ202" s="89"/>
      <c r="AK202" s="89">
        <v>31094.17908612674</v>
      </c>
      <c r="AL202" s="89"/>
      <c r="AM202" s="88">
        <v>1835859</v>
      </c>
      <c r="AN202" s="89">
        <v>970949</v>
      </c>
      <c r="AO202" s="89">
        <v>952391</v>
      </c>
      <c r="AP202" s="89">
        <v>18558</v>
      </c>
      <c r="AQ202" s="89">
        <v>765571</v>
      </c>
      <c r="AR202" s="89">
        <v>99338</v>
      </c>
      <c r="AS202" s="88">
        <v>40002000</v>
      </c>
      <c r="AT202" s="89">
        <v>-2274000</v>
      </c>
      <c r="AU202" s="89">
        <v>-2274000</v>
      </c>
      <c r="AV202" s="89"/>
      <c r="AW202" s="89">
        <v>46385000</v>
      </c>
      <c r="AX202" s="89">
        <v>-4109000</v>
      </c>
      <c r="AY202" s="88">
        <v>108188476.57410415</v>
      </c>
      <c r="AZ202" s="89">
        <f t="shared" si="13"/>
        <v>28031881.482157812</v>
      </c>
      <c r="BA202" s="89">
        <v>22953548.747247811</v>
      </c>
      <c r="BB202" s="89">
        <v>5078332.7349100001</v>
      </c>
      <c r="BC202" s="89">
        <v>80156595.091946334</v>
      </c>
      <c r="BD202" s="89"/>
      <c r="BE202" s="88">
        <v>4530690.9631169401</v>
      </c>
      <c r="BF202" s="89">
        <v>700764.32056937006</v>
      </c>
      <c r="BG202" s="89">
        <v>640389.00566835003</v>
      </c>
      <c r="BH202" s="89">
        <v>60375.31490102</v>
      </c>
      <c r="BI202" s="89">
        <v>3836285.0348103298</v>
      </c>
      <c r="BJ202" s="89">
        <v>-6358.3922627600004</v>
      </c>
      <c r="BK202" s="88">
        <v>468.29970100000003</v>
      </c>
      <c r="BL202" s="89">
        <v>-46.527299000000006</v>
      </c>
      <c r="BM202" s="89">
        <v>5.283896999999997</v>
      </c>
      <c r="BN202" s="89">
        <v>-51.811196000000002</v>
      </c>
      <c r="BO202" s="89">
        <v>514.827</v>
      </c>
      <c r="BP202" s="89"/>
      <c r="BQ202" s="88">
        <v>6442.9</v>
      </c>
      <c r="BR202" s="89">
        <v>-2476.75</v>
      </c>
      <c r="BS202" s="89">
        <v>-1652.5</v>
      </c>
      <c r="BT202" s="89">
        <v>-824.25</v>
      </c>
      <c r="BU202" s="89">
        <v>8919.65</v>
      </c>
      <c r="BV202" s="89"/>
      <c r="BW202" s="88">
        <v>8793.0371583064862</v>
      </c>
      <c r="BX202" s="89">
        <v>2235.2083927207718</v>
      </c>
      <c r="BY202" s="89">
        <v>1204.3464453907718</v>
      </c>
      <c r="BZ202" s="89">
        <v>1030.86194733</v>
      </c>
      <c r="CA202" s="89">
        <v>7722.9011381071432</v>
      </c>
      <c r="CB202" s="89">
        <v>-1165.0723725214289</v>
      </c>
      <c r="CC202" s="88">
        <v>1150.6557109999999</v>
      </c>
      <c r="CD202" s="89">
        <v>-31.234288999999993</v>
      </c>
      <c r="CE202" s="89">
        <v>19.245292000000003</v>
      </c>
      <c r="CF202" s="89">
        <v>-50.479580999999996</v>
      </c>
      <c r="CG202" s="89">
        <v>1181.8900000000001</v>
      </c>
      <c r="CH202" s="89"/>
      <c r="CI202" s="88">
        <v>75462</v>
      </c>
      <c r="CJ202" s="89">
        <v>19185.099999999999</v>
      </c>
      <c r="CK202" s="89">
        <v>12501.4</v>
      </c>
      <c r="CL202" s="89">
        <v>6683.7</v>
      </c>
      <c r="CM202" s="89">
        <v>57793.5</v>
      </c>
      <c r="CN202" s="89">
        <v>-1516.6</v>
      </c>
      <c r="CO202" s="88">
        <v>35312.400000000001</v>
      </c>
      <c r="CP202" s="89">
        <v>-13827.4</v>
      </c>
      <c r="CQ202" s="89">
        <v>3648.4</v>
      </c>
      <c r="CR202" s="89">
        <v>-17475.8</v>
      </c>
      <c r="CS202" s="89">
        <v>57660.7</v>
      </c>
      <c r="CT202" s="89">
        <v>-8520.9</v>
      </c>
      <c r="CU202" s="88">
        <v>47038.93</v>
      </c>
      <c r="CV202" s="89">
        <v>20133.900000000001</v>
      </c>
      <c r="CW202" s="89">
        <v>20685.560000000001</v>
      </c>
      <c r="CX202" s="89">
        <v>-551.66000000000008</v>
      </c>
      <c r="CY202" s="89">
        <v>26905.03</v>
      </c>
      <c r="CZ202" s="89"/>
      <c r="DA202" s="88">
        <v>42231.395512557938</v>
      </c>
      <c r="DB202" s="89">
        <v>-3878.4743032289198</v>
      </c>
      <c r="DC202" s="89">
        <v>-7018.1595639442003</v>
      </c>
      <c r="DD202" s="89">
        <v>3139.6852607152805</v>
      </c>
      <c r="DE202" s="89">
        <v>81166.221837984107</v>
      </c>
      <c r="DF202" s="89">
        <v>-35056.352022197258</v>
      </c>
      <c r="DG202" s="88">
        <v>230452.47299000001</v>
      </c>
      <c r="DH202" s="89">
        <v>127772.33598999999</v>
      </c>
      <c r="DI202" s="89"/>
      <c r="DJ202" s="89"/>
      <c r="DK202" s="89">
        <v>107745.823</v>
      </c>
      <c r="DL202" s="89">
        <v>-5065.6859999999997</v>
      </c>
      <c r="DM202" s="88">
        <v>3208429.3084037402</v>
      </c>
      <c r="DN202" s="89">
        <v>1416120.37</v>
      </c>
      <c r="DO202" s="89">
        <v>1266681.57</v>
      </c>
      <c r="DP202" s="89">
        <v>149438.79999999999</v>
      </c>
      <c r="DQ202" s="89">
        <v>1792308.9380000001</v>
      </c>
      <c r="DR202" s="89"/>
      <c r="DS202" s="88">
        <v>52376.777449411442</v>
      </c>
      <c r="DT202" s="89">
        <v>39067.939318807432</v>
      </c>
      <c r="DU202" s="89">
        <v>38215.426197114328</v>
      </c>
      <c r="DV202" s="89">
        <v>852.51312169310381</v>
      </c>
      <c r="DW202" s="89">
        <v>27987.632194109829</v>
      </c>
      <c r="DX202" s="89">
        <v>-14678.794063505822</v>
      </c>
      <c r="DY202" s="88">
        <v>7676.0860870000006</v>
      </c>
      <c r="DZ202" s="89">
        <f t="shared" si="15"/>
        <v>-200.21680400000002</v>
      </c>
      <c r="EA202" s="89">
        <v>795.64830500000005</v>
      </c>
      <c r="EB202" s="89">
        <v>-995.86510900000007</v>
      </c>
      <c r="EC202" s="89">
        <v>7876.3028910000003</v>
      </c>
      <c r="ED202" s="89"/>
      <c r="EE202" s="88">
        <v>10690.028198378579</v>
      </c>
      <c r="EF202" s="89">
        <v>-535.43204394999987</v>
      </c>
      <c r="EG202" s="89">
        <v>-535.4986768199999</v>
      </c>
      <c r="EH202" s="89">
        <v>6.6632869999999997E-2</v>
      </c>
      <c r="EI202" s="89">
        <v>14658.126982450001</v>
      </c>
      <c r="EJ202" s="89">
        <v>-3432.6667401214227</v>
      </c>
      <c r="EK202" s="88">
        <v>7370242.5736362496</v>
      </c>
      <c r="EL202" s="89">
        <v>-383445.86123810912</v>
      </c>
      <c r="EM202" s="89">
        <v>-244978.50828621909</v>
      </c>
      <c r="EN202" s="89">
        <v>-138467.35295189003</v>
      </c>
      <c r="EO202" s="89">
        <v>7767465.6806768589</v>
      </c>
      <c r="EP202" s="89">
        <v>-13777.24580249998</v>
      </c>
      <c r="EQ202" s="88">
        <v>40091.754056119993</v>
      </c>
      <c r="ER202" s="89">
        <v>-5875.8008008799989</v>
      </c>
      <c r="ES202" s="89"/>
      <c r="ET202" s="89"/>
      <c r="EU202" s="89">
        <v>76217.292652760007</v>
      </c>
      <c r="EV202" s="89">
        <v>-30249.737795760011</v>
      </c>
      <c r="EW202" s="88">
        <v>451996.4097505227</v>
      </c>
      <c r="EX202" s="89">
        <f t="shared" si="14"/>
        <v>116284.22447563001</v>
      </c>
      <c r="EY202" s="89">
        <v>108617.86632637</v>
      </c>
      <c r="EZ202" s="89">
        <v>7666.3581492600006</v>
      </c>
      <c r="FA202" s="89">
        <v>225214.40166742005</v>
      </c>
      <c r="FB202" s="89">
        <v>110497.78360747267</v>
      </c>
      <c r="FC202" s="88">
        <v>1382.26295</v>
      </c>
      <c r="FD202" s="89">
        <v>380.34594999999996</v>
      </c>
      <c r="FE202" s="89">
        <v>696.48154699999998</v>
      </c>
      <c r="FF202" s="89">
        <v>-316.13559700000002</v>
      </c>
      <c r="FG202" s="89">
        <v>1001.917</v>
      </c>
      <c r="FH202" s="89"/>
      <c r="FI202" s="88">
        <v>713.61643199999992</v>
      </c>
      <c r="FJ202" s="89">
        <v>-5.998568000000013</v>
      </c>
      <c r="FK202" s="89">
        <v>58.554419999999986</v>
      </c>
      <c r="FL202" s="89">
        <v>-64.552987999999999</v>
      </c>
      <c r="FM202" s="89">
        <v>719.61500000000001</v>
      </c>
      <c r="FN202" s="89"/>
      <c r="FO202" s="88">
        <v>2095.1125069999998</v>
      </c>
      <c r="FP202" s="89">
        <v>-249.04949299999998</v>
      </c>
      <c r="FQ202" s="89">
        <v>-55.056615999999977</v>
      </c>
      <c r="FR202" s="89">
        <v>-193.99287700000002</v>
      </c>
      <c r="FS202" s="89">
        <v>2344.1619999999998</v>
      </c>
      <c r="FT202" s="89"/>
      <c r="FU202" s="88">
        <v>1526.7</v>
      </c>
      <c r="FV202" s="89">
        <v>376.9</v>
      </c>
      <c r="FW202" s="89">
        <v>355.7</v>
      </c>
      <c r="FX202" s="89">
        <v>21.2</v>
      </c>
      <c r="FY202" s="89">
        <v>1140.0999999999999</v>
      </c>
      <c r="FZ202" s="89">
        <v>9.6999999999999993</v>
      </c>
      <c r="GA202" s="120">
        <v>5656.2</v>
      </c>
      <c r="GB202" s="121">
        <v>-22578.899999999998</v>
      </c>
      <c r="GC202" s="121">
        <v>-26012.799999999999</v>
      </c>
      <c r="GD202" s="121">
        <v>3433.9</v>
      </c>
      <c r="GE202" s="121">
        <v>28235.200000000001</v>
      </c>
      <c r="GF202" s="89"/>
      <c r="GG202" s="88"/>
      <c r="GH202" s="89"/>
      <c r="GI202" s="89"/>
      <c r="GJ202" s="89"/>
      <c r="GK202" s="89"/>
      <c r="GL202" s="89"/>
      <c r="GM202" s="88">
        <v>107970.81372732771</v>
      </c>
      <c r="GN202" s="89">
        <v>18404.505024276299</v>
      </c>
      <c r="GO202" s="89">
        <v>18209.109639460159</v>
      </c>
      <c r="GP202" s="89">
        <v>195.39538481613994</v>
      </c>
      <c r="GQ202" s="89">
        <v>48974.453149674504</v>
      </c>
      <c r="GR202" s="89">
        <v>40591.855553376903</v>
      </c>
      <c r="GS202" s="88"/>
      <c r="GT202" s="87"/>
      <c r="GU202" s="87"/>
      <c r="GV202" s="87"/>
      <c r="GW202" s="87"/>
      <c r="GX202" s="87"/>
      <c r="GY202" s="87"/>
      <c r="GZ202" s="88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131"/>
      <c r="HL202" s="88"/>
      <c r="HM202" s="87"/>
      <c r="HN202" s="87"/>
      <c r="HO202" s="87"/>
      <c r="HP202" s="87"/>
      <c r="HQ202" s="87"/>
      <c r="HR202" s="87"/>
      <c r="HS202" s="87"/>
    </row>
    <row r="203" spans="1:227">
      <c r="A203" s="69"/>
      <c r="B203" s="87" t="s">
        <v>496</v>
      </c>
      <c r="C203" s="88">
        <v>1865.9046989999999</v>
      </c>
      <c r="D203" s="87">
        <v>-46.18530100000001</v>
      </c>
      <c r="E203" s="87">
        <v>163.69467600000002</v>
      </c>
      <c r="F203" s="87">
        <v>-209.87997700000003</v>
      </c>
      <c r="G203" s="87">
        <v>1912.09</v>
      </c>
      <c r="H203" s="87"/>
      <c r="I203" s="88">
        <v>128454.327</v>
      </c>
      <c r="J203" s="89">
        <v>149576.03</v>
      </c>
      <c r="K203" s="89"/>
      <c r="L203" s="89"/>
      <c r="M203" s="89">
        <v>76450.712</v>
      </c>
      <c r="N203" s="89">
        <v>-97572.414999999994</v>
      </c>
      <c r="O203" s="90"/>
      <c r="P203" s="91"/>
      <c r="Q203" s="91"/>
      <c r="R203" s="91"/>
      <c r="S203" s="91"/>
      <c r="T203" s="91"/>
      <c r="U203" s="90">
        <v>5671.2739999999994</v>
      </c>
      <c r="V203" s="91">
        <v>1191.4000000000001</v>
      </c>
      <c r="W203" s="91">
        <v>664.1</v>
      </c>
      <c r="X203" s="91">
        <v>527.21799999999996</v>
      </c>
      <c r="Y203" s="89">
        <v>4479.8739999999998</v>
      </c>
      <c r="Z203" s="89"/>
      <c r="AA203" s="88">
        <v>1528.5329999999999</v>
      </c>
      <c r="AB203" s="89">
        <v>238.239</v>
      </c>
      <c r="AC203" s="89">
        <v>215.34100000000001</v>
      </c>
      <c r="AD203" s="89">
        <v>22.898</v>
      </c>
      <c r="AE203" s="89">
        <v>1290.2940000000001</v>
      </c>
      <c r="AF203" s="89"/>
      <c r="AG203" s="88">
        <v>39486.717530164846</v>
      </c>
      <c r="AH203" s="89">
        <v>8253.2384964794073</v>
      </c>
      <c r="AI203" s="89">
        <v>8253.2384964794073</v>
      </c>
      <c r="AJ203" s="89"/>
      <c r="AK203" s="89">
        <v>31233.479033685438</v>
      </c>
      <c r="AL203" s="89"/>
      <c r="AM203" s="88">
        <v>1853797</v>
      </c>
      <c r="AN203" s="89">
        <v>971556</v>
      </c>
      <c r="AO203" s="89">
        <v>955320</v>
      </c>
      <c r="AP203" s="89">
        <v>16236</v>
      </c>
      <c r="AQ203" s="89">
        <v>776681</v>
      </c>
      <c r="AR203" s="89">
        <v>105560</v>
      </c>
      <c r="AS203" s="88">
        <v>41068000</v>
      </c>
      <c r="AT203" s="89">
        <v>-2055000</v>
      </c>
      <c r="AU203" s="89">
        <v>-2055000</v>
      </c>
      <c r="AV203" s="89"/>
      <c r="AW203" s="89">
        <v>47223000</v>
      </c>
      <c r="AX203" s="89">
        <v>-4100000</v>
      </c>
      <c r="AY203" s="88">
        <v>108562838.56418239</v>
      </c>
      <c r="AZ203" s="89">
        <f t="shared" si="13"/>
        <v>27154038.300361935</v>
      </c>
      <c r="BA203" s="89">
        <v>20133338.252701934</v>
      </c>
      <c r="BB203" s="89">
        <v>7020700.0476599997</v>
      </c>
      <c r="BC203" s="89">
        <v>81408800.263820454</v>
      </c>
      <c r="BD203" s="89"/>
      <c r="BE203" s="88">
        <v>4548985.8968730802</v>
      </c>
      <c r="BF203" s="89">
        <v>660919.43316210993</v>
      </c>
      <c r="BG203" s="89">
        <v>600262.98210612999</v>
      </c>
      <c r="BH203" s="89">
        <v>60656.451055979996</v>
      </c>
      <c r="BI203" s="89">
        <v>3933460.48347231</v>
      </c>
      <c r="BJ203" s="89">
        <v>-45394.019761340001</v>
      </c>
      <c r="BK203" s="88">
        <v>469.83460100000002</v>
      </c>
      <c r="BL203" s="89">
        <v>-54.885399</v>
      </c>
      <c r="BM203" s="89">
        <v>0.2190149999999994</v>
      </c>
      <c r="BN203" s="89">
        <v>-55.104413999999998</v>
      </c>
      <c r="BO203" s="89">
        <v>524.72</v>
      </c>
      <c r="BP203" s="89"/>
      <c r="BQ203" s="88">
        <v>6515.730661999999</v>
      </c>
      <c r="BR203" s="89">
        <v>-2580.4043460000003</v>
      </c>
      <c r="BS203" s="89">
        <v>-1695.4221060000002</v>
      </c>
      <c r="BT203" s="89">
        <v>-884.98224000000005</v>
      </c>
      <c r="BU203" s="89">
        <v>9096.1350079999993</v>
      </c>
      <c r="BV203" s="89"/>
      <c r="BW203" s="88">
        <v>9026.5345265089418</v>
      </c>
      <c r="BX203" s="89">
        <v>2393.6474457173717</v>
      </c>
      <c r="BY203" s="89">
        <v>1353.2528612273716</v>
      </c>
      <c r="BZ203" s="89">
        <v>1040.3945844900002</v>
      </c>
      <c r="CA203" s="89">
        <v>7807.850122437143</v>
      </c>
      <c r="CB203" s="89">
        <v>-1174.963041645572</v>
      </c>
      <c r="CC203" s="88">
        <v>1182.5565730000001</v>
      </c>
      <c r="CD203" s="89">
        <v>-4.2114269999999863</v>
      </c>
      <c r="CE203" s="89">
        <v>41.805154000000009</v>
      </c>
      <c r="CF203" s="89">
        <v>-46.016580999999995</v>
      </c>
      <c r="CG203" s="89">
        <v>1186.768</v>
      </c>
      <c r="CH203" s="89"/>
      <c r="CI203" s="88">
        <v>71654.2</v>
      </c>
      <c r="CJ203" s="89">
        <v>19539.2</v>
      </c>
      <c r="CK203" s="89">
        <v>12623</v>
      </c>
      <c r="CL203" s="89">
        <v>6916.2000000000007</v>
      </c>
      <c r="CM203" s="89">
        <v>58520</v>
      </c>
      <c r="CN203" s="89">
        <v>-6405</v>
      </c>
      <c r="CO203" s="88">
        <v>38122.800000000003</v>
      </c>
      <c r="CP203" s="89">
        <v>-11534</v>
      </c>
      <c r="CQ203" s="89">
        <v>6622.2</v>
      </c>
      <c r="CR203" s="89">
        <v>-18156.2</v>
      </c>
      <c r="CS203" s="89">
        <v>57889.8</v>
      </c>
      <c r="CT203" s="89">
        <v>-8233.1</v>
      </c>
      <c r="CU203" s="88">
        <v>46341.42</v>
      </c>
      <c r="CV203" s="89">
        <v>19711.489999999998</v>
      </c>
      <c r="CW203" s="89">
        <v>20205.68</v>
      </c>
      <c r="CX203" s="89">
        <v>-494.19</v>
      </c>
      <c r="CY203" s="89">
        <v>26629.93</v>
      </c>
      <c r="CZ203" s="89"/>
      <c r="DA203" s="88">
        <v>44314.598759972752</v>
      </c>
      <c r="DB203" s="89">
        <v>-6523.5710159986111</v>
      </c>
      <c r="DC203" s="89">
        <v>-9009.8580295285701</v>
      </c>
      <c r="DD203" s="89">
        <v>2486.2870135299599</v>
      </c>
      <c r="DE203" s="89">
        <v>84113.042215366004</v>
      </c>
      <c r="DF203" s="89">
        <v>-33274.872439394647</v>
      </c>
      <c r="DG203" s="88">
        <v>224809.85789000004</v>
      </c>
      <c r="DH203" s="89">
        <v>123622.34489000001</v>
      </c>
      <c r="DI203" s="89"/>
      <c r="DJ203" s="89"/>
      <c r="DK203" s="89">
        <v>108381.33500000001</v>
      </c>
      <c r="DL203" s="89">
        <v>-7193.8220000000001</v>
      </c>
      <c r="DM203" s="88">
        <v>3325454.4971602699</v>
      </c>
      <c r="DN203" s="89">
        <v>1470178.0860000001</v>
      </c>
      <c r="DO203" s="89">
        <v>1318663.2860000001</v>
      </c>
      <c r="DP203" s="89">
        <v>151514.79999999999</v>
      </c>
      <c r="DQ203" s="89">
        <v>1855276.4110000001</v>
      </c>
      <c r="DR203" s="89"/>
      <c r="DS203" s="88">
        <v>52982.821558632611</v>
      </c>
      <c r="DT203" s="89">
        <v>39044.770336174719</v>
      </c>
      <c r="DU203" s="89">
        <v>38187.326277132997</v>
      </c>
      <c r="DV203" s="89">
        <v>857.44405904172413</v>
      </c>
      <c r="DW203" s="89">
        <v>28556.283423876805</v>
      </c>
      <c r="DX203" s="89">
        <v>-14618.232201418909</v>
      </c>
      <c r="DY203" s="88">
        <v>7835.8450929999999</v>
      </c>
      <c r="DZ203" s="89">
        <f t="shared" si="15"/>
        <v>-165.18058000000008</v>
      </c>
      <c r="EA203" s="89">
        <v>830.43274699999995</v>
      </c>
      <c r="EB203" s="89">
        <v>-995.61332700000003</v>
      </c>
      <c r="EC203" s="89">
        <v>8001.0256730000001</v>
      </c>
      <c r="ED203" s="89"/>
      <c r="EE203" s="88">
        <v>10961.00252730964</v>
      </c>
      <c r="EF203" s="89">
        <v>-366.93155387000007</v>
      </c>
      <c r="EG203" s="89">
        <v>-366.98240226000007</v>
      </c>
      <c r="EH203" s="89">
        <v>5.084839E-2</v>
      </c>
      <c r="EI203" s="89">
        <v>14854.648959679998</v>
      </c>
      <c r="EJ203" s="89">
        <v>-3526.7148785003583</v>
      </c>
      <c r="EK203" s="88">
        <v>7287511.7231728602</v>
      </c>
      <c r="EL203" s="89">
        <v>-518333.82583689957</v>
      </c>
      <c r="EM203" s="89">
        <v>-408736.1915300996</v>
      </c>
      <c r="EN203" s="89">
        <v>-109597.6343068</v>
      </c>
      <c r="EO203" s="89">
        <v>7813786.46982776</v>
      </c>
      <c r="EP203" s="89">
        <v>-7940.9208180000132</v>
      </c>
      <c r="EQ203" s="88">
        <v>40541.815093199977</v>
      </c>
      <c r="ER203" s="89">
        <v>-5929.9032790000001</v>
      </c>
      <c r="ES203" s="89"/>
      <c r="ET203" s="89"/>
      <c r="EU203" s="89">
        <v>77134.567717480008</v>
      </c>
      <c r="EV203" s="89">
        <v>-30662.849345280032</v>
      </c>
      <c r="EW203" s="88">
        <v>456782.07507773011</v>
      </c>
      <c r="EX203" s="89">
        <f t="shared" si="14"/>
        <v>114049.73697254001</v>
      </c>
      <c r="EY203" s="89">
        <v>106603.34382642001</v>
      </c>
      <c r="EZ203" s="89">
        <v>7446.39314612</v>
      </c>
      <c r="FA203" s="89">
        <v>229302.12576413999</v>
      </c>
      <c r="FB203" s="89">
        <v>113430.21234105017</v>
      </c>
      <c r="FC203" s="88">
        <v>1419.4174929999997</v>
      </c>
      <c r="FD203" s="89">
        <v>406.23349299999995</v>
      </c>
      <c r="FE203" s="89">
        <v>711.44808999999998</v>
      </c>
      <c r="FF203" s="89">
        <v>-305.21459700000003</v>
      </c>
      <c r="FG203" s="89">
        <v>1013.184</v>
      </c>
      <c r="FH203" s="89"/>
      <c r="FI203" s="88">
        <v>707.87682799999993</v>
      </c>
      <c r="FJ203" s="89">
        <v>-26.972172000000008</v>
      </c>
      <c r="FK203" s="89">
        <v>34.860815999999993</v>
      </c>
      <c r="FL203" s="89">
        <v>-61.832988</v>
      </c>
      <c r="FM203" s="89">
        <v>734.84900000000005</v>
      </c>
      <c r="FN203" s="89"/>
      <c r="FO203" s="88">
        <v>2171.935461</v>
      </c>
      <c r="FP203" s="89">
        <v>-224.87653900000001</v>
      </c>
      <c r="FQ203" s="89">
        <v>-24.60066200000001</v>
      </c>
      <c r="FR203" s="89">
        <v>-200.27587700000001</v>
      </c>
      <c r="FS203" s="89">
        <v>2396.8119999999999</v>
      </c>
      <c r="FT203" s="89"/>
      <c r="FU203" s="88">
        <v>1547.8</v>
      </c>
      <c r="FV203" s="89">
        <v>362.59999999999997</v>
      </c>
      <c r="FW203" s="89">
        <v>341.9</v>
      </c>
      <c r="FX203" s="89">
        <v>20.7</v>
      </c>
      <c r="FY203" s="89">
        <v>1175</v>
      </c>
      <c r="FZ203" s="89">
        <v>10.199999999999999</v>
      </c>
      <c r="GA203" s="120">
        <v>7724.8</v>
      </c>
      <c r="GB203" s="121">
        <v>-21583.4</v>
      </c>
      <c r="GC203" s="121">
        <v>-24908</v>
      </c>
      <c r="GD203" s="121">
        <v>3324.6</v>
      </c>
      <c r="GE203" s="121">
        <v>29308.3</v>
      </c>
      <c r="GF203" s="89"/>
      <c r="GG203" s="88"/>
      <c r="GH203" s="89"/>
      <c r="GI203" s="89"/>
      <c r="GJ203" s="89"/>
      <c r="GK203" s="89"/>
      <c r="GL203" s="89"/>
      <c r="GM203" s="88">
        <v>111574.33892543259</v>
      </c>
      <c r="GN203" s="89">
        <v>20621.267252202018</v>
      </c>
      <c r="GO203" s="89">
        <v>20445.552752205611</v>
      </c>
      <c r="GP203" s="89">
        <v>175.71449999640882</v>
      </c>
      <c r="GQ203" s="89">
        <v>50924.070211609993</v>
      </c>
      <c r="GR203" s="89">
        <v>40029.001461620581</v>
      </c>
      <c r="GS203" s="88"/>
      <c r="GT203" s="87"/>
      <c r="GU203" s="87"/>
      <c r="GV203" s="87"/>
      <c r="GW203" s="87"/>
      <c r="GX203" s="87"/>
      <c r="GY203" s="87"/>
      <c r="GZ203" s="88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</row>
    <row r="204" spans="1:227">
      <c r="A204" s="69"/>
      <c r="B204" s="93" t="s">
        <v>497</v>
      </c>
      <c r="C204" s="88">
        <v>1914.1342240000001</v>
      </c>
      <c r="D204" s="87">
        <v>-40.093775999999991</v>
      </c>
      <c r="E204" s="87">
        <v>174.744765</v>
      </c>
      <c r="F204" s="87">
        <v>-214.83854099999999</v>
      </c>
      <c r="G204" s="87">
        <v>1954.2280000000001</v>
      </c>
      <c r="H204" s="87"/>
      <c r="I204" s="88">
        <v>129448.603</v>
      </c>
      <c r="J204" s="89">
        <v>147265.845</v>
      </c>
      <c r="K204" s="89"/>
      <c r="L204" s="89"/>
      <c r="M204" s="89">
        <v>78779.184999999998</v>
      </c>
      <c r="N204" s="89">
        <v>-96596.426999999996</v>
      </c>
      <c r="O204" s="90"/>
      <c r="P204" s="91"/>
      <c r="Q204" s="91"/>
      <c r="R204" s="91"/>
      <c r="S204" s="91"/>
      <c r="T204" s="91"/>
      <c r="U204" s="90">
        <v>5639.1630000000005</v>
      </c>
      <c r="V204" s="91">
        <v>1209.8</v>
      </c>
      <c r="W204" s="91">
        <v>663.6</v>
      </c>
      <c r="X204" s="91">
        <v>546.21799999999996</v>
      </c>
      <c r="Y204" s="89">
        <v>4429.3630000000003</v>
      </c>
      <c r="Z204" s="89"/>
      <c r="AA204" s="88">
        <v>1577.5029999999999</v>
      </c>
      <c r="AB204" s="89">
        <v>269.64</v>
      </c>
      <c r="AC204" s="89">
        <v>246.292</v>
      </c>
      <c r="AD204" s="89">
        <v>23.347999999999999</v>
      </c>
      <c r="AE204" s="89">
        <v>1307.8630000000001</v>
      </c>
      <c r="AF204" s="89"/>
      <c r="AG204" s="88">
        <v>39674.112232312662</v>
      </c>
      <c r="AH204" s="89">
        <v>8222.1141851442917</v>
      </c>
      <c r="AI204" s="89">
        <v>8222.1141851442917</v>
      </c>
      <c r="AJ204" s="89"/>
      <c r="AK204" s="89">
        <v>31451.99804716837</v>
      </c>
      <c r="AL204" s="89"/>
      <c r="AM204" s="88">
        <v>1893909</v>
      </c>
      <c r="AN204" s="89">
        <v>983976</v>
      </c>
      <c r="AO204" s="89">
        <v>967312</v>
      </c>
      <c r="AP204" s="89">
        <v>16664</v>
      </c>
      <c r="AQ204" s="89">
        <v>791327</v>
      </c>
      <c r="AR204" s="89">
        <v>118607</v>
      </c>
      <c r="AS204" s="88">
        <v>41431000</v>
      </c>
      <c r="AT204" s="89">
        <v>-2155000</v>
      </c>
      <c r="AU204" s="89">
        <v>-2155000</v>
      </c>
      <c r="AV204" s="89"/>
      <c r="AW204" s="89">
        <v>47674000</v>
      </c>
      <c r="AX204" s="89">
        <v>-4088000</v>
      </c>
      <c r="AY204" s="88">
        <v>110360967.60708405</v>
      </c>
      <c r="AZ204" s="89">
        <f t="shared" si="13"/>
        <v>26670427.828367613</v>
      </c>
      <c r="BA204" s="89">
        <v>19641389.063067611</v>
      </c>
      <c r="BB204" s="89">
        <v>7029038.7653000001</v>
      </c>
      <c r="BC204" s="89">
        <v>83690539.778716445</v>
      </c>
      <c r="BD204" s="89"/>
      <c r="BE204" s="88">
        <v>4676490.0340293096</v>
      </c>
      <c r="BF204" s="89">
        <v>680070.94034700992</v>
      </c>
      <c r="BG204" s="89">
        <v>619099.43039592996</v>
      </c>
      <c r="BH204" s="89">
        <v>60971.509951079999</v>
      </c>
      <c r="BI204" s="89">
        <v>4022137.32491899</v>
      </c>
      <c r="BJ204" s="89">
        <v>-25718.231236690001</v>
      </c>
      <c r="BK204" s="88">
        <v>455.34457700000007</v>
      </c>
      <c r="BL204" s="89">
        <v>-75.989422999999988</v>
      </c>
      <c r="BM204" s="89">
        <v>-19.673990999999994</v>
      </c>
      <c r="BN204" s="89">
        <v>-56.315432000000001</v>
      </c>
      <c r="BO204" s="89">
        <v>531.33399999999995</v>
      </c>
      <c r="BP204" s="89"/>
      <c r="BQ204" s="88">
        <v>6592.4206279999989</v>
      </c>
      <c r="BR204" s="89">
        <v>-2804.0977329999996</v>
      </c>
      <c r="BS204" s="89">
        <v>-1676.2292589999995</v>
      </c>
      <c r="BT204" s="89">
        <v>-1127.8684740000001</v>
      </c>
      <c r="BU204" s="89">
        <v>9396.5183609999985</v>
      </c>
      <c r="BV204" s="89"/>
      <c r="BW204" s="88">
        <v>9256.2543509561474</v>
      </c>
      <c r="BX204" s="89">
        <v>2446.8089651304285</v>
      </c>
      <c r="BY204" s="89">
        <v>1394.8615754504285</v>
      </c>
      <c r="BZ204" s="89">
        <v>1051.94738968</v>
      </c>
      <c r="CA204" s="89">
        <v>7823.6307957757163</v>
      </c>
      <c r="CB204" s="89">
        <v>-1014.1854099499986</v>
      </c>
      <c r="CC204" s="88">
        <v>1187.4367870000001</v>
      </c>
      <c r="CD204" s="89">
        <v>-15.35621299999999</v>
      </c>
      <c r="CE204" s="89">
        <v>33.365938000000007</v>
      </c>
      <c r="CF204" s="89">
        <v>-48.722150999999997</v>
      </c>
      <c r="CG204" s="89">
        <v>1202.7929999999999</v>
      </c>
      <c r="CH204" s="89"/>
      <c r="CI204" s="88">
        <v>72883.600000000006</v>
      </c>
      <c r="CJ204" s="89">
        <v>20200.2</v>
      </c>
      <c r="CK204" s="89">
        <v>13088.8</v>
      </c>
      <c r="CL204" s="89">
        <v>7111.4000000000005</v>
      </c>
      <c r="CM204" s="89">
        <v>59885.399999999994</v>
      </c>
      <c r="CN204" s="89">
        <v>-7201.9</v>
      </c>
      <c r="CO204" s="88">
        <v>37652.800000000003</v>
      </c>
      <c r="CP204" s="89">
        <v>-11623.7</v>
      </c>
      <c r="CQ204" s="89">
        <v>7155.8</v>
      </c>
      <c r="CR204" s="89">
        <v>-18779.5</v>
      </c>
      <c r="CS204" s="89">
        <v>57537.1</v>
      </c>
      <c r="CT204" s="89">
        <v>-8260.5</v>
      </c>
      <c r="CU204" s="88">
        <v>45955.81</v>
      </c>
      <c r="CV204" s="89">
        <v>20155.849999999999</v>
      </c>
      <c r="CW204" s="89">
        <v>20607.810000000001</v>
      </c>
      <c r="CX204" s="89">
        <v>-451.96000000000004</v>
      </c>
      <c r="CY204" s="89">
        <v>25799.96</v>
      </c>
      <c r="CZ204" s="89"/>
      <c r="DA204" s="88">
        <v>45914.214826292504</v>
      </c>
      <c r="DB204" s="89">
        <v>-6686.6731476082805</v>
      </c>
      <c r="DC204" s="89">
        <v>-9729.5191932072084</v>
      </c>
      <c r="DD204" s="89">
        <v>3042.846045598928</v>
      </c>
      <c r="DE204" s="89">
        <v>85186.91588308505</v>
      </c>
      <c r="DF204" s="89">
        <v>-32586.027909184282</v>
      </c>
      <c r="DG204" s="88">
        <v>225640.21272999997</v>
      </c>
      <c r="DH204" s="89">
        <v>120748.62972999999</v>
      </c>
      <c r="DI204" s="89"/>
      <c r="DJ204" s="89"/>
      <c r="DK204" s="89">
        <v>112011.174</v>
      </c>
      <c r="DL204" s="89">
        <v>-7119.5910000000003</v>
      </c>
      <c r="DM204" s="88">
        <v>3337720.7931579198</v>
      </c>
      <c r="DN204" s="89">
        <v>1460356.15</v>
      </c>
      <c r="DO204" s="89">
        <v>1307326.75</v>
      </c>
      <c r="DP204" s="89">
        <v>153029.4</v>
      </c>
      <c r="DQ204" s="89">
        <v>1877364.6429999999</v>
      </c>
      <c r="DR204" s="89"/>
      <c r="DS204" s="88">
        <v>54052.399878559983</v>
      </c>
      <c r="DT204" s="89">
        <v>39044.967983696435</v>
      </c>
      <c r="DU204" s="89">
        <v>38131.722192725232</v>
      </c>
      <c r="DV204" s="89">
        <v>913.24579097119988</v>
      </c>
      <c r="DW204" s="89">
        <v>29213.003725719434</v>
      </c>
      <c r="DX204" s="89">
        <v>-14205.571830855883</v>
      </c>
      <c r="DY204" s="88">
        <v>7910.0646390000002</v>
      </c>
      <c r="DZ204" s="89">
        <f t="shared" si="15"/>
        <v>-181.18229899999994</v>
      </c>
      <c r="EA204" s="89">
        <v>830.43476300000009</v>
      </c>
      <c r="EB204" s="89">
        <v>-1011.617062</v>
      </c>
      <c r="EC204" s="89">
        <v>8091.2469380000002</v>
      </c>
      <c r="ED204" s="89"/>
      <c r="EE204" s="88">
        <v>11569.163689912091</v>
      </c>
      <c r="EF204" s="89">
        <v>-296.00676326999968</v>
      </c>
      <c r="EG204" s="89">
        <v>-296.06965371999968</v>
      </c>
      <c r="EH204" s="89">
        <v>6.2890450000000001E-2</v>
      </c>
      <c r="EI204" s="89">
        <v>15100.559755209999</v>
      </c>
      <c r="EJ204" s="89">
        <v>-3235.3893020279083</v>
      </c>
      <c r="EK204" s="88">
        <v>7268786.5305360304</v>
      </c>
      <c r="EL204" s="89">
        <v>-768132.46879757079</v>
      </c>
      <c r="EM204" s="89">
        <v>-587573.42830438074</v>
      </c>
      <c r="EN204" s="89">
        <v>-180559.04049319</v>
      </c>
      <c r="EO204" s="89">
        <v>8035972.062372501</v>
      </c>
      <c r="EP204" s="89">
        <v>946.93696110001474</v>
      </c>
      <c r="EQ204" s="88">
        <v>42093.482852000001</v>
      </c>
      <c r="ER204" s="89">
        <v>-5979.0258932499992</v>
      </c>
      <c r="ES204" s="89"/>
      <c r="ET204" s="89"/>
      <c r="EU204" s="89">
        <v>79353.594504500012</v>
      </c>
      <c r="EV204" s="89">
        <v>-31281.085759250011</v>
      </c>
      <c r="EW204" s="88">
        <v>466936.97842926026</v>
      </c>
      <c r="EX204" s="89">
        <f t="shared" si="14"/>
        <v>113385.38212566997</v>
      </c>
      <c r="EY204" s="89">
        <v>105420.22188293998</v>
      </c>
      <c r="EZ204" s="89">
        <v>7965.1602427300013</v>
      </c>
      <c r="FA204" s="89">
        <v>232763.18738808</v>
      </c>
      <c r="FB204" s="89">
        <v>120788.40891551024</v>
      </c>
      <c r="FC204" s="88">
        <v>1393.9461410000001</v>
      </c>
      <c r="FD204" s="89">
        <v>374.12314100000003</v>
      </c>
      <c r="FE204" s="89">
        <v>683.49810000000002</v>
      </c>
      <c r="FF204" s="89">
        <v>-309.37495899999999</v>
      </c>
      <c r="FG204" s="89">
        <v>1019.823</v>
      </c>
      <c r="FH204" s="89"/>
      <c r="FI204" s="88">
        <v>721.90139799999997</v>
      </c>
      <c r="FJ204" s="89">
        <v>-22.474602000000012</v>
      </c>
      <c r="FK204" s="89">
        <v>47.047672999999982</v>
      </c>
      <c r="FL204" s="89">
        <v>-69.522274999999993</v>
      </c>
      <c r="FM204" s="89">
        <v>744.37599999999998</v>
      </c>
      <c r="FN204" s="89"/>
      <c r="FO204" s="88">
        <v>2171.6959980000001</v>
      </c>
      <c r="FP204" s="89">
        <v>-268.92900200000003</v>
      </c>
      <c r="FQ204" s="89">
        <v>-74.998125000000002</v>
      </c>
      <c r="FR204" s="89">
        <v>-193.93087700000001</v>
      </c>
      <c r="FS204" s="89">
        <v>2440.625</v>
      </c>
      <c r="FT204" s="89"/>
      <c r="FU204" s="88">
        <v>1538</v>
      </c>
      <c r="FV204" s="89">
        <v>322.2</v>
      </c>
      <c r="FW204" s="89">
        <v>301.89999999999998</v>
      </c>
      <c r="FX204" s="89">
        <v>20.3</v>
      </c>
      <c r="FY204" s="89">
        <v>1203.7</v>
      </c>
      <c r="FZ204" s="89">
        <v>12.1</v>
      </c>
      <c r="GA204" s="88">
        <v>7286.7</v>
      </c>
      <c r="GB204" s="89">
        <v>-21964.2</v>
      </c>
      <c r="GC204" s="89">
        <v>-25372</v>
      </c>
      <c r="GD204" s="89">
        <v>3407.8</v>
      </c>
      <c r="GE204" s="89">
        <v>29250.9</v>
      </c>
      <c r="GF204" s="89"/>
      <c r="GG204" s="88"/>
      <c r="GH204" s="89"/>
      <c r="GI204" s="89"/>
      <c r="GJ204" s="89"/>
      <c r="GK204" s="89"/>
      <c r="GL204" s="89"/>
      <c r="GM204" s="88">
        <v>113578.00950594115</v>
      </c>
      <c r="GN204" s="89">
        <v>22069.967580846369</v>
      </c>
      <c r="GO204" s="89">
        <v>21800.318171456118</v>
      </c>
      <c r="GP204" s="89">
        <v>273.649409390252</v>
      </c>
      <c r="GQ204" s="89">
        <v>55078.927250950321</v>
      </c>
      <c r="GR204" s="89">
        <v>36429.114674144454</v>
      </c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</row>
    <row r="205" spans="1:227">
      <c r="A205" s="69"/>
      <c r="B205" s="87" t="s">
        <v>498</v>
      </c>
      <c r="C205" s="88">
        <v>1933.0479359999999</v>
      </c>
      <c r="D205" s="87">
        <v>-57.697063999999983</v>
      </c>
      <c r="E205" s="87">
        <v>150.68447700000002</v>
      </c>
      <c r="F205" s="87">
        <v>-208.381541</v>
      </c>
      <c r="G205" s="87">
        <v>1990.7449999999999</v>
      </c>
      <c r="H205" s="87"/>
      <c r="I205" s="88">
        <v>128229.35600000001</v>
      </c>
      <c r="J205" s="89">
        <v>149792.24900000001</v>
      </c>
      <c r="K205" s="89"/>
      <c r="L205" s="89"/>
      <c r="M205" s="89">
        <v>81222.263000000006</v>
      </c>
      <c r="N205" s="89">
        <v>-102785.156</v>
      </c>
      <c r="O205" s="88"/>
      <c r="P205" s="89"/>
      <c r="Q205" s="89"/>
      <c r="R205" s="89"/>
      <c r="S205" s="89"/>
      <c r="T205" s="89"/>
      <c r="U205" s="88">
        <v>5749.482</v>
      </c>
      <c r="V205" s="89">
        <v>1291.2</v>
      </c>
      <c r="W205" s="89">
        <v>702.8</v>
      </c>
      <c r="X205" s="89">
        <v>588.38300000000004</v>
      </c>
      <c r="Y205" s="89">
        <v>4458.2820000000002</v>
      </c>
      <c r="Z205" s="89"/>
      <c r="AA205" s="88">
        <v>1593.7860000000001</v>
      </c>
      <c r="AB205" s="89">
        <v>278.82100000000003</v>
      </c>
      <c r="AC205" s="89">
        <v>252.066</v>
      </c>
      <c r="AD205" s="89">
        <v>26.754999999999999</v>
      </c>
      <c r="AE205" s="89">
        <v>1314.9649999999999</v>
      </c>
      <c r="AF205" s="89"/>
      <c r="AG205" s="88">
        <v>39797.974918876687</v>
      </c>
      <c r="AH205" s="89">
        <v>8241.9283112598205</v>
      </c>
      <c r="AI205" s="89">
        <v>8241.9283112598205</v>
      </c>
      <c r="AJ205" s="89"/>
      <c r="AK205" s="89">
        <v>31556.046607616863</v>
      </c>
      <c r="AL205" s="89"/>
      <c r="AM205" s="88">
        <v>1912138</v>
      </c>
      <c r="AN205" s="89">
        <v>985536</v>
      </c>
      <c r="AO205" s="89">
        <v>969302</v>
      </c>
      <c r="AP205" s="89">
        <v>16234</v>
      </c>
      <c r="AQ205" s="89">
        <v>810220</v>
      </c>
      <c r="AR205" s="89">
        <v>116382</v>
      </c>
      <c r="AS205" s="88">
        <v>41656000</v>
      </c>
      <c r="AT205" s="89">
        <v>-2479000</v>
      </c>
      <c r="AU205" s="89">
        <v>-2479000</v>
      </c>
      <c r="AV205" s="89"/>
      <c r="AW205" s="89">
        <v>48134000</v>
      </c>
      <c r="AX205" s="89">
        <v>-3999000</v>
      </c>
      <c r="AY205" s="88">
        <v>112210084.18626815</v>
      </c>
      <c r="AZ205" s="89">
        <f t="shared" si="13"/>
        <v>27564745.513406742</v>
      </c>
      <c r="BA205" s="89">
        <v>20731551.631824743</v>
      </c>
      <c r="BB205" s="89">
        <v>6833193.8815820003</v>
      </c>
      <c r="BC205" s="89">
        <v>84645338.672861412</v>
      </c>
      <c r="BD205" s="89"/>
      <c r="BE205" s="88">
        <v>4716257.9000828397</v>
      </c>
      <c r="BF205" s="89">
        <v>679817.30312753993</v>
      </c>
      <c r="BG205" s="89">
        <v>619420.36503563996</v>
      </c>
      <c r="BH205" s="89">
        <v>60396.938091900003</v>
      </c>
      <c r="BI205" s="89">
        <v>4088221.2991879303</v>
      </c>
      <c r="BJ205" s="89">
        <v>-51780.702232629999</v>
      </c>
      <c r="BK205" s="88">
        <v>436.22562499999998</v>
      </c>
      <c r="BL205" s="89">
        <v>-101.861375</v>
      </c>
      <c r="BM205" s="89">
        <v>-42.624089999999995</v>
      </c>
      <c r="BN205" s="89">
        <v>-59.237285</v>
      </c>
      <c r="BO205" s="89">
        <v>538.08699999999999</v>
      </c>
      <c r="BP205" s="89"/>
      <c r="BQ205" s="88">
        <v>6538.6490620000004</v>
      </c>
      <c r="BR205" s="89">
        <v>-2988.7829600000009</v>
      </c>
      <c r="BS205" s="89">
        <v>-2002.6436830000007</v>
      </c>
      <c r="BT205" s="89">
        <v>-986.13927700000011</v>
      </c>
      <c r="BU205" s="89">
        <v>9527.4320220000009</v>
      </c>
      <c r="BV205" s="89"/>
      <c r="BW205" s="88">
        <v>9298.1723922980855</v>
      </c>
      <c r="BX205" s="89">
        <v>2487.3649036280858</v>
      </c>
      <c r="BY205" s="89">
        <v>1418.5033543480858</v>
      </c>
      <c r="BZ205" s="89">
        <v>1068.8615492800002</v>
      </c>
      <c r="CA205" s="89">
        <v>7860.6754456057142</v>
      </c>
      <c r="CB205" s="89">
        <v>-1049.8679569357146</v>
      </c>
      <c r="CC205" s="88">
        <v>1181.2486730000001</v>
      </c>
      <c r="CD205" s="89">
        <v>-33.510327000000011</v>
      </c>
      <c r="CE205" s="89">
        <v>34.049479999999996</v>
      </c>
      <c r="CF205" s="89">
        <v>-67.559807000000006</v>
      </c>
      <c r="CG205" s="89">
        <v>1214.759</v>
      </c>
      <c r="CH205" s="89"/>
      <c r="CI205" s="88">
        <v>73704.3</v>
      </c>
      <c r="CJ205" s="89">
        <v>19107.2</v>
      </c>
      <c r="CK205" s="89">
        <v>11756.7</v>
      </c>
      <c r="CL205" s="89">
        <v>7350.5</v>
      </c>
      <c r="CM205" s="89">
        <v>61427.199999999997</v>
      </c>
      <c r="CN205" s="89">
        <v>-6830.3</v>
      </c>
      <c r="CO205" s="88">
        <v>39471.4</v>
      </c>
      <c r="CP205" s="89">
        <v>-10837.9</v>
      </c>
      <c r="CQ205" s="89">
        <v>8027.3</v>
      </c>
      <c r="CR205" s="89">
        <v>-18865.2</v>
      </c>
      <c r="CS205" s="89">
        <v>58609.3</v>
      </c>
      <c r="CT205" s="89">
        <v>-8300.1</v>
      </c>
      <c r="CU205" s="88">
        <v>45967.448000000004</v>
      </c>
      <c r="CV205" s="89">
        <v>18909.594000000001</v>
      </c>
      <c r="CW205" s="89">
        <v>19535.79</v>
      </c>
      <c r="CX205" s="89">
        <v>-626.19599999999991</v>
      </c>
      <c r="CY205" s="89">
        <v>27057.853999999999</v>
      </c>
      <c r="CZ205" s="89"/>
      <c r="DA205" s="88">
        <v>47844.962268167597</v>
      </c>
      <c r="DB205" s="89">
        <v>-7239.6237631501954</v>
      </c>
      <c r="DC205" s="89">
        <v>-10184.524053204676</v>
      </c>
      <c r="DD205" s="89">
        <v>2944.9002900544801</v>
      </c>
      <c r="DE205" s="89">
        <v>88501.307034406549</v>
      </c>
      <c r="DF205" s="89">
        <v>-33416.721003088751</v>
      </c>
      <c r="DG205" s="88">
        <v>226394.67075999998</v>
      </c>
      <c r="DH205" s="89">
        <v>121049.53476</v>
      </c>
      <c r="DI205" s="89"/>
      <c r="DJ205" s="89"/>
      <c r="DK205" s="89">
        <v>113400.942</v>
      </c>
      <c r="DL205" s="89">
        <v>-8055.8059999999996</v>
      </c>
      <c r="DM205" s="88">
        <v>3451554.11492009</v>
      </c>
      <c r="DN205" s="89">
        <v>1511895.3559999999</v>
      </c>
      <c r="DO205" s="89">
        <v>1362321.656</v>
      </c>
      <c r="DP205" s="89">
        <v>149573.70000000001</v>
      </c>
      <c r="DQ205" s="89">
        <v>1939658.7590000001</v>
      </c>
      <c r="DR205" s="89"/>
      <c r="DS205" s="88">
        <v>54380.104331897404</v>
      </c>
      <c r="DT205" s="89">
        <v>39157.236040613228</v>
      </c>
      <c r="DU205" s="89">
        <v>38228.80598852149</v>
      </c>
      <c r="DV205" s="89">
        <v>928.43005209174203</v>
      </c>
      <c r="DW205" s="89">
        <v>30074.179082292856</v>
      </c>
      <c r="DX205" s="89">
        <v>-14851.310791008691</v>
      </c>
      <c r="DY205" s="88">
        <v>8105.3656030000002</v>
      </c>
      <c r="DZ205" s="89">
        <f t="shared" si="15"/>
        <v>-212.80915399999992</v>
      </c>
      <c r="EA205" s="89">
        <v>814.98708900000008</v>
      </c>
      <c r="EB205" s="89">
        <v>-1027.796243</v>
      </c>
      <c r="EC205" s="89">
        <v>8318.1747570000007</v>
      </c>
      <c r="ED205" s="89"/>
      <c r="EE205" s="88">
        <v>11864.142408530271</v>
      </c>
      <c r="EF205" s="89">
        <v>-241.89568516999975</v>
      </c>
      <c r="EG205" s="89">
        <v>-242.16020954999976</v>
      </c>
      <c r="EH205" s="89">
        <v>0.26452438</v>
      </c>
      <c r="EI205" s="89">
        <v>15294.887836509999</v>
      </c>
      <c r="EJ205" s="89">
        <v>-3188.849742809728</v>
      </c>
      <c r="EK205" s="88">
        <v>7154170.3420031909</v>
      </c>
      <c r="EL205" s="89">
        <v>-1039497.4718399094</v>
      </c>
      <c r="EM205" s="89">
        <v>-649517.99522652943</v>
      </c>
      <c r="EN205" s="89">
        <v>-389979.47661338007</v>
      </c>
      <c r="EO205" s="89">
        <v>8195672.6869665002</v>
      </c>
      <c r="EP205" s="89">
        <v>-2004.8731234000006</v>
      </c>
      <c r="EQ205" s="88">
        <v>43311.801221950001</v>
      </c>
      <c r="ER205" s="89">
        <v>-6258.7082427999994</v>
      </c>
      <c r="ES205" s="89"/>
      <c r="ET205" s="89"/>
      <c r="EU205" s="89">
        <v>80527.830432940013</v>
      </c>
      <c r="EV205" s="89">
        <v>-30957.320968190012</v>
      </c>
      <c r="EW205" s="88">
        <v>470473.90233931667</v>
      </c>
      <c r="EX205" s="89">
        <f t="shared" si="14"/>
        <v>112114.36985723001</v>
      </c>
      <c r="EY205" s="89">
        <v>104050.98894134001</v>
      </c>
      <c r="EZ205" s="89">
        <v>8063.3809158899994</v>
      </c>
      <c r="FA205" s="89">
        <v>237246.70274231001</v>
      </c>
      <c r="FB205" s="89">
        <v>121112.8297397767</v>
      </c>
      <c r="FC205" s="88">
        <v>1404.0092450000002</v>
      </c>
      <c r="FD205" s="89">
        <v>367.55824500000006</v>
      </c>
      <c r="FE205" s="89">
        <v>675.09881400000006</v>
      </c>
      <c r="FF205" s="89">
        <v>-307.540569</v>
      </c>
      <c r="FG205" s="89">
        <v>1036.451</v>
      </c>
      <c r="FH205" s="89"/>
      <c r="FI205" s="88">
        <v>742.05061599999999</v>
      </c>
      <c r="FJ205" s="89">
        <v>-19.360384000000003</v>
      </c>
      <c r="FK205" s="89">
        <v>47.618953999999995</v>
      </c>
      <c r="FL205" s="89">
        <v>-66.979337999999998</v>
      </c>
      <c r="FM205" s="89">
        <v>761.41099999999994</v>
      </c>
      <c r="FN205" s="89"/>
      <c r="FO205" s="88">
        <v>2319.4899559999999</v>
      </c>
      <c r="FP205" s="89">
        <v>-244.803044</v>
      </c>
      <c r="FQ205" s="89">
        <v>-47.652168000000003</v>
      </c>
      <c r="FR205" s="89">
        <v>-197.15087599999998</v>
      </c>
      <c r="FS205" s="89">
        <v>2564.2930000000001</v>
      </c>
      <c r="FT205" s="89"/>
      <c r="FU205" s="88">
        <v>1548.4999999999998</v>
      </c>
      <c r="FV205" s="89">
        <v>300.09999999999997</v>
      </c>
      <c r="FW205" s="89">
        <v>279.7</v>
      </c>
      <c r="FX205" s="89">
        <v>20.399999999999999</v>
      </c>
      <c r="FY205" s="89">
        <v>1235.8</v>
      </c>
      <c r="FZ205" s="89">
        <v>12.6</v>
      </c>
      <c r="GA205" s="120">
        <v>6946.1</v>
      </c>
      <c r="GB205" s="121">
        <v>-23103.599999999999</v>
      </c>
      <c r="GC205" s="121">
        <v>-26328.5</v>
      </c>
      <c r="GD205" s="121">
        <v>3224.9</v>
      </c>
      <c r="GE205" s="121">
        <v>30049.7</v>
      </c>
      <c r="GF205" s="89"/>
      <c r="GG205" s="88"/>
      <c r="GH205" s="89"/>
      <c r="GI205" s="89"/>
      <c r="GJ205" s="89"/>
      <c r="GK205" s="89"/>
      <c r="GL205" s="89"/>
      <c r="GM205" s="88">
        <v>120857.18626365927</v>
      </c>
      <c r="GN205" s="89">
        <v>23693.469778679049</v>
      </c>
      <c r="GO205" s="89">
        <v>23423.186438290551</v>
      </c>
      <c r="GP205" s="89">
        <v>273.28334038849903</v>
      </c>
      <c r="GQ205" s="89">
        <v>58136.577943762815</v>
      </c>
      <c r="GR205" s="89">
        <v>39027.138541217391</v>
      </c>
      <c r="GS205" s="88"/>
    </row>
    <row r="206" spans="1:227">
      <c r="A206" s="69"/>
      <c r="B206" s="93" t="s">
        <v>499</v>
      </c>
      <c r="C206" s="88">
        <v>1989.0896449999998</v>
      </c>
      <c r="D206" s="87">
        <v>-48.29135500000001</v>
      </c>
      <c r="E206" s="87">
        <v>168.97418599999997</v>
      </c>
      <c r="F206" s="87">
        <v>-217.26554099999998</v>
      </c>
      <c r="G206" s="87">
        <v>2037.3810000000001</v>
      </c>
      <c r="H206" s="87"/>
      <c r="I206" s="88">
        <v>130040.973</v>
      </c>
      <c r="J206" s="89">
        <v>147587.807</v>
      </c>
      <c r="K206" s="89"/>
      <c r="L206" s="89"/>
      <c r="M206" s="89">
        <v>83509.388999999996</v>
      </c>
      <c r="N206" s="89">
        <v>-101056.223</v>
      </c>
      <c r="O206" s="88"/>
      <c r="P206" s="89"/>
      <c r="Q206" s="89"/>
      <c r="R206" s="89"/>
      <c r="S206" s="89"/>
      <c r="T206" s="89"/>
      <c r="U206" s="88">
        <v>5710.884</v>
      </c>
      <c r="V206" s="89">
        <v>1177.7</v>
      </c>
      <c r="W206" s="89">
        <v>579.9</v>
      </c>
      <c r="X206" s="89">
        <v>597.84400000000005</v>
      </c>
      <c r="Y206" s="89">
        <v>4533.1840000000002</v>
      </c>
      <c r="Z206" s="89"/>
      <c r="AA206" s="88">
        <v>1619.0630000000001</v>
      </c>
      <c r="AB206" s="89">
        <v>282.90300000000002</v>
      </c>
      <c r="AC206" s="89">
        <v>255.55500000000001</v>
      </c>
      <c r="AD206" s="89">
        <v>27.347999999999999</v>
      </c>
      <c r="AE206" s="89">
        <v>1336.16</v>
      </c>
      <c r="AF206" s="89"/>
      <c r="AG206" s="88">
        <v>40053.561396473255</v>
      </c>
      <c r="AH206" s="89">
        <v>8308.6024145563897</v>
      </c>
      <c r="AI206" s="89">
        <v>8308.6024145563897</v>
      </c>
      <c r="AJ206" s="89"/>
      <c r="AK206" s="89">
        <v>31744.958981916865</v>
      </c>
      <c r="AL206" s="89"/>
      <c r="AM206" s="88">
        <v>1957055</v>
      </c>
      <c r="AN206" s="89">
        <v>991708</v>
      </c>
      <c r="AO206" s="89">
        <v>975269</v>
      </c>
      <c r="AP206" s="89">
        <v>16439</v>
      </c>
      <c r="AQ206" s="89">
        <v>835154</v>
      </c>
      <c r="AR206" s="89">
        <v>130193</v>
      </c>
      <c r="AS206" s="88">
        <v>42891000</v>
      </c>
      <c r="AT206" s="89">
        <v>-2432000</v>
      </c>
      <c r="AU206" s="89">
        <v>-2432000</v>
      </c>
      <c r="AV206" s="89"/>
      <c r="AW206" s="89">
        <v>48910000</v>
      </c>
      <c r="AX206" s="89">
        <v>-3587000</v>
      </c>
      <c r="AY206" s="88">
        <v>115282454.80891705</v>
      </c>
      <c r="AZ206" s="89">
        <f t="shared" si="13"/>
        <v>27716945.133478671</v>
      </c>
      <c r="BA206" s="89">
        <v>20555953.657938674</v>
      </c>
      <c r="BB206" s="89">
        <v>7160991.4755399991</v>
      </c>
      <c r="BC206" s="89">
        <v>87565509.675438374</v>
      </c>
      <c r="BD206" s="89"/>
      <c r="BE206" s="88">
        <v>4761251.8072091099</v>
      </c>
      <c r="BF206" s="89">
        <v>600597.38628104003</v>
      </c>
      <c r="BG206" s="89">
        <v>540889.28058970999</v>
      </c>
      <c r="BH206" s="89">
        <v>59708.105691329998</v>
      </c>
      <c r="BI206" s="89">
        <v>4240106.7646821802</v>
      </c>
      <c r="BJ206" s="89">
        <v>-79452.343754109999</v>
      </c>
      <c r="BK206" s="88">
        <v>443.64663200000001</v>
      </c>
      <c r="BL206" s="89">
        <v>-103.224368</v>
      </c>
      <c r="BM206" s="89">
        <v>-46.151769999999992</v>
      </c>
      <c r="BN206" s="89">
        <v>-57.072597999999999</v>
      </c>
      <c r="BO206" s="89">
        <v>546.87099999999998</v>
      </c>
      <c r="BP206" s="89"/>
      <c r="BQ206" s="88">
        <v>6777.198085</v>
      </c>
      <c r="BR206" s="89">
        <v>-2988.6505749999997</v>
      </c>
      <c r="BS206" s="89">
        <v>-1891.5676449999999</v>
      </c>
      <c r="BT206" s="89">
        <v>-1097.08293</v>
      </c>
      <c r="BU206" s="89">
        <v>9765.8486599999997</v>
      </c>
      <c r="BV206" s="89"/>
      <c r="BW206" s="88">
        <v>9484.4530337504293</v>
      </c>
      <c r="BX206" s="89">
        <v>2602.628377714143</v>
      </c>
      <c r="BY206" s="89">
        <v>2429.283493834143</v>
      </c>
      <c r="BZ206" s="89">
        <v>173.34488388</v>
      </c>
      <c r="CA206" s="89">
        <v>7934.9886906228576</v>
      </c>
      <c r="CB206" s="89">
        <v>-1053.1640345865703</v>
      </c>
      <c r="CC206" s="88">
        <v>1204.9718769999999</v>
      </c>
      <c r="CD206" s="89">
        <v>-34.688122999999997</v>
      </c>
      <c r="CE206" s="89">
        <v>39.02668400000001</v>
      </c>
      <c r="CF206" s="89">
        <v>-73.714807000000008</v>
      </c>
      <c r="CG206" s="89">
        <v>1239.6600000000001</v>
      </c>
      <c r="CH206" s="89"/>
      <c r="CI206" s="88">
        <v>76368.100000000006</v>
      </c>
      <c r="CJ206" s="89">
        <v>22493.9</v>
      </c>
      <c r="CK206" s="89">
        <v>14902.9</v>
      </c>
      <c r="CL206" s="89">
        <v>7591</v>
      </c>
      <c r="CM206" s="89">
        <v>63858.100000000006</v>
      </c>
      <c r="CN206" s="89">
        <v>-9983.7999999999993</v>
      </c>
      <c r="CO206" s="88">
        <v>40173.699999999997</v>
      </c>
      <c r="CP206" s="89">
        <v>-11823.1</v>
      </c>
      <c r="CQ206" s="89">
        <v>8282.6</v>
      </c>
      <c r="CR206" s="89">
        <v>-20105.7</v>
      </c>
      <c r="CS206" s="89">
        <v>59537.7</v>
      </c>
      <c r="CT206" s="89">
        <v>-7541</v>
      </c>
      <c r="CU206" s="88">
        <v>46578.671000000002</v>
      </c>
      <c r="CV206" s="89">
        <v>18841.205999999998</v>
      </c>
      <c r="CW206" s="89">
        <v>19559.509999999998</v>
      </c>
      <c r="CX206" s="89">
        <v>-718.30399999999997</v>
      </c>
      <c r="CY206" s="89">
        <v>27737.465</v>
      </c>
      <c r="CZ206" s="89"/>
      <c r="DA206" s="88">
        <v>51492.221774491678</v>
      </c>
      <c r="DB206" s="89">
        <v>-5835.4357380076399</v>
      </c>
      <c r="DC206" s="89">
        <v>-9102.63243614764</v>
      </c>
      <c r="DD206" s="89">
        <v>3267.1966981400001</v>
      </c>
      <c r="DE206" s="89">
        <v>91250.909883977583</v>
      </c>
      <c r="DF206" s="89">
        <v>-33923.252371478266</v>
      </c>
      <c r="DG206" s="88">
        <v>218724.59218000001</v>
      </c>
      <c r="DH206" s="89">
        <v>107722.96018000001</v>
      </c>
      <c r="DI206" s="89"/>
      <c r="DJ206" s="89"/>
      <c r="DK206" s="89">
        <v>117284.716</v>
      </c>
      <c r="DL206" s="89">
        <v>-6283.0839999999998</v>
      </c>
      <c r="DM206" s="88">
        <v>3483847.85461117</v>
      </c>
      <c r="DN206" s="89">
        <v>1510323.088</v>
      </c>
      <c r="DO206" s="89">
        <v>1360187.2879999999</v>
      </c>
      <c r="DP206" s="89">
        <v>150135.79999999999</v>
      </c>
      <c r="DQ206" s="89">
        <v>1973524.767</v>
      </c>
      <c r="DR206" s="89"/>
      <c r="DS206" s="88">
        <v>54874.172017347912</v>
      </c>
      <c r="DT206" s="89">
        <v>38948.479692653877</v>
      </c>
      <c r="DU206" s="89">
        <v>38019.038700802041</v>
      </c>
      <c r="DV206" s="89">
        <v>929.44099185183597</v>
      </c>
      <c r="DW206" s="89">
        <v>30831.180494062806</v>
      </c>
      <c r="DX206" s="89">
        <v>-14905.48816936876</v>
      </c>
      <c r="DY206" s="88">
        <v>8237.1513869999999</v>
      </c>
      <c r="DZ206" s="89">
        <f t="shared" si="15"/>
        <v>-200.29570699999999</v>
      </c>
      <c r="EA206" s="89">
        <v>853.868199</v>
      </c>
      <c r="EB206" s="89">
        <v>-1054.163906</v>
      </c>
      <c r="EC206" s="89">
        <v>8437.447094000001</v>
      </c>
      <c r="ED206" s="89"/>
      <c r="EE206" s="88">
        <v>12047.698166643022</v>
      </c>
      <c r="EF206" s="89">
        <v>-308.14105597999981</v>
      </c>
      <c r="EG206" s="89">
        <v>-308.20486227999982</v>
      </c>
      <c r="EH206" s="89">
        <v>6.3806299999999996E-2</v>
      </c>
      <c r="EI206" s="89">
        <v>15417.550129339999</v>
      </c>
      <c r="EJ206" s="89">
        <v>-3061.7109067169772</v>
      </c>
      <c r="EK206" s="88">
        <v>7391469.2235154975</v>
      </c>
      <c r="EL206" s="89">
        <v>-1027830.9498087604</v>
      </c>
      <c r="EM206" s="89">
        <v>-768182.43000096036</v>
      </c>
      <c r="EN206" s="89">
        <v>-259648.51980780007</v>
      </c>
      <c r="EO206" s="89">
        <v>8436376.4066652581</v>
      </c>
      <c r="EP206" s="89">
        <v>-17076.233340999985</v>
      </c>
      <c r="EQ206" s="88">
        <v>44861.65771367999</v>
      </c>
      <c r="ER206" s="89">
        <v>-6587.9973751400012</v>
      </c>
      <c r="ES206" s="89"/>
      <c r="ET206" s="89"/>
      <c r="EU206" s="89">
        <v>82868.231355680007</v>
      </c>
      <c r="EV206" s="89">
        <v>-31418.576266860015</v>
      </c>
      <c r="EW206" s="88">
        <v>469899.17110590648</v>
      </c>
      <c r="EX206" s="89">
        <f t="shared" si="14"/>
        <v>109235.42076086</v>
      </c>
      <c r="EY206" s="89">
        <v>101079.28458034</v>
      </c>
      <c r="EZ206" s="89">
        <v>8156.1361805199995</v>
      </c>
      <c r="FA206" s="89">
        <v>228596.16259338002</v>
      </c>
      <c r="FB206" s="89">
        <v>132067.58775166646</v>
      </c>
      <c r="FC206" s="88">
        <v>1431.6110759999999</v>
      </c>
      <c r="FD206" s="89">
        <v>384.59007600000007</v>
      </c>
      <c r="FE206" s="89">
        <v>687.65464500000007</v>
      </c>
      <c r="FF206" s="89">
        <v>-303.06456900000001</v>
      </c>
      <c r="FG206" s="89">
        <v>1047.021</v>
      </c>
      <c r="FH206" s="89"/>
      <c r="FI206" s="88">
        <v>762.38514199999997</v>
      </c>
      <c r="FJ206" s="89">
        <v>-6.0438580000000144</v>
      </c>
      <c r="FK206" s="89">
        <v>62.126829999999984</v>
      </c>
      <c r="FL206" s="89">
        <v>-68.170687999999998</v>
      </c>
      <c r="FM206" s="89">
        <v>768.42899999999997</v>
      </c>
      <c r="FN206" s="89"/>
      <c r="FO206" s="88">
        <v>2338.0624309999998</v>
      </c>
      <c r="FP206" s="89">
        <v>-261.16856899999993</v>
      </c>
      <c r="FQ206" s="89">
        <v>-49.318692999999968</v>
      </c>
      <c r="FR206" s="89">
        <v>-211.84987599999999</v>
      </c>
      <c r="FS206" s="89">
        <v>2599.2310000000002</v>
      </c>
      <c r="FT206" s="89"/>
      <c r="FU206" s="88">
        <v>1579</v>
      </c>
      <c r="FV206" s="89">
        <v>295.10000000000002</v>
      </c>
      <c r="FW206" s="89">
        <v>275.10000000000002</v>
      </c>
      <c r="FX206" s="89">
        <v>20</v>
      </c>
      <c r="FY206" s="89">
        <v>1271</v>
      </c>
      <c r="FZ206" s="89">
        <v>12.9</v>
      </c>
      <c r="GA206" s="120">
        <v>8309.2999999999993</v>
      </c>
      <c r="GB206" s="121">
        <v>-22354.400000000001</v>
      </c>
      <c r="GC206" s="121">
        <v>-25544</v>
      </c>
      <c r="GD206" s="121">
        <v>3189.6</v>
      </c>
      <c r="GE206" s="121">
        <v>30663.7</v>
      </c>
      <c r="GF206" s="89"/>
      <c r="GG206" s="88"/>
      <c r="GH206" s="89"/>
      <c r="GI206" s="89"/>
      <c r="GJ206" s="89"/>
      <c r="GK206" s="89"/>
      <c r="GL206" s="89"/>
      <c r="GM206" s="88">
        <v>127314.69923531785</v>
      </c>
      <c r="GN206" s="89">
        <v>25375.467651583898</v>
      </c>
      <c r="GO206" s="89">
        <v>25125.77231431453</v>
      </c>
      <c r="GP206" s="89">
        <v>249.69533727337</v>
      </c>
      <c r="GQ206" s="89">
        <v>62655.703715036638</v>
      </c>
      <c r="GR206" s="89">
        <v>39283.527868697311</v>
      </c>
    </row>
    <row r="207" spans="1:227" ht="12" thickBot="1">
      <c r="A207" s="102"/>
      <c r="B207" s="126" t="s">
        <v>500</v>
      </c>
      <c r="C207" s="104">
        <v>2028.8966030000001</v>
      </c>
      <c r="D207" s="105">
        <v>-31.251396999999997</v>
      </c>
      <c r="E207" s="105">
        <v>195.73676500000002</v>
      </c>
      <c r="F207" s="105">
        <v>-226.98816200000002</v>
      </c>
      <c r="G207" s="105">
        <v>2060.1480000000001</v>
      </c>
      <c r="H207" s="105"/>
      <c r="I207" s="104">
        <v>135590.91600000003</v>
      </c>
      <c r="J207" s="105">
        <v>144135.38200000001</v>
      </c>
      <c r="K207" s="105"/>
      <c r="L207" s="105"/>
      <c r="M207" s="105">
        <v>85266.072</v>
      </c>
      <c r="N207" s="105">
        <v>-93810.538</v>
      </c>
      <c r="O207" s="104">
        <v>6742.9</v>
      </c>
      <c r="P207" s="105">
        <v>1074.2</v>
      </c>
      <c r="Q207" s="105">
        <v>677</v>
      </c>
      <c r="R207" s="105">
        <v>397.2</v>
      </c>
      <c r="S207" s="105">
        <v>5668.7</v>
      </c>
      <c r="T207" s="105"/>
      <c r="U207" s="104">
        <v>5830.0339999999997</v>
      </c>
      <c r="V207" s="105">
        <v>1063.2</v>
      </c>
      <c r="W207" s="105">
        <v>452.4</v>
      </c>
      <c r="X207" s="105">
        <v>607.70100000000002</v>
      </c>
      <c r="Y207" s="105">
        <v>4766.8339999999998</v>
      </c>
      <c r="Z207" s="105"/>
      <c r="AA207" s="104">
        <v>1570.9580000000001</v>
      </c>
      <c r="AB207" s="105">
        <v>216.49099999999999</v>
      </c>
      <c r="AC207" s="105">
        <v>188.62899999999999</v>
      </c>
      <c r="AD207" s="105">
        <v>27.861999999999998</v>
      </c>
      <c r="AE207" s="105">
        <v>1354.4670000000001</v>
      </c>
      <c r="AF207" s="105"/>
      <c r="AG207" s="104">
        <v>40417.383801502481</v>
      </c>
      <c r="AH207" s="105">
        <v>8455.6304331621104</v>
      </c>
      <c r="AI207" s="105">
        <v>8455.6304331621104</v>
      </c>
      <c r="AJ207" s="105"/>
      <c r="AK207" s="105">
        <v>31961.753368340371</v>
      </c>
      <c r="AL207" s="105"/>
      <c r="AM207" s="104">
        <v>1997677</v>
      </c>
      <c r="AN207" s="105">
        <v>1011566</v>
      </c>
      <c r="AO207" s="105">
        <v>994571</v>
      </c>
      <c r="AP207" s="105">
        <v>16995</v>
      </c>
      <c r="AQ207" s="105">
        <v>853552</v>
      </c>
      <c r="AR207" s="105">
        <v>132559</v>
      </c>
      <c r="AS207" s="104">
        <v>42922000</v>
      </c>
      <c r="AT207" s="105">
        <v>-2744000</v>
      </c>
      <c r="AU207" s="105">
        <v>-2744000</v>
      </c>
      <c r="AV207" s="105"/>
      <c r="AW207" s="105">
        <v>49569000</v>
      </c>
      <c r="AX207" s="105">
        <v>-3903000</v>
      </c>
      <c r="AY207" s="104">
        <v>119771984.693314</v>
      </c>
      <c r="AZ207" s="105">
        <f t="shared" si="13"/>
        <v>31061166.39243032</v>
      </c>
      <c r="BA207" s="105">
        <v>23653592.799210321</v>
      </c>
      <c r="BB207" s="105">
        <v>7407573.5932199983</v>
      </c>
      <c r="BC207" s="105">
        <v>88710818.300883681</v>
      </c>
      <c r="BD207" s="105"/>
      <c r="BE207" s="104">
        <v>4938851.9632956702</v>
      </c>
      <c r="BF207" s="105">
        <v>583816.06017439999</v>
      </c>
      <c r="BG207" s="105">
        <v>524201.98117883998</v>
      </c>
      <c r="BH207" s="108">
        <v>59614.078995559998</v>
      </c>
      <c r="BI207" s="108">
        <v>4359664.7009642897</v>
      </c>
      <c r="BJ207" s="108">
        <v>-4628.7978430200001</v>
      </c>
      <c r="BK207" s="109">
        <v>434.055093</v>
      </c>
      <c r="BL207" s="108">
        <v>-104.611907</v>
      </c>
      <c r="BM207" s="108">
        <v>-46.572812000000006</v>
      </c>
      <c r="BN207" s="108">
        <v>-58.039095000000003</v>
      </c>
      <c r="BO207" s="108">
        <v>538.66700000000003</v>
      </c>
      <c r="BP207" s="108"/>
      <c r="BQ207" s="109">
        <v>7150.703899000001</v>
      </c>
      <c r="BR207" s="108">
        <v>-2815.063502</v>
      </c>
      <c r="BS207" s="108">
        <v>-1710.3321199999998</v>
      </c>
      <c r="BT207" s="108">
        <v>-1104.7313820000002</v>
      </c>
      <c r="BU207" s="108">
        <v>9965.767401000001</v>
      </c>
      <c r="BV207" s="108"/>
      <c r="BW207" s="109">
        <v>9844.6758208269002</v>
      </c>
      <c r="BX207" s="105">
        <v>2703.6491137368998</v>
      </c>
      <c r="BY207" s="105">
        <v>2529.0921943669</v>
      </c>
      <c r="BZ207" s="105">
        <v>174.55691937</v>
      </c>
      <c r="CA207" s="105">
        <v>8044.1714121399991</v>
      </c>
      <c r="CB207" s="105">
        <v>-903.14470504999895</v>
      </c>
      <c r="CC207" s="104">
        <v>1206.9904739999999</v>
      </c>
      <c r="CD207" s="105">
        <v>-35.988526000000014</v>
      </c>
      <c r="CE207" s="105">
        <v>37.348577999999996</v>
      </c>
      <c r="CF207" s="105">
        <v>-73.337104000000011</v>
      </c>
      <c r="CG207" s="105">
        <v>1242.979</v>
      </c>
      <c r="CH207" s="105"/>
      <c r="CI207" s="104">
        <v>79489.8</v>
      </c>
      <c r="CJ207" s="105">
        <v>24360.5</v>
      </c>
      <c r="CK207" s="105">
        <v>16420.099999999999</v>
      </c>
      <c r="CL207" s="105">
        <v>7940.4</v>
      </c>
      <c r="CM207" s="105">
        <v>65191.199999999997</v>
      </c>
      <c r="CN207" s="105">
        <v>-10062</v>
      </c>
      <c r="CO207" s="104">
        <v>43300.4</v>
      </c>
      <c r="CP207" s="105">
        <v>-10385</v>
      </c>
      <c r="CQ207" s="105">
        <v>9716.4</v>
      </c>
      <c r="CR207" s="105">
        <v>-20101.400000000001</v>
      </c>
      <c r="CS207" s="108">
        <v>61788.6</v>
      </c>
      <c r="CT207" s="108">
        <v>-8103.2</v>
      </c>
      <c r="CU207" s="109">
        <v>47855.065000000002</v>
      </c>
      <c r="CV207" s="108">
        <v>19400.788</v>
      </c>
      <c r="CW207" s="108">
        <v>20175.95</v>
      </c>
      <c r="CX207" s="108">
        <v>-775.16200000000003</v>
      </c>
      <c r="CY207" s="108">
        <v>28454.277000000002</v>
      </c>
      <c r="CZ207" s="108"/>
      <c r="DA207" s="109">
        <v>54598.957997177698</v>
      </c>
      <c r="DB207" s="108">
        <v>-5472.7061196808299</v>
      </c>
      <c r="DC207" s="108">
        <v>-8685.2365198908301</v>
      </c>
      <c r="DD207" s="108">
        <v>3212.5304002100002</v>
      </c>
      <c r="DE207" s="108">
        <v>93006.332111416064</v>
      </c>
      <c r="DF207" s="108">
        <v>-32934.667994557531</v>
      </c>
      <c r="DG207" s="109">
        <v>238141.05666</v>
      </c>
      <c r="DH207" s="108">
        <v>117020.85665999999</v>
      </c>
      <c r="DI207" s="108"/>
      <c r="DJ207" s="108"/>
      <c r="DK207" s="108">
        <v>124288.75900000001</v>
      </c>
      <c r="DL207" s="108">
        <v>-3168.5590000000002</v>
      </c>
      <c r="DM207" s="104">
        <v>3619138.0469327597</v>
      </c>
      <c r="DN207" s="105">
        <v>1578386.4470000002</v>
      </c>
      <c r="DO207" s="105">
        <v>1433512.547</v>
      </c>
      <c r="DP207" s="105">
        <v>144873.90000000002</v>
      </c>
      <c r="DQ207" s="105">
        <v>2040751.6</v>
      </c>
      <c r="DR207" s="105"/>
      <c r="DS207" s="104">
        <v>55715.734631628467</v>
      </c>
      <c r="DT207" s="105">
        <v>37871.080903861715</v>
      </c>
      <c r="DU207" s="105">
        <v>37045.284175859801</v>
      </c>
      <c r="DV207" s="105">
        <v>825.79672800191202</v>
      </c>
      <c r="DW207" s="105">
        <v>31446.514087772484</v>
      </c>
      <c r="DX207" s="105">
        <v>-13601.860360005739</v>
      </c>
      <c r="DY207" s="104">
        <v>8357.6105659999994</v>
      </c>
      <c r="DZ207" s="105">
        <f t="shared" si="15"/>
        <v>-170.42979300000013</v>
      </c>
      <c r="EA207" s="105">
        <v>888.08984799999996</v>
      </c>
      <c r="EB207" s="105">
        <v>-1058.5196410000001</v>
      </c>
      <c r="EC207" s="105">
        <v>8528.0403589999987</v>
      </c>
      <c r="ED207" s="105"/>
      <c r="EE207" s="104">
        <v>11635.835971331395</v>
      </c>
      <c r="EF207" s="105">
        <v>-551.19811420400026</v>
      </c>
      <c r="EG207" s="105">
        <v>-551.27799913400031</v>
      </c>
      <c r="EH207" s="105">
        <v>7.9884930000000007E-2</v>
      </c>
      <c r="EI207" s="105">
        <v>15141.95609019</v>
      </c>
      <c r="EJ207" s="105">
        <v>-2954.9220046546025</v>
      </c>
      <c r="EK207" s="104">
        <v>8090998.9792650109</v>
      </c>
      <c r="EL207" s="105">
        <v>-302671.0049484793</v>
      </c>
      <c r="EM207" s="105">
        <v>-124443.3115158393</v>
      </c>
      <c r="EN207" s="105">
        <v>-178227.69343263999</v>
      </c>
      <c r="EO207" s="105">
        <v>8529504.4390417896</v>
      </c>
      <c r="EP207" s="103">
        <v>-135834.45482830002</v>
      </c>
      <c r="EQ207" s="104">
        <v>47007.309548599995</v>
      </c>
      <c r="ER207" s="105">
        <v>-6426.652852600002</v>
      </c>
      <c r="ES207" s="105"/>
      <c r="ET207" s="105"/>
      <c r="EU207" s="105">
        <v>83557.9601654</v>
      </c>
      <c r="EV207" s="105">
        <v>-30123.997764200001</v>
      </c>
      <c r="EW207" s="104">
        <v>476015.61515998904</v>
      </c>
      <c r="EX207" s="105">
        <f t="shared" si="14"/>
        <v>220289.99883584</v>
      </c>
      <c r="EY207" s="105">
        <v>210140.69754771999</v>
      </c>
      <c r="EZ207" s="105">
        <v>10149.301288119999</v>
      </c>
      <c r="FA207" s="105">
        <v>235788.66427219997</v>
      </c>
      <c r="FB207" s="105">
        <v>19936.952051949025</v>
      </c>
      <c r="FC207" s="104">
        <v>1440.863114</v>
      </c>
      <c r="FD207" s="105">
        <v>391.95611399999996</v>
      </c>
      <c r="FE207" s="105">
        <v>692.73768299999995</v>
      </c>
      <c r="FF207" s="105">
        <v>-300.78156899999999</v>
      </c>
      <c r="FG207" s="105">
        <v>1048.9069999999999</v>
      </c>
      <c r="FH207" s="105"/>
      <c r="FI207" s="104">
        <v>796.71771200000001</v>
      </c>
      <c r="FJ207" s="105">
        <v>8.4697119999999941</v>
      </c>
      <c r="FK207" s="105">
        <v>68.797399999999996</v>
      </c>
      <c r="FL207" s="105">
        <v>-60.327688000000002</v>
      </c>
      <c r="FM207" s="105">
        <v>788.24800000000005</v>
      </c>
      <c r="FN207" s="103"/>
      <c r="FO207" s="104">
        <v>2379.137686</v>
      </c>
      <c r="FP207" s="105">
        <v>-246.779314</v>
      </c>
      <c r="FQ207" s="105">
        <v>-32.019436999999975</v>
      </c>
      <c r="FR207" s="105">
        <v>-214.75987700000002</v>
      </c>
      <c r="FS207" s="105">
        <v>2625.9169999999999</v>
      </c>
      <c r="FT207" s="105"/>
      <c r="FU207" s="104">
        <v>1664.8</v>
      </c>
      <c r="FV207" s="105">
        <v>358.2</v>
      </c>
      <c r="FW207" s="105">
        <v>330.4</v>
      </c>
      <c r="FX207" s="105">
        <v>27.8</v>
      </c>
      <c r="FY207" s="108">
        <v>1289.8</v>
      </c>
      <c r="FZ207" s="108">
        <v>16.8</v>
      </c>
      <c r="GA207" s="109">
        <v>7748.4</v>
      </c>
      <c r="GB207" s="108">
        <v>-24085.3</v>
      </c>
      <c r="GC207" s="108">
        <v>-27368.6</v>
      </c>
      <c r="GD207" s="108">
        <v>3283.3</v>
      </c>
      <c r="GE207" s="108">
        <v>31333.7</v>
      </c>
      <c r="GF207" s="108"/>
      <c r="GG207" s="109"/>
      <c r="GH207" s="108"/>
      <c r="GI207" s="108"/>
      <c r="GJ207" s="108"/>
      <c r="GK207" s="108"/>
      <c r="GL207" s="108"/>
      <c r="GM207" s="109">
        <v>132272.01063870988</v>
      </c>
      <c r="GN207" s="108">
        <v>24790.326737924399</v>
      </c>
      <c r="GO207" s="108">
        <v>24110.666954323999</v>
      </c>
      <c r="GP207" s="108">
        <v>679.65978360040117</v>
      </c>
      <c r="GQ207" s="108">
        <v>64867.297028186913</v>
      </c>
      <c r="GR207" s="129">
        <v>42614.386872598574</v>
      </c>
    </row>
    <row r="208" spans="1:227">
      <c r="A208" s="86">
        <v>2007</v>
      </c>
      <c r="B208" s="93" t="s">
        <v>489</v>
      </c>
      <c r="C208" s="88">
        <v>2049.3592119999998</v>
      </c>
      <c r="D208" s="87">
        <v>-47.720788000000027</v>
      </c>
      <c r="E208" s="87">
        <v>192.08637399999998</v>
      </c>
      <c r="F208" s="87">
        <v>-239.80716200000001</v>
      </c>
      <c r="G208" s="87">
        <v>2097.08</v>
      </c>
      <c r="H208" s="87"/>
      <c r="I208" s="88">
        <v>131720.35800000001</v>
      </c>
      <c r="J208" s="89">
        <v>149194.46100000001</v>
      </c>
      <c r="K208" s="89"/>
      <c r="L208" s="89"/>
      <c r="M208" s="89">
        <v>87292.744999999995</v>
      </c>
      <c r="N208" s="89">
        <v>-104766.848</v>
      </c>
      <c r="O208" s="88">
        <v>6712.3</v>
      </c>
      <c r="P208" s="89"/>
      <c r="Q208" s="89"/>
      <c r="R208" s="89"/>
      <c r="S208" s="89"/>
      <c r="T208" s="89"/>
      <c r="U208" s="88">
        <v>5679.2723700000006</v>
      </c>
      <c r="V208" s="89">
        <v>1034.2803699999999</v>
      </c>
      <c r="W208" s="89">
        <v>418.86437000000001</v>
      </c>
      <c r="X208" s="89">
        <v>615.41600000000005</v>
      </c>
      <c r="Y208" s="89">
        <v>4644.9920000000002</v>
      </c>
      <c r="Z208" s="89"/>
      <c r="AA208" s="88">
        <v>1531.329</v>
      </c>
      <c r="AB208" s="89">
        <v>164.327</v>
      </c>
      <c r="AC208" s="89">
        <v>148.20599999999999</v>
      </c>
      <c r="AD208" s="89">
        <v>16.120999999999999</v>
      </c>
      <c r="AE208" s="89">
        <v>1367.002</v>
      </c>
      <c r="AF208" s="89"/>
      <c r="AG208" s="88">
        <v>40216.229999999996</v>
      </c>
      <c r="AH208" s="89">
        <v>8524.1270000000004</v>
      </c>
      <c r="AI208" s="89">
        <v>8524.1270000000004</v>
      </c>
      <c r="AJ208" s="89"/>
      <c r="AK208" s="89">
        <v>31692.102999999999</v>
      </c>
      <c r="AL208" s="89"/>
      <c r="AM208" s="88">
        <v>2041977</v>
      </c>
      <c r="AN208" s="89">
        <v>1019166</v>
      </c>
      <c r="AO208" s="89">
        <v>1002109</v>
      </c>
      <c r="AP208" s="89">
        <v>17057</v>
      </c>
      <c r="AQ208" s="89">
        <v>858977</v>
      </c>
      <c r="AR208" s="89">
        <v>163835</v>
      </c>
      <c r="AS208" s="88">
        <v>42634000</v>
      </c>
      <c r="AT208" s="89">
        <v>-2783000</v>
      </c>
      <c r="AU208" s="89">
        <v>-2783000</v>
      </c>
      <c r="AV208" s="89"/>
      <c r="AW208" s="89">
        <v>50280000</v>
      </c>
      <c r="AX208" s="89">
        <v>-4863000</v>
      </c>
      <c r="AY208" s="88">
        <v>115359932.47724988</v>
      </c>
      <c r="AZ208" s="89">
        <f t="shared" si="13"/>
        <v>25677259.500731222</v>
      </c>
      <c r="BA208" s="89">
        <v>18362472.968461223</v>
      </c>
      <c r="BB208" s="89">
        <v>7314786.5322700003</v>
      </c>
      <c r="BC208" s="89">
        <v>89682672.976518646</v>
      </c>
      <c r="BD208" s="89"/>
      <c r="BE208" s="88">
        <v>5010687.3066719202</v>
      </c>
      <c r="BF208" s="89">
        <v>611616.44369405997</v>
      </c>
      <c r="BG208" s="89">
        <v>550446.24137423001</v>
      </c>
      <c r="BH208" s="89">
        <v>61170.202319830001</v>
      </c>
      <c r="BI208" s="89">
        <v>4411513.90951786</v>
      </c>
      <c r="BJ208" s="89">
        <v>-12443.046539999999</v>
      </c>
      <c r="BK208" s="88">
        <v>407.77438300000006</v>
      </c>
      <c r="BL208" s="89">
        <v>-133.22261700000001</v>
      </c>
      <c r="BM208" s="89">
        <v>-66.822190999999989</v>
      </c>
      <c r="BN208" s="89">
        <v>-66.40042600000001</v>
      </c>
      <c r="BO208" s="89">
        <v>540.99699999999996</v>
      </c>
      <c r="BP208" s="89"/>
      <c r="BQ208" s="88">
        <v>7810.4336810000004</v>
      </c>
      <c r="BR208" s="89">
        <v>-2304.5036</v>
      </c>
      <c r="BS208" s="89">
        <v>-1139.1347920000003</v>
      </c>
      <c r="BT208" s="89">
        <v>-1165.3688079999999</v>
      </c>
      <c r="BU208" s="89">
        <v>10114.937281</v>
      </c>
      <c r="BV208" s="89"/>
      <c r="BW208" s="88">
        <v>9890.0919298550016</v>
      </c>
      <c r="BX208" s="89">
        <v>2750.5899602550007</v>
      </c>
      <c r="BY208" s="89">
        <v>2573.3151693450009</v>
      </c>
      <c r="BZ208" s="89">
        <v>177.27479090999998</v>
      </c>
      <c r="CA208" s="89">
        <v>8090.2845121900009</v>
      </c>
      <c r="CB208" s="89">
        <v>-950.78254258999959</v>
      </c>
      <c r="CC208" s="88">
        <v>1226.452612</v>
      </c>
      <c r="CD208" s="89">
        <v>-26.470388000000007</v>
      </c>
      <c r="CE208" s="89">
        <v>46.267716</v>
      </c>
      <c r="CF208" s="89">
        <v>-72.738104000000007</v>
      </c>
      <c r="CG208" s="89">
        <v>1252.923</v>
      </c>
      <c r="CH208" s="89"/>
      <c r="CI208" s="88">
        <v>79006.100000000006</v>
      </c>
      <c r="CJ208" s="89">
        <v>23562.5</v>
      </c>
      <c r="CK208" s="89">
        <v>15606.8</v>
      </c>
      <c r="CL208" s="89">
        <v>7955.7</v>
      </c>
      <c r="CM208" s="89">
        <v>66147.600000000006</v>
      </c>
      <c r="CN208" s="89">
        <v>-10704</v>
      </c>
      <c r="CO208" s="88">
        <v>44734.8</v>
      </c>
      <c r="CP208" s="89">
        <v>-9909</v>
      </c>
      <c r="CQ208" s="89">
        <v>10386.6</v>
      </c>
      <c r="CR208" s="89">
        <v>-20295.599999999999</v>
      </c>
      <c r="CS208" s="89">
        <v>61974.1</v>
      </c>
      <c r="CT208" s="89">
        <v>-7330.3</v>
      </c>
      <c r="CU208" s="88">
        <v>48012.740000000005</v>
      </c>
      <c r="CV208" s="89">
        <v>19118.3</v>
      </c>
      <c r="CW208" s="89">
        <v>19903.23</v>
      </c>
      <c r="CX208" s="89">
        <v>-784.93000000000006</v>
      </c>
      <c r="CY208" s="89">
        <v>28894.440000000002</v>
      </c>
      <c r="CZ208" s="89"/>
      <c r="DA208" s="88">
        <v>55286.271423206592</v>
      </c>
      <c r="DB208" s="89">
        <v>-6040.9726541646132</v>
      </c>
      <c r="DC208" s="89">
        <v>-9288.4511366790921</v>
      </c>
      <c r="DD208" s="89">
        <v>3247.4784825144784</v>
      </c>
      <c r="DE208" s="89">
        <v>95766.644061423925</v>
      </c>
      <c r="DF208" s="89">
        <v>-34439.399984052725</v>
      </c>
      <c r="DG208" s="88">
        <v>247326.90213999999</v>
      </c>
      <c r="DH208" s="89">
        <v>122727.26814</v>
      </c>
      <c r="DI208" s="89"/>
      <c r="DJ208" s="89"/>
      <c r="DK208" s="89">
        <v>128114.094</v>
      </c>
      <c r="DL208" s="89">
        <v>-3514.46</v>
      </c>
      <c r="DM208" s="88">
        <v>3698612.6350545399</v>
      </c>
      <c r="DN208" s="89">
        <v>1625440.1769999999</v>
      </c>
      <c r="DO208" s="89">
        <v>1475264.777</v>
      </c>
      <c r="DP208" s="89">
        <v>150175.4</v>
      </c>
      <c r="DQ208" s="89">
        <v>2073172.4580000001</v>
      </c>
      <c r="DR208" s="89"/>
      <c r="DS208" s="88">
        <v>56006.050216090502</v>
      </c>
      <c r="DT208" s="89">
        <v>37319.637421045751</v>
      </c>
      <c r="DU208" s="89">
        <v>36496.12377469831</v>
      </c>
      <c r="DV208" s="89">
        <v>823.51364634744004</v>
      </c>
      <c r="DW208" s="89">
        <v>32055.55254387029</v>
      </c>
      <c r="DX208" s="89">
        <v>-13369.139748825533</v>
      </c>
      <c r="DY208" s="88">
        <v>8300.9286439999996</v>
      </c>
      <c r="DZ208" s="89">
        <f t="shared" si="15"/>
        <v>-256.02746200000001</v>
      </c>
      <c r="EA208" s="89">
        <v>855.77943200000004</v>
      </c>
      <c r="EB208" s="89">
        <v>-1111.8068940000001</v>
      </c>
      <c r="EC208" s="89">
        <v>8556.9561060000015</v>
      </c>
      <c r="ED208" s="89"/>
      <c r="EE208" s="88">
        <v>11477.728709081661</v>
      </c>
      <c r="EF208" s="89">
        <v>-588.17437263999989</v>
      </c>
      <c r="EG208" s="89">
        <v>-588.19910364999987</v>
      </c>
      <c r="EH208" s="89">
        <v>2.4731009999999998E-2</v>
      </c>
      <c r="EI208" s="89">
        <v>15361.834336670001</v>
      </c>
      <c r="EJ208" s="89">
        <v>-3295.9312549483398</v>
      </c>
      <c r="EK208" s="88">
        <v>8076436.3062955514</v>
      </c>
      <c r="EL208" s="89">
        <v>-377431.76684748003</v>
      </c>
      <c r="EM208" s="89">
        <v>-98583.018097660039</v>
      </c>
      <c r="EN208" s="89">
        <v>-278848.74874981999</v>
      </c>
      <c r="EO208" s="89">
        <v>8630189.9446545318</v>
      </c>
      <c r="EP208" s="89">
        <v>-176321.87151149995</v>
      </c>
      <c r="EQ208" s="88">
        <v>47467.899566000007</v>
      </c>
      <c r="ER208" s="89">
        <v>-7633.2198174000005</v>
      </c>
      <c r="ES208" s="89"/>
      <c r="ET208" s="89"/>
      <c r="EU208" s="89">
        <v>85172.9958032</v>
      </c>
      <c r="EV208" s="89">
        <v>-30071.876419799992</v>
      </c>
      <c r="EW208" s="88">
        <v>471446.54444908345</v>
      </c>
      <c r="EX208" s="89">
        <f t="shared" si="14"/>
        <v>212068.62608295001</v>
      </c>
      <c r="EY208" s="89">
        <v>201789.46194137001</v>
      </c>
      <c r="EZ208" s="89">
        <v>10279.16414158</v>
      </c>
      <c r="FA208" s="89">
        <v>238749.97688614999</v>
      </c>
      <c r="FB208" s="89">
        <v>20627.94147998347</v>
      </c>
      <c r="FC208" s="88">
        <v>1429.7438450000002</v>
      </c>
      <c r="FD208" s="89">
        <v>386.67484500000006</v>
      </c>
      <c r="FE208" s="89">
        <v>701.02033600000004</v>
      </c>
      <c r="FF208" s="89">
        <v>-314.34549099999998</v>
      </c>
      <c r="FG208" s="89">
        <v>1043.069</v>
      </c>
      <c r="FH208" s="89"/>
      <c r="FI208" s="88">
        <v>787.86429500000008</v>
      </c>
      <c r="FJ208" s="89">
        <v>-4.839704999999995</v>
      </c>
      <c r="FK208" s="89">
        <v>56.408983000000006</v>
      </c>
      <c r="FL208" s="89">
        <v>-61.248688000000001</v>
      </c>
      <c r="FM208" s="89">
        <v>792.70399999999995</v>
      </c>
      <c r="FN208" s="89"/>
      <c r="FO208" s="88">
        <v>2391.5723089999997</v>
      </c>
      <c r="FP208" s="89">
        <v>-258.26869099999999</v>
      </c>
      <c r="FQ208" s="89">
        <v>-29.226814000000012</v>
      </c>
      <c r="FR208" s="89">
        <v>-229.041877</v>
      </c>
      <c r="FS208" s="89">
        <v>2649.8409999999999</v>
      </c>
      <c r="FT208" s="89"/>
      <c r="FU208" s="88">
        <v>1651.8999999999999</v>
      </c>
      <c r="FV208" s="89">
        <v>339.59999999999997</v>
      </c>
      <c r="FW208" s="89">
        <v>311.7</v>
      </c>
      <c r="FX208" s="89">
        <v>27.9</v>
      </c>
      <c r="FY208" s="89">
        <v>1295.5999999999999</v>
      </c>
      <c r="FZ208" s="89">
        <v>16.7</v>
      </c>
      <c r="GA208" s="88">
        <v>7484.6</v>
      </c>
      <c r="GB208" s="89">
        <v>-24629.599999999999</v>
      </c>
      <c r="GC208" s="89">
        <v>-27943.8</v>
      </c>
      <c r="GD208" s="89">
        <v>3314.2</v>
      </c>
      <c r="GE208" s="89">
        <v>32114.3</v>
      </c>
      <c r="GF208" s="89"/>
      <c r="GG208" s="88"/>
      <c r="GH208" s="89"/>
      <c r="GI208" s="89"/>
      <c r="GJ208" s="89"/>
      <c r="GK208" s="89"/>
      <c r="GL208" s="89"/>
      <c r="GM208" s="88">
        <v>133018.6641603091</v>
      </c>
      <c r="GN208" s="89">
        <v>23094.94631100171</v>
      </c>
      <c r="GO208" s="89">
        <v>22636.07705655471</v>
      </c>
      <c r="GP208" s="89">
        <v>458.86925444700194</v>
      </c>
      <c r="GQ208" s="89">
        <v>64802.042608116004</v>
      </c>
      <c r="GR208" s="89">
        <v>45121.675241191399</v>
      </c>
    </row>
    <row r="209" spans="1:200">
      <c r="A209" s="69"/>
      <c r="B209" s="93" t="s">
        <v>490</v>
      </c>
      <c r="C209" s="88">
        <v>2100.866125</v>
      </c>
      <c r="D209" s="87">
        <v>-14.879874999999998</v>
      </c>
      <c r="E209" s="87">
        <v>226.01428700000002</v>
      </c>
      <c r="F209" s="87">
        <v>-240.89416200000002</v>
      </c>
      <c r="G209" s="87">
        <v>2115.7460000000001</v>
      </c>
      <c r="H209" s="87"/>
      <c r="I209" s="88">
        <v>131537.954</v>
      </c>
      <c r="J209" s="89">
        <v>152589.62599999999</v>
      </c>
      <c r="K209" s="89"/>
      <c r="L209" s="89"/>
      <c r="M209" s="89">
        <v>88584.922999999995</v>
      </c>
      <c r="N209" s="89">
        <v>-109636.595</v>
      </c>
      <c r="O209" s="88">
        <v>6768.8</v>
      </c>
      <c r="P209" s="89"/>
      <c r="Q209" s="89"/>
      <c r="R209" s="89"/>
      <c r="S209" s="89"/>
      <c r="T209" s="89"/>
      <c r="U209" s="88">
        <v>5750.7568999999994</v>
      </c>
      <c r="V209" s="89">
        <v>1060.9029</v>
      </c>
      <c r="W209" s="89">
        <v>487.6979</v>
      </c>
      <c r="X209" s="89">
        <v>573.20499999999993</v>
      </c>
      <c r="Y209" s="89">
        <v>4689.8539999999994</v>
      </c>
      <c r="Z209" s="89"/>
      <c r="AA209" s="88">
        <v>1625.232</v>
      </c>
      <c r="AB209" s="89">
        <v>249.619</v>
      </c>
      <c r="AC209" s="89">
        <v>234.208</v>
      </c>
      <c r="AD209" s="89">
        <v>15.411</v>
      </c>
      <c r="AE209" s="89">
        <v>1375.6130000000001</v>
      </c>
      <c r="AF209" s="89"/>
      <c r="AG209" s="88">
        <v>40344.93</v>
      </c>
      <c r="AH209" s="89">
        <v>8554.7060000000001</v>
      </c>
      <c r="AI209" s="89">
        <v>8554.7060000000001</v>
      </c>
      <c r="AJ209" s="89"/>
      <c r="AK209" s="89">
        <v>31790.223999999998</v>
      </c>
      <c r="AL209" s="89"/>
      <c r="AM209" s="88">
        <v>2071800</v>
      </c>
      <c r="AN209" s="89">
        <v>1024350</v>
      </c>
      <c r="AO209" s="89">
        <v>1007498</v>
      </c>
      <c r="AP209" s="89">
        <v>16852</v>
      </c>
      <c r="AQ209" s="89">
        <v>871884</v>
      </c>
      <c r="AR209" s="89">
        <v>175564</v>
      </c>
      <c r="AS209" s="88">
        <v>43836000</v>
      </c>
      <c r="AT209" s="89">
        <v>-2099000</v>
      </c>
      <c r="AU209" s="89">
        <v>-2099000</v>
      </c>
      <c r="AV209" s="89"/>
      <c r="AW209" s="89">
        <v>49320000</v>
      </c>
      <c r="AX209" s="89">
        <v>-3385000</v>
      </c>
      <c r="AY209" s="88">
        <v>114712790.33965908</v>
      </c>
      <c r="AZ209" s="89">
        <f t="shared" si="13"/>
        <v>22976886.293296561</v>
      </c>
      <c r="BA209" s="89">
        <v>15666234.953036563</v>
      </c>
      <c r="BB209" s="89">
        <v>7310651.340259999</v>
      </c>
      <c r="BC209" s="89">
        <v>91735904.046362519</v>
      </c>
      <c r="BD209" s="89"/>
      <c r="BE209" s="88">
        <v>5083183.3267946197</v>
      </c>
      <c r="BF209" s="89">
        <v>596640.74341654009</v>
      </c>
      <c r="BG209" s="89">
        <v>537964.56386182003</v>
      </c>
      <c r="BH209" s="89">
        <v>58676.179554720002</v>
      </c>
      <c r="BI209" s="89">
        <v>4508865.02366783</v>
      </c>
      <c r="BJ209" s="89">
        <v>-22322.44028975</v>
      </c>
      <c r="BK209" s="88">
        <v>412.51177000000001</v>
      </c>
      <c r="BL209" s="89">
        <v>-129.77722999999997</v>
      </c>
      <c r="BM209" s="89">
        <v>-65.089540999999983</v>
      </c>
      <c r="BN209" s="89">
        <v>-64.687688999999992</v>
      </c>
      <c r="BO209" s="89">
        <v>542.28899999999999</v>
      </c>
      <c r="BP209" s="89"/>
      <c r="BQ209" s="88">
        <v>7574.0064779999975</v>
      </c>
      <c r="BR209" s="89">
        <v>-2591.6976780000005</v>
      </c>
      <c r="BS209" s="89">
        <v>-1323.5847570000001</v>
      </c>
      <c r="BT209" s="89">
        <v>-1273.1129209999999</v>
      </c>
      <c r="BU209" s="89">
        <v>10165.704155999998</v>
      </c>
      <c r="BV209" s="89"/>
      <c r="BW209" s="88">
        <v>9979.4102811060984</v>
      </c>
      <c r="BX209" s="89">
        <v>2791.9748234561002</v>
      </c>
      <c r="BY209" s="89">
        <v>2633.5163350761004</v>
      </c>
      <c r="BZ209" s="89">
        <v>158.45848838000001</v>
      </c>
      <c r="CA209" s="89">
        <v>8088.7061992299987</v>
      </c>
      <c r="CB209" s="89">
        <v>-901.27074157999937</v>
      </c>
      <c r="CC209" s="88">
        <v>1244.8426810000001</v>
      </c>
      <c r="CD209" s="89">
        <v>-22.608319000000002</v>
      </c>
      <c r="CE209" s="89">
        <v>50.829346999999991</v>
      </c>
      <c r="CF209" s="89">
        <v>-73.437665999999993</v>
      </c>
      <c r="CG209" s="89">
        <v>1267.451</v>
      </c>
      <c r="CH209" s="89"/>
      <c r="CI209" s="88">
        <v>79802.8</v>
      </c>
      <c r="CJ209" s="89">
        <v>22883.1</v>
      </c>
      <c r="CK209" s="89">
        <v>14284.4</v>
      </c>
      <c r="CL209" s="89">
        <v>8598.7000000000007</v>
      </c>
      <c r="CM209" s="89">
        <v>66591.199999999997</v>
      </c>
      <c r="CN209" s="89">
        <v>-9671.5</v>
      </c>
      <c r="CO209" s="88">
        <v>47292.1</v>
      </c>
      <c r="CP209" s="89">
        <v>-9092.6</v>
      </c>
      <c r="CQ209" s="89">
        <v>11447.4</v>
      </c>
      <c r="CR209" s="89">
        <v>-20540</v>
      </c>
      <c r="CS209" s="89">
        <v>63273.9</v>
      </c>
      <c r="CT209" s="89">
        <v>-6887.2</v>
      </c>
      <c r="CU209" s="88">
        <v>46563.56</v>
      </c>
      <c r="CV209" s="89">
        <v>17992.36</v>
      </c>
      <c r="CW209" s="89">
        <v>18759.09</v>
      </c>
      <c r="CX209" s="89">
        <v>-766.73</v>
      </c>
      <c r="CY209" s="89">
        <v>28571.200000000001</v>
      </c>
      <c r="CZ209" s="89"/>
      <c r="DA209" s="88">
        <v>57343.480319717855</v>
      </c>
      <c r="DB209" s="89">
        <v>-5525.7729887277201</v>
      </c>
      <c r="DC209" s="89">
        <v>-8916.9198988877197</v>
      </c>
      <c r="DD209" s="89">
        <v>3391.1469101599996</v>
      </c>
      <c r="DE209" s="89">
        <v>98099.157580720144</v>
      </c>
      <c r="DF209" s="89">
        <v>-35229.904272274565</v>
      </c>
      <c r="DG209" s="88">
        <v>255075.50216999999</v>
      </c>
      <c r="DH209" s="89">
        <v>128360.50717</v>
      </c>
      <c r="DI209" s="89"/>
      <c r="DJ209" s="89"/>
      <c r="DK209" s="89">
        <v>130990.821</v>
      </c>
      <c r="DL209" s="89">
        <v>-4275.826</v>
      </c>
      <c r="DM209" s="88">
        <v>3733193.1063037501</v>
      </c>
      <c r="DN209" s="89">
        <v>1611038.0260000001</v>
      </c>
      <c r="DO209" s="89">
        <v>1462435.5260000001</v>
      </c>
      <c r="DP209" s="89">
        <v>148602.5</v>
      </c>
      <c r="DQ209" s="89">
        <v>2122155.08</v>
      </c>
      <c r="DR209" s="89"/>
      <c r="DS209" s="88">
        <v>57226.29880622599</v>
      </c>
      <c r="DT209" s="89">
        <v>37883.483451357533</v>
      </c>
      <c r="DU209" s="89">
        <v>37064.43047144985</v>
      </c>
      <c r="DV209" s="89">
        <v>819.05297990768202</v>
      </c>
      <c r="DW209" s="89">
        <v>32403.093773252662</v>
      </c>
      <c r="DX209" s="89">
        <v>-13060.278418384209</v>
      </c>
      <c r="DY209" s="88">
        <v>8427.3701029999993</v>
      </c>
      <c r="DZ209" s="89">
        <f t="shared" si="15"/>
        <v>-244.24739100000011</v>
      </c>
      <c r="EA209" s="89">
        <v>874.32811500000003</v>
      </c>
      <c r="EB209" s="89">
        <v>-1118.5755060000001</v>
      </c>
      <c r="EC209" s="89">
        <v>8671.6174940000001</v>
      </c>
      <c r="ED209" s="89"/>
      <c r="EE209" s="88">
        <v>11645.064563620752</v>
      </c>
      <c r="EF209" s="89">
        <v>-511.54973598000026</v>
      </c>
      <c r="EG209" s="89">
        <v>-511.57634772000029</v>
      </c>
      <c r="EH209" s="89">
        <v>2.6611740000000002E-2</v>
      </c>
      <c r="EI209" s="89">
        <v>15497.535134119998</v>
      </c>
      <c r="EJ209" s="89">
        <v>-3340.9208345192446</v>
      </c>
      <c r="EK209" s="88">
        <v>8110707.0612227265</v>
      </c>
      <c r="EL209" s="89">
        <v>-326843.44596452033</v>
      </c>
      <c r="EM209" s="89">
        <v>7582.1303334296681</v>
      </c>
      <c r="EN209" s="89">
        <v>-334425.57629795</v>
      </c>
      <c r="EO209" s="89">
        <v>8640736.1824936476</v>
      </c>
      <c r="EP209" s="89">
        <v>-203185.67530639996</v>
      </c>
      <c r="EQ209" s="88">
        <v>49452.941754190004</v>
      </c>
      <c r="ER209" s="89">
        <v>-7376.970267820001</v>
      </c>
      <c r="ES209" s="89"/>
      <c r="ET209" s="89"/>
      <c r="EU209" s="89">
        <v>87287.39691558</v>
      </c>
      <c r="EV209" s="89">
        <v>-30457.484893569999</v>
      </c>
      <c r="EW209" s="88">
        <v>471375.7346756669</v>
      </c>
      <c r="EX209" s="89">
        <f t="shared" si="14"/>
        <v>214228.35416695001</v>
      </c>
      <c r="EY209" s="89">
        <v>203897.37504978001</v>
      </c>
      <c r="EZ209" s="89">
        <v>10330.97911717</v>
      </c>
      <c r="FA209" s="89">
        <v>240842.99000172998</v>
      </c>
      <c r="FB209" s="89">
        <v>16304.390506986943</v>
      </c>
      <c r="FC209" s="88">
        <v>1447.870406</v>
      </c>
      <c r="FD209" s="89">
        <v>385.29440600000004</v>
      </c>
      <c r="FE209" s="89">
        <v>703.19189700000004</v>
      </c>
      <c r="FF209" s="89">
        <v>-317.897491</v>
      </c>
      <c r="FG209" s="89">
        <v>1062.576</v>
      </c>
      <c r="FH209" s="89"/>
      <c r="FI209" s="88">
        <v>760.59901200000002</v>
      </c>
      <c r="FJ209" s="89">
        <v>-35.892988000000003</v>
      </c>
      <c r="FK209" s="89">
        <v>19.077486000000004</v>
      </c>
      <c r="FL209" s="89">
        <v>-54.970474000000003</v>
      </c>
      <c r="FM209" s="89">
        <v>796.49199999999996</v>
      </c>
      <c r="FN209" s="89"/>
      <c r="FO209" s="88">
        <v>2436.4793760000002</v>
      </c>
      <c r="FP209" s="89">
        <v>-255.53862400000003</v>
      </c>
      <c r="FQ209" s="89">
        <v>-19.508747000000032</v>
      </c>
      <c r="FR209" s="89">
        <v>-236.029877</v>
      </c>
      <c r="FS209" s="89">
        <v>2692.018</v>
      </c>
      <c r="FT209" s="89"/>
      <c r="FU209" s="88">
        <v>1700.3</v>
      </c>
      <c r="FV209" s="89">
        <v>350.20000000000005</v>
      </c>
      <c r="FW209" s="89">
        <v>322.60000000000002</v>
      </c>
      <c r="FX209" s="89">
        <v>27.6</v>
      </c>
      <c r="FY209" s="89">
        <v>1333.1</v>
      </c>
      <c r="FZ209" s="89">
        <v>17</v>
      </c>
      <c r="GA209" s="88">
        <v>7555.4</v>
      </c>
      <c r="GB209" s="89">
        <v>-24627.7</v>
      </c>
      <c r="GC209" s="89">
        <v>-28027</v>
      </c>
      <c r="GD209" s="89">
        <v>3399.3</v>
      </c>
      <c r="GE209" s="89">
        <v>32183.200000000001</v>
      </c>
      <c r="GF209" s="89"/>
      <c r="GG209" s="88"/>
      <c r="GH209" s="89"/>
      <c r="GI209" s="89"/>
      <c r="GJ209" s="89"/>
      <c r="GK209" s="89"/>
      <c r="GL209" s="89"/>
      <c r="GM209" s="88">
        <v>130891.81214726121</v>
      </c>
      <c r="GN209" s="89">
        <v>22146.75956580606</v>
      </c>
      <c r="GO209" s="89">
        <v>21910.196787369787</v>
      </c>
      <c r="GP209" s="89">
        <v>236.56277843627333</v>
      </c>
      <c r="GQ209" s="89">
        <v>67308.70172414936</v>
      </c>
      <c r="GR209" s="89">
        <v>41436.350857305792</v>
      </c>
    </row>
    <row r="210" spans="1:200">
      <c r="A210" s="69"/>
      <c r="B210" s="93" t="s">
        <v>491</v>
      </c>
      <c r="C210" s="88">
        <v>2140.0304500000002</v>
      </c>
      <c r="D210" s="87">
        <v>-2.0315499999999815</v>
      </c>
      <c r="E210" s="87">
        <v>224.22292700000003</v>
      </c>
      <c r="F210" s="87">
        <v>-226.25447700000001</v>
      </c>
      <c r="G210" s="87">
        <v>2142.0619999999999</v>
      </c>
      <c r="H210" s="87"/>
      <c r="I210" s="88">
        <v>131401.87500000003</v>
      </c>
      <c r="J210" s="89">
        <v>150753.06700000001</v>
      </c>
      <c r="K210" s="89"/>
      <c r="L210" s="89"/>
      <c r="M210" s="89">
        <v>90521.3</v>
      </c>
      <c r="N210" s="89">
        <v>-109872.492</v>
      </c>
      <c r="O210" s="88">
        <v>6802.1</v>
      </c>
      <c r="P210" s="89"/>
      <c r="Q210" s="89"/>
      <c r="R210" s="89"/>
      <c r="S210" s="89"/>
      <c r="T210" s="89"/>
      <c r="U210" s="88">
        <v>5769.0794100000003</v>
      </c>
      <c r="V210" s="89">
        <v>1012.34741</v>
      </c>
      <c r="W210" s="89">
        <v>433.94340999999997</v>
      </c>
      <c r="X210" s="89">
        <v>578.404</v>
      </c>
      <c r="Y210" s="89">
        <v>4756.732</v>
      </c>
      <c r="Z210" s="89"/>
      <c r="AA210" s="88">
        <v>1680.367</v>
      </c>
      <c r="AB210" s="89">
        <v>295.34100000000001</v>
      </c>
      <c r="AC210" s="89">
        <v>280.03500000000003</v>
      </c>
      <c r="AD210" s="89">
        <v>15.305999999999999</v>
      </c>
      <c r="AE210" s="89">
        <v>1385.0260000000001</v>
      </c>
      <c r="AF210" s="89"/>
      <c r="AG210" s="88">
        <v>40310.52630130839</v>
      </c>
      <c r="AH210" s="89">
        <v>8173.9675117158067</v>
      </c>
      <c r="AI210" s="89">
        <v>8173.9675117158067</v>
      </c>
      <c r="AJ210" s="89"/>
      <c r="AK210" s="89">
        <v>32136.558789592582</v>
      </c>
      <c r="AL210" s="89"/>
      <c r="AM210" s="88">
        <v>2103738</v>
      </c>
      <c r="AN210" s="89">
        <v>1027553</v>
      </c>
      <c r="AO210" s="89">
        <v>1010481</v>
      </c>
      <c r="AP210" s="89">
        <v>17072</v>
      </c>
      <c r="AQ210" s="89">
        <v>886475</v>
      </c>
      <c r="AR210" s="89">
        <v>189710</v>
      </c>
      <c r="AS210" s="88">
        <v>45195000</v>
      </c>
      <c r="AT210" s="89">
        <v>-1874000</v>
      </c>
      <c r="AU210" s="89">
        <v>-1874000</v>
      </c>
      <c r="AV210" s="89"/>
      <c r="AW210" s="89">
        <v>51442000</v>
      </c>
      <c r="AX210" s="89">
        <v>-4373000</v>
      </c>
      <c r="AY210" s="88">
        <v>119300359.35929066</v>
      </c>
      <c r="AZ210" s="89">
        <f t="shared" si="13"/>
        <v>25359286.449036587</v>
      </c>
      <c r="BA210" s="89">
        <v>18124202.432376586</v>
      </c>
      <c r="BB210" s="89">
        <v>7235084.0166600011</v>
      </c>
      <c r="BC210" s="89">
        <v>93941072.910254061</v>
      </c>
      <c r="BD210" s="89"/>
      <c r="BE210" s="88">
        <v>5267691.4765389096</v>
      </c>
      <c r="BF210" s="89">
        <v>539045.49898371007</v>
      </c>
      <c r="BG210" s="89">
        <v>479970.67576800002</v>
      </c>
      <c r="BH210" s="89">
        <v>59074.823215709999</v>
      </c>
      <c r="BI210" s="89">
        <v>4608412.5846889298</v>
      </c>
      <c r="BJ210" s="89">
        <v>120233.39286627001</v>
      </c>
      <c r="BK210" s="88">
        <v>412.79766099999995</v>
      </c>
      <c r="BL210" s="89">
        <v>-136.918339</v>
      </c>
      <c r="BM210" s="89">
        <v>-74.484884999999991</v>
      </c>
      <c r="BN210" s="89">
        <v>-62.433453999999998</v>
      </c>
      <c r="BO210" s="89">
        <v>549.71600000000001</v>
      </c>
      <c r="BP210" s="89"/>
      <c r="BQ210" s="88">
        <v>7936.12</v>
      </c>
      <c r="BR210" s="89">
        <v>-2372.5500000000002</v>
      </c>
      <c r="BS210" s="89">
        <v>-986.98</v>
      </c>
      <c r="BT210" s="89">
        <v>-1385.57</v>
      </c>
      <c r="BU210" s="89">
        <v>10308.67</v>
      </c>
      <c r="BV210" s="89"/>
      <c r="BW210" s="88">
        <v>10193.417911276101</v>
      </c>
      <c r="BX210" s="89">
        <v>2856.6522335061004</v>
      </c>
      <c r="BY210" s="89">
        <v>2692.0043267761002</v>
      </c>
      <c r="BZ210" s="89">
        <v>164.64790672999999</v>
      </c>
      <c r="CA210" s="89">
        <v>8198.4818444500015</v>
      </c>
      <c r="CB210" s="89">
        <v>-861.71616668000001</v>
      </c>
      <c r="CC210" s="88">
        <v>1247.1947140000002</v>
      </c>
      <c r="CD210" s="89">
        <v>-28.139285999999998</v>
      </c>
      <c r="CE210" s="89">
        <v>59.176969</v>
      </c>
      <c r="CF210" s="89">
        <v>-87.316254999999998</v>
      </c>
      <c r="CG210" s="89">
        <v>1275.3340000000001</v>
      </c>
      <c r="CH210" s="89"/>
      <c r="CI210" s="88">
        <v>79450</v>
      </c>
      <c r="CJ210" s="89">
        <v>22826.300000000003</v>
      </c>
      <c r="CK210" s="89">
        <v>13403.6</v>
      </c>
      <c r="CL210" s="89">
        <v>9422.7000000000007</v>
      </c>
      <c r="CM210" s="89">
        <v>66423.7</v>
      </c>
      <c r="CN210" s="89">
        <v>-9800</v>
      </c>
      <c r="CO210" s="88">
        <v>46056.4</v>
      </c>
      <c r="CP210" s="89">
        <v>-10501.3</v>
      </c>
      <c r="CQ210" s="89">
        <v>8533.5</v>
      </c>
      <c r="CR210" s="89">
        <v>-19034.8</v>
      </c>
      <c r="CS210" s="89">
        <v>64093.3</v>
      </c>
      <c r="CT210" s="89">
        <v>-7535.6</v>
      </c>
      <c r="CU210" s="88">
        <v>46443.389224696446</v>
      </c>
      <c r="CV210" s="89">
        <v>17787.049224696446</v>
      </c>
      <c r="CW210" s="89">
        <v>18677.835846699862</v>
      </c>
      <c r="CX210" s="89">
        <v>-890.78662200341523</v>
      </c>
      <c r="CY210" s="89">
        <v>28656.34</v>
      </c>
      <c r="CZ210" s="89"/>
      <c r="DA210" s="88">
        <v>60970.879013780177</v>
      </c>
      <c r="DB210" s="89">
        <v>-4953.4415382208426</v>
      </c>
      <c r="DC210" s="89">
        <v>-8325.1371886608431</v>
      </c>
      <c r="DD210" s="89">
        <v>3371.6956504399996</v>
      </c>
      <c r="DE210" s="89">
        <v>100646.17970301822</v>
      </c>
      <c r="DF210" s="89">
        <v>-34721.85915101719</v>
      </c>
      <c r="DG210" s="88">
        <v>250973.72391</v>
      </c>
      <c r="DH210" s="89">
        <v>122002.47490999999</v>
      </c>
      <c r="DI210" s="89"/>
      <c r="DJ210" s="89"/>
      <c r="DK210" s="89">
        <v>133348.33300000001</v>
      </c>
      <c r="DL210" s="89">
        <v>-4377.0839999999998</v>
      </c>
      <c r="DM210" s="88">
        <v>3837083.4121679501</v>
      </c>
      <c r="DN210" s="89">
        <v>1630963.939</v>
      </c>
      <c r="DO210" s="89">
        <v>1483720.7390000001</v>
      </c>
      <c r="DP210" s="89">
        <v>147243.20000000001</v>
      </c>
      <c r="DQ210" s="89">
        <v>2206119.4730000002</v>
      </c>
      <c r="DR210" s="89"/>
      <c r="DS210" s="88">
        <v>57900.428672917522</v>
      </c>
      <c r="DT210" s="89">
        <v>37808.888173466992</v>
      </c>
      <c r="DU210" s="89">
        <v>37004.095481228534</v>
      </c>
      <c r="DV210" s="89">
        <v>804.79269223846006</v>
      </c>
      <c r="DW210" s="89">
        <v>32888.596616099741</v>
      </c>
      <c r="DX210" s="89">
        <v>-12797.056116649226</v>
      </c>
      <c r="DY210" s="88">
        <v>8650.4464100000005</v>
      </c>
      <c r="DZ210" s="89">
        <f t="shared" si="15"/>
        <v>-224.2081189999999</v>
      </c>
      <c r="EA210" s="89">
        <v>903.13635199999999</v>
      </c>
      <c r="EB210" s="89">
        <v>-1127.3444709999999</v>
      </c>
      <c r="EC210" s="89">
        <v>8874.6545289999995</v>
      </c>
      <c r="ED210" s="89"/>
      <c r="EE210" s="88">
        <v>11787.472244585764</v>
      </c>
      <c r="EF210" s="89">
        <v>-362.84991064000002</v>
      </c>
      <c r="EG210" s="89">
        <v>-362.90427761000001</v>
      </c>
      <c r="EH210" s="89">
        <v>5.4366970000000001E-2</v>
      </c>
      <c r="EI210" s="89">
        <v>15683.051365760002</v>
      </c>
      <c r="EJ210" s="89">
        <v>-3532.7292105342367</v>
      </c>
      <c r="EK210" s="88">
        <v>7852038.2066523079</v>
      </c>
      <c r="EL210" s="89">
        <v>-712471.34198530065</v>
      </c>
      <c r="EM210" s="89">
        <v>-333667.77748956066</v>
      </c>
      <c r="EN210" s="89">
        <v>-378803.56449573999</v>
      </c>
      <c r="EO210" s="89">
        <v>8762795.4637026079</v>
      </c>
      <c r="EP210" s="89">
        <v>-198285.9150650001</v>
      </c>
      <c r="EQ210" s="88">
        <v>53318.508249279985</v>
      </c>
      <c r="ER210" s="89">
        <v>-7375.26432166</v>
      </c>
      <c r="ES210" s="89"/>
      <c r="ET210" s="89"/>
      <c r="EU210" s="89">
        <v>91269.709604280011</v>
      </c>
      <c r="EV210" s="89">
        <v>-30575.937033340029</v>
      </c>
      <c r="EW210" s="88">
        <v>479235.41881839832</v>
      </c>
      <c r="EX210" s="89">
        <f t="shared" si="14"/>
        <v>218335.63245204001</v>
      </c>
      <c r="EY210" s="89">
        <v>207962.63309871001</v>
      </c>
      <c r="EZ210" s="89">
        <v>10372.99935333</v>
      </c>
      <c r="FA210" s="89">
        <v>241990.91977769</v>
      </c>
      <c r="FB210" s="89">
        <v>18908.866588668316</v>
      </c>
      <c r="FC210" s="88">
        <v>1472.0992900000001</v>
      </c>
      <c r="FD210" s="89">
        <v>396.83929000000006</v>
      </c>
      <c r="FE210" s="89">
        <v>725.98195200000009</v>
      </c>
      <c r="FF210" s="89">
        <v>-329.14266200000003</v>
      </c>
      <c r="FG210" s="89">
        <v>1075.26</v>
      </c>
      <c r="FH210" s="89"/>
      <c r="FI210" s="88">
        <v>832.75114500000007</v>
      </c>
      <c r="FJ210" s="89">
        <v>-19.180855000000005</v>
      </c>
      <c r="FK210" s="89">
        <v>29.520812999999993</v>
      </c>
      <c r="FL210" s="89">
        <v>-48.701667999999998</v>
      </c>
      <c r="FM210" s="89">
        <v>851.93200000000002</v>
      </c>
      <c r="FN210" s="89"/>
      <c r="FO210" s="88">
        <v>2530.1446130000004</v>
      </c>
      <c r="FP210" s="89">
        <v>-252.92338700000002</v>
      </c>
      <c r="FQ210" s="89">
        <v>-11.244510000000009</v>
      </c>
      <c r="FR210" s="89">
        <v>-241.678877</v>
      </c>
      <c r="FS210" s="89">
        <v>2783.0680000000002</v>
      </c>
      <c r="FT210" s="89"/>
      <c r="FU210" s="88">
        <v>1701.3</v>
      </c>
      <c r="FV210" s="89">
        <v>323</v>
      </c>
      <c r="FW210" s="89">
        <v>305</v>
      </c>
      <c r="FX210" s="89">
        <v>18</v>
      </c>
      <c r="FY210" s="89">
        <v>1361.7</v>
      </c>
      <c r="FZ210" s="89">
        <v>16.600000000000001</v>
      </c>
      <c r="GA210" s="88">
        <v>16047.9</v>
      </c>
      <c r="GB210" s="89">
        <v>-16348.7</v>
      </c>
      <c r="GC210" s="89">
        <v>-19786.2</v>
      </c>
      <c r="GD210" s="89">
        <v>3437.5</v>
      </c>
      <c r="GE210" s="89">
        <v>32396.7</v>
      </c>
      <c r="GF210" s="89"/>
      <c r="GG210" s="88"/>
      <c r="GH210" s="89"/>
      <c r="GI210" s="89"/>
      <c r="GJ210" s="89"/>
      <c r="GK210" s="89"/>
      <c r="GL210" s="89"/>
      <c r="GM210" s="88">
        <v>135868.70187838102</v>
      </c>
      <c r="GN210" s="89">
        <v>22017.311208479281</v>
      </c>
      <c r="GO210" s="89">
        <v>21792.385172856619</v>
      </c>
      <c r="GP210" s="89">
        <v>224.92603562266379</v>
      </c>
      <c r="GQ210" s="89">
        <v>72735.813234831105</v>
      </c>
      <c r="GR210" s="89">
        <v>41145.577435070663</v>
      </c>
    </row>
    <row r="211" spans="1:200">
      <c r="A211" s="69"/>
      <c r="B211" s="93" t="s">
        <v>492</v>
      </c>
      <c r="C211" s="88">
        <v>2176.1466729999997</v>
      </c>
      <c r="D211" s="87">
        <v>-8.2693270000000041</v>
      </c>
      <c r="E211" s="87">
        <v>215.68245200000001</v>
      </c>
      <c r="F211" s="87">
        <v>-223.95177900000002</v>
      </c>
      <c r="G211" s="87">
        <v>2184.4160000000002</v>
      </c>
      <c r="H211" s="87"/>
      <c r="I211" s="88">
        <v>129246.71100000002</v>
      </c>
      <c r="J211" s="89">
        <v>154799.12400000001</v>
      </c>
      <c r="K211" s="89"/>
      <c r="L211" s="89"/>
      <c r="M211" s="89">
        <v>92339.764999999999</v>
      </c>
      <c r="N211" s="89">
        <v>-117892.178</v>
      </c>
      <c r="O211" s="88">
        <v>6923.3</v>
      </c>
      <c r="P211" s="89"/>
      <c r="Q211" s="89"/>
      <c r="R211" s="89"/>
      <c r="S211" s="89"/>
      <c r="T211" s="89"/>
      <c r="U211" s="88">
        <v>5747.6708199999994</v>
      </c>
      <c r="V211" s="89">
        <v>1055.0608200000001</v>
      </c>
      <c r="W211" s="89">
        <v>472.37882000000002</v>
      </c>
      <c r="X211" s="89">
        <v>582.68200000000002</v>
      </c>
      <c r="Y211" s="89">
        <v>4692.6099999999997</v>
      </c>
      <c r="Z211" s="89"/>
      <c r="AA211" s="88">
        <v>1681.0139999999999</v>
      </c>
      <c r="AB211" s="89">
        <v>275.91499999999996</v>
      </c>
      <c r="AC211" s="89">
        <v>260.48899999999998</v>
      </c>
      <c r="AD211" s="89">
        <v>15.426</v>
      </c>
      <c r="AE211" s="89">
        <v>1405.0989999999999</v>
      </c>
      <c r="AF211" s="89"/>
      <c r="AG211" s="88">
        <v>40883.041082774464</v>
      </c>
      <c r="AH211" s="89">
        <v>8276.9664595732975</v>
      </c>
      <c r="AI211" s="89">
        <v>8276.9664595732975</v>
      </c>
      <c r="AJ211" s="89"/>
      <c r="AK211" s="89">
        <v>32606.074623201166</v>
      </c>
      <c r="AL211" s="89"/>
      <c r="AM211" s="88">
        <v>2119518</v>
      </c>
      <c r="AN211" s="89">
        <v>1026809</v>
      </c>
      <c r="AO211" s="89">
        <v>1009624</v>
      </c>
      <c r="AP211" s="89">
        <v>17185</v>
      </c>
      <c r="AQ211" s="89">
        <v>911874</v>
      </c>
      <c r="AR211" s="89">
        <v>180836</v>
      </c>
      <c r="AS211" s="88">
        <v>45555000</v>
      </c>
      <c r="AT211" s="89">
        <v>-2371000</v>
      </c>
      <c r="AU211" s="89">
        <v>-2371000</v>
      </c>
      <c r="AV211" s="89"/>
      <c r="AW211" s="89">
        <v>52145000</v>
      </c>
      <c r="AX211" s="89">
        <v>-4219000</v>
      </c>
      <c r="AY211" s="88">
        <v>121053751.42929998</v>
      </c>
      <c r="AZ211" s="89">
        <f t="shared" si="13"/>
        <v>25446494.217967309</v>
      </c>
      <c r="BA211" s="89">
        <v>17955186.068972312</v>
      </c>
      <c r="BB211" s="89">
        <v>7491308.1489949981</v>
      </c>
      <c r="BC211" s="89">
        <v>95607257.211332679</v>
      </c>
      <c r="BD211" s="89"/>
      <c r="BE211" s="88">
        <v>5189831.4185872804</v>
      </c>
      <c r="BF211" s="89">
        <v>532469.79453145002</v>
      </c>
      <c r="BG211" s="89">
        <v>473489.22882462002</v>
      </c>
      <c r="BH211" s="89">
        <v>58980.565706829999</v>
      </c>
      <c r="BI211" s="89">
        <v>4693956.2035322692</v>
      </c>
      <c r="BJ211" s="89">
        <v>-36594.579476439998</v>
      </c>
      <c r="BK211" s="88">
        <v>419.12805500000002</v>
      </c>
      <c r="BL211" s="89">
        <v>-132.73094500000002</v>
      </c>
      <c r="BM211" s="89">
        <v>-74.43225600000001</v>
      </c>
      <c r="BN211" s="89">
        <v>-58.298688999999996</v>
      </c>
      <c r="BO211" s="89">
        <v>551.85900000000004</v>
      </c>
      <c r="BP211" s="89"/>
      <c r="BQ211" s="88">
        <v>7448.0424719999992</v>
      </c>
      <c r="BR211" s="89">
        <v>-2889.6374949999999</v>
      </c>
      <c r="BS211" s="89">
        <v>-1344.1121650000002</v>
      </c>
      <c r="BT211" s="89">
        <v>-1545.5253299999999</v>
      </c>
      <c r="BU211" s="89">
        <v>10337.679967</v>
      </c>
      <c r="BV211" s="89"/>
      <c r="BW211" s="88">
        <v>9985.5490687559995</v>
      </c>
      <c r="BX211" s="89">
        <v>2697.7468611560003</v>
      </c>
      <c r="BY211" s="89">
        <v>2521.7005012760001</v>
      </c>
      <c r="BZ211" s="89">
        <v>176.04635988000001</v>
      </c>
      <c r="CA211" s="89">
        <v>8245.5276199</v>
      </c>
      <c r="CB211" s="89">
        <v>-957.72541230000002</v>
      </c>
      <c r="CC211" s="88">
        <v>1250.3637959999999</v>
      </c>
      <c r="CD211" s="89">
        <v>-30.157204</v>
      </c>
      <c r="CE211" s="89">
        <v>62.623905999999998</v>
      </c>
      <c r="CF211" s="89">
        <v>-92.781109999999998</v>
      </c>
      <c r="CG211" s="89">
        <v>1280.521</v>
      </c>
      <c r="CH211" s="89"/>
      <c r="CI211" s="88">
        <v>78936</v>
      </c>
      <c r="CJ211" s="89">
        <v>22216.1</v>
      </c>
      <c r="CK211" s="89">
        <v>12409.4</v>
      </c>
      <c r="CL211" s="89">
        <v>9806.6999999999989</v>
      </c>
      <c r="CM211" s="89">
        <v>66284.800000000003</v>
      </c>
      <c r="CN211" s="89">
        <v>-9564.9</v>
      </c>
      <c r="CO211" s="88">
        <v>48282.400000000001</v>
      </c>
      <c r="CP211" s="89">
        <v>-8148.4</v>
      </c>
      <c r="CQ211" s="89">
        <v>11616.9</v>
      </c>
      <c r="CR211" s="89">
        <v>-19765.3</v>
      </c>
      <c r="CS211" s="89">
        <v>65658.600000000006</v>
      </c>
      <c r="CT211" s="89">
        <v>-9227.9</v>
      </c>
      <c r="CU211" s="88">
        <v>46562.569946683056</v>
      </c>
      <c r="CV211" s="89">
        <v>17654.99646212373</v>
      </c>
      <c r="CW211" s="89">
        <v>18563.038568753145</v>
      </c>
      <c r="CX211" s="89">
        <v>-908.042106629415</v>
      </c>
      <c r="CY211" s="89">
        <v>28907.573484559329</v>
      </c>
      <c r="CZ211" s="89"/>
      <c r="DA211" s="88">
        <v>59639.305784603304</v>
      </c>
      <c r="DB211" s="89">
        <v>-8606.6426814901733</v>
      </c>
      <c r="DC211" s="89">
        <v>-11977.490762700174</v>
      </c>
      <c r="DD211" s="89">
        <v>3370.8480812100001</v>
      </c>
      <c r="DE211" s="89">
        <v>103158.08254974589</v>
      </c>
      <c r="DF211" s="89">
        <v>-34912.134083652403</v>
      </c>
      <c r="DG211" s="88">
        <v>240933.75020000001</v>
      </c>
      <c r="DH211" s="89">
        <v>114346.3532</v>
      </c>
      <c r="DI211" s="89"/>
      <c r="DJ211" s="89"/>
      <c r="DK211" s="89">
        <v>134614.53700000001</v>
      </c>
      <c r="DL211" s="89">
        <v>-8027.14</v>
      </c>
      <c r="DM211" s="88">
        <v>3867008.1460967902</v>
      </c>
      <c r="DN211" s="89">
        <v>1601931.6669999999</v>
      </c>
      <c r="DO211" s="89">
        <v>1453725.267</v>
      </c>
      <c r="DP211" s="89">
        <v>148206.39999999999</v>
      </c>
      <c r="DQ211" s="89">
        <v>2265076.4789999998</v>
      </c>
      <c r="DR211" s="89"/>
      <c r="DS211" s="88">
        <v>56881.954678638336</v>
      </c>
      <c r="DT211" s="89">
        <v>37458.74802524221</v>
      </c>
      <c r="DU211" s="89">
        <v>36550.223678119313</v>
      </c>
      <c r="DV211" s="89">
        <v>908.5243471228971</v>
      </c>
      <c r="DW211" s="89">
        <v>33528.484766569483</v>
      </c>
      <c r="DX211" s="89">
        <v>-14105.278113173357</v>
      </c>
      <c r="DY211" s="88">
        <v>8711.7315689999996</v>
      </c>
      <c r="DZ211" s="89">
        <f t="shared" si="15"/>
        <v>-225.137293</v>
      </c>
      <c r="EA211" s="89">
        <v>920.62884499999996</v>
      </c>
      <c r="EB211" s="89">
        <v>-1145.766138</v>
      </c>
      <c r="EC211" s="89">
        <v>8936.8688619999994</v>
      </c>
      <c r="ED211" s="89"/>
      <c r="EE211" s="88">
        <v>11365.786587176719</v>
      </c>
      <c r="EF211" s="89">
        <v>-858.89210148400014</v>
      </c>
      <c r="EG211" s="89">
        <v>-858.97198641400018</v>
      </c>
      <c r="EH211" s="89">
        <v>7.9884929999999993E-2</v>
      </c>
      <c r="EI211" s="89">
        <v>15204.859369089998</v>
      </c>
      <c r="EJ211" s="89">
        <v>-2980.1806804292814</v>
      </c>
      <c r="EK211" s="88">
        <v>7625762.6607656898</v>
      </c>
      <c r="EL211" s="89">
        <v>-1000037.3782569903</v>
      </c>
      <c r="EM211" s="89">
        <v>-579827.87327072024</v>
      </c>
      <c r="EN211" s="89">
        <v>-420209.5049862701</v>
      </c>
      <c r="EO211" s="89">
        <v>8817883.23963858</v>
      </c>
      <c r="EP211" s="89">
        <v>-192083.20061589993</v>
      </c>
      <c r="EQ211" s="88">
        <v>54347.951183709993</v>
      </c>
      <c r="ER211" s="89">
        <v>-11463.232061579998</v>
      </c>
      <c r="ES211" s="89"/>
      <c r="ET211" s="89"/>
      <c r="EU211" s="89">
        <v>96219.883101390005</v>
      </c>
      <c r="EV211" s="89">
        <v>-30408.699856100022</v>
      </c>
      <c r="EW211" s="88">
        <v>487607.91670586693</v>
      </c>
      <c r="EX211" s="89">
        <f t="shared" si="14"/>
        <v>218476.56667143002</v>
      </c>
      <c r="EY211" s="89">
        <v>208072.96728613001</v>
      </c>
      <c r="EZ211" s="89">
        <v>10403.5993853</v>
      </c>
      <c r="FA211" s="89">
        <v>247865.62182880001</v>
      </c>
      <c r="FB211" s="89">
        <v>21265.728205636988</v>
      </c>
      <c r="FC211" s="88">
        <v>1475.2614370000001</v>
      </c>
      <c r="FD211" s="89">
        <v>399.08943699999998</v>
      </c>
      <c r="FE211" s="89">
        <v>735.52963699999998</v>
      </c>
      <c r="FF211" s="89">
        <v>-336.4402</v>
      </c>
      <c r="FG211" s="89">
        <v>1076.172</v>
      </c>
      <c r="FH211" s="89"/>
      <c r="FI211" s="88">
        <v>839.25534599999992</v>
      </c>
      <c r="FJ211" s="89">
        <v>-13.26365400000001</v>
      </c>
      <c r="FK211" s="89">
        <v>36.444750999999989</v>
      </c>
      <c r="FL211" s="89">
        <v>-49.708404999999999</v>
      </c>
      <c r="FM211" s="89">
        <v>852.51900000000001</v>
      </c>
      <c r="FN211" s="89"/>
      <c r="FO211" s="88">
        <v>2547.3438220000003</v>
      </c>
      <c r="FP211" s="89">
        <v>-251.67617800000002</v>
      </c>
      <c r="FQ211" s="89">
        <v>-5.152301000000036</v>
      </c>
      <c r="FR211" s="89">
        <v>-246.523877</v>
      </c>
      <c r="FS211" s="89">
        <v>2799.02</v>
      </c>
      <c r="FT211" s="89"/>
      <c r="FU211" s="88">
        <v>1768.5</v>
      </c>
      <c r="FV211" s="89">
        <v>357.6</v>
      </c>
      <c r="FW211" s="89">
        <v>339.5</v>
      </c>
      <c r="FX211" s="89">
        <v>18.100000000000001</v>
      </c>
      <c r="FY211" s="89">
        <v>1392.5</v>
      </c>
      <c r="FZ211" s="89">
        <v>18.399999999999999</v>
      </c>
      <c r="GA211" s="88">
        <v>15058.8</v>
      </c>
      <c r="GB211" s="89">
        <v>-17675</v>
      </c>
      <c r="GC211" s="89">
        <v>-21224.400000000001</v>
      </c>
      <c r="GD211" s="89">
        <v>3549.4</v>
      </c>
      <c r="GE211" s="89">
        <v>32733.8</v>
      </c>
      <c r="GF211" s="89"/>
      <c r="GG211" s="88"/>
      <c r="GH211" s="89"/>
      <c r="GI211" s="89"/>
      <c r="GJ211" s="89"/>
      <c r="GK211" s="89"/>
      <c r="GL211" s="89"/>
      <c r="GM211" s="88">
        <v>133674.6710408798</v>
      </c>
      <c r="GN211" s="89">
        <v>22205.935503947683</v>
      </c>
      <c r="GO211" s="89">
        <v>21950.286624523342</v>
      </c>
      <c r="GP211" s="89">
        <v>255.64887942434103</v>
      </c>
      <c r="GQ211" s="89">
        <v>77478.10160922457</v>
      </c>
      <c r="GR211" s="89">
        <v>33990.633927707546</v>
      </c>
    </row>
    <row r="212" spans="1:200">
      <c r="A212" s="69"/>
      <c r="B212" s="93" t="s">
        <v>493</v>
      </c>
      <c r="C212" s="88">
        <v>2171.2410789999999</v>
      </c>
      <c r="D212" s="87">
        <v>-21.314921000000027</v>
      </c>
      <c r="E212" s="87">
        <v>204.79385799999997</v>
      </c>
      <c r="F212" s="87">
        <v>-226.108779</v>
      </c>
      <c r="G212" s="87">
        <v>2192.556</v>
      </c>
      <c r="H212" s="87"/>
      <c r="I212" s="88">
        <v>128769.584</v>
      </c>
      <c r="J212" s="89">
        <v>155242.36600000001</v>
      </c>
      <c r="K212" s="89"/>
      <c r="L212" s="89"/>
      <c r="M212" s="89">
        <v>95016.418999999994</v>
      </c>
      <c r="N212" s="89">
        <v>-121489.201</v>
      </c>
      <c r="O212" s="88">
        <v>6984</v>
      </c>
      <c r="P212" s="89"/>
      <c r="Q212" s="89"/>
      <c r="R212" s="89"/>
      <c r="S212" s="89"/>
      <c r="T212" s="89"/>
      <c r="U212" s="88">
        <v>5828.7678500000002</v>
      </c>
      <c r="V212" s="89">
        <v>1119.91885</v>
      </c>
      <c r="W212" s="89">
        <v>545.08484999999996</v>
      </c>
      <c r="X212" s="89">
        <v>574.83399999999995</v>
      </c>
      <c r="Y212" s="89">
        <v>4708.8490000000002</v>
      </c>
      <c r="Z212" s="89"/>
      <c r="AA212" s="88">
        <v>1690.8910000000001</v>
      </c>
      <c r="AB212" s="89">
        <v>264.589</v>
      </c>
      <c r="AC212" s="89">
        <v>248.917</v>
      </c>
      <c r="AD212" s="89">
        <v>15.672000000000001</v>
      </c>
      <c r="AE212" s="89">
        <v>1426.3019999999999</v>
      </c>
      <c r="AF212" s="89"/>
      <c r="AG212" s="88">
        <v>41407.240742909598</v>
      </c>
      <c r="AH212" s="89">
        <v>8345.3416571430334</v>
      </c>
      <c r="AI212" s="89">
        <v>8345.3416571430334</v>
      </c>
      <c r="AJ212" s="89"/>
      <c r="AK212" s="89">
        <v>33061.899085766563</v>
      </c>
      <c r="AL212" s="89"/>
      <c r="AM212" s="88">
        <v>2139208</v>
      </c>
      <c r="AN212" s="89">
        <v>1035562</v>
      </c>
      <c r="AO212" s="89">
        <v>1018736</v>
      </c>
      <c r="AP212" s="89">
        <v>16826</v>
      </c>
      <c r="AQ212" s="89">
        <v>928583</v>
      </c>
      <c r="AR212" s="89">
        <v>175062</v>
      </c>
      <c r="AS212" s="88">
        <v>45865000</v>
      </c>
      <c r="AT212" s="89">
        <v>-2197000</v>
      </c>
      <c r="AU212" s="89">
        <v>-2197000</v>
      </c>
      <c r="AV212" s="89"/>
      <c r="AW212" s="89">
        <v>52741000</v>
      </c>
      <c r="AX212" s="89">
        <v>-4679000</v>
      </c>
      <c r="AY212" s="88">
        <v>120456800.28448094</v>
      </c>
      <c r="AZ212" s="89">
        <f t="shared" ref="AZ212:AZ275" si="16">BA212+BB212</f>
        <v>21873520.454189032</v>
      </c>
      <c r="BA212" s="89">
        <v>14547884.162911184</v>
      </c>
      <c r="BB212" s="89">
        <v>7325636.2912778491</v>
      </c>
      <c r="BC212" s="89">
        <v>98583279.830291912</v>
      </c>
      <c r="BD212" s="89"/>
      <c r="BE212" s="88">
        <v>5286691.3651857097</v>
      </c>
      <c r="BF212" s="89">
        <v>525415.56685835996</v>
      </c>
      <c r="BG212" s="89">
        <v>468070.67482354998</v>
      </c>
      <c r="BH212" s="89">
        <v>57344.89203481</v>
      </c>
      <c r="BI212" s="89">
        <v>4823880.3134057596</v>
      </c>
      <c r="BJ212" s="89">
        <v>-62604.515078409997</v>
      </c>
      <c r="BK212" s="88">
        <v>433.220598</v>
      </c>
      <c r="BL212" s="89">
        <v>-130.37540200000004</v>
      </c>
      <c r="BM212" s="89">
        <v>-71.046999000000028</v>
      </c>
      <c r="BN212" s="89">
        <v>-59.328403000000002</v>
      </c>
      <c r="BO212" s="89">
        <v>563.596</v>
      </c>
      <c r="BP212" s="89"/>
      <c r="BQ212" s="88">
        <v>7353.922375000001</v>
      </c>
      <c r="BR212" s="89">
        <v>-3106.6362650000005</v>
      </c>
      <c r="BS212" s="89">
        <v>-1404.2103270000002</v>
      </c>
      <c r="BT212" s="89">
        <v>-1702.4259380000003</v>
      </c>
      <c r="BU212" s="89">
        <v>10460.558640000001</v>
      </c>
      <c r="BV212" s="89"/>
      <c r="BW212" s="88">
        <v>9985.6972540974984</v>
      </c>
      <c r="BX212" s="89">
        <v>2773.6083428474999</v>
      </c>
      <c r="BY212" s="89">
        <v>2624.4616373475001</v>
      </c>
      <c r="BZ212" s="89">
        <v>149.1467055</v>
      </c>
      <c r="CA212" s="89">
        <v>8273.3708232499976</v>
      </c>
      <c r="CB212" s="89">
        <v>-1061.2819120000004</v>
      </c>
      <c r="CC212" s="88">
        <v>1285.6209710000001</v>
      </c>
      <c r="CD212" s="89">
        <v>-23.384028999999984</v>
      </c>
      <c r="CE212" s="89">
        <v>67.643796000000009</v>
      </c>
      <c r="CF212" s="89">
        <v>-91.027824999999993</v>
      </c>
      <c r="CG212" s="89">
        <v>1309.0050000000001</v>
      </c>
      <c r="CH212" s="89"/>
      <c r="CI212" s="88">
        <v>80339.199999999997</v>
      </c>
      <c r="CJ212" s="89">
        <v>22964.9</v>
      </c>
      <c r="CK212" s="89">
        <v>12750.4</v>
      </c>
      <c r="CL212" s="89">
        <v>10214.5</v>
      </c>
      <c r="CM212" s="89">
        <v>66334.100000000006</v>
      </c>
      <c r="CN212" s="89">
        <v>-8959.7999999999993</v>
      </c>
      <c r="CO212" s="88">
        <v>46922.7</v>
      </c>
      <c r="CP212" s="89">
        <v>-10721</v>
      </c>
      <c r="CQ212" s="89">
        <v>9558.6</v>
      </c>
      <c r="CR212" s="89">
        <v>-20279.599999999999</v>
      </c>
      <c r="CS212" s="89">
        <v>66272.2</v>
      </c>
      <c r="CT212" s="89">
        <v>-8628.6</v>
      </c>
      <c r="CU212" s="88">
        <v>46218.333075764836</v>
      </c>
      <c r="CV212" s="89">
        <v>17540.701362003143</v>
      </c>
      <c r="CW212" s="89">
        <v>18448.448240628055</v>
      </c>
      <c r="CX212" s="89">
        <v>-907.74687862491214</v>
      </c>
      <c r="CY212" s="89">
        <v>28677.631713761697</v>
      </c>
      <c r="CZ212" s="89"/>
      <c r="DA212" s="88">
        <v>61251.516089318662</v>
      </c>
      <c r="DB212" s="89">
        <v>-7950.3705680098838</v>
      </c>
      <c r="DC212" s="89">
        <v>-11291.840269615404</v>
      </c>
      <c r="DD212" s="89">
        <v>3341.4697016055197</v>
      </c>
      <c r="DE212" s="89">
        <v>105025.1096520234</v>
      </c>
      <c r="DF212" s="89">
        <v>-35823.222994694843</v>
      </c>
      <c r="DG212" s="88">
        <v>249393.52100000001</v>
      </c>
      <c r="DH212" s="89">
        <v>120519.295</v>
      </c>
      <c r="DI212" s="89"/>
      <c r="DJ212" s="89"/>
      <c r="DK212" s="89">
        <v>136520.20300000001</v>
      </c>
      <c r="DL212" s="89">
        <v>-7645.9769999999999</v>
      </c>
      <c r="DM212" s="88">
        <v>3867313.09541215</v>
      </c>
      <c r="DN212" s="89">
        <v>1579319.8289999999</v>
      </c>
      <c r="DO212" s="89">
        <v>1428954.929</v>
      </c>
      <c r="DP212" s="89">
        <v>150364.9</v>
      </c>
      <c r="DQ212" s="89">
        <v>2287993.2659999998</v>
      </c>
      <c r="DR212" s="89"/>
      <c r="DS212" s="88">
        <v>57133.342453867081</v>
      </c>
      <c r="DT212" s="89">
        <v>37185.372686946946</v>
      </c>
      <c r="DU212" s="89">
        <v>36229.838952589918</v>
      </c>
      <c r="DV212" s="89">
        <v>955.53373435702804</v>
      </c>
      <c r="DW212" s="89">
        <v>34111.364382166124</v>
      </c>
      <c r="DX212" s="89">
        <v>-14163.394615245985</v>
      </c>
      <c r="DY212" s="88">
        <v>8838.249871</v>
      </c>
      <c r="DZ212" s="89">
        <f t="shared" si="15"/>
        <v>-222.6995619999999</v>
      </c>
      <c r="EA212" s="89">
        <v>942.64200500000004</v>
      </c>
      <c r="EB212" s="89">
        <v>-1165.3415669999999</v>
      </c>
      <c r="EC212" s="89">
        <v>9060.9494329999998</v>
      </c>
      <c r="ED212" s="89"/>
      <c r="EE212" s="88">
        <v>11670.693564710367</v>
      </c>
      <c r="EF212" s="89">
        <v>-933.79173304999961</v>
      </c>
      <c r="EG212" s="89">
        <v>-933.90249348999964</v>
      </c>
      <c r="EH212" s="89">
        <v>0.11076044</v>
      </c>
      <c r="EI212" s="89">
        <v>16278.781529910002</v>
      </c>
      <c r="EJ212" s="89">
        <v>-3674.2962321496352</v>
      </c>
      <c r="EK212" s="88">
        <v>7256032.2790165721</v>
      </c>
      <c r="EL212" s="89">
        <v>-1398973.1002433097</v>
      </c>
      <c r="EM212" s="89">
        <v>-985464.37259816984</v>
      </c>
      <c r="EN212" s="89">
        <v>-413508.72764513997</v>
      </c>
      <c r="EO212" s="89">
        <v>8827908.1033438817</v>
      </c>
      <c r="EP212" s="89">
        <v>-172902.72408399999</v>
      </c>
      <c r="EQ212" s="88">
        <v>55617.143844040009</v>
      </c>
      <c r="ER212" s="89">
        <v>-12777.104913539999</v>
      </c>
      <c r="ES212" s="89"/>
      <c r="ET212" s="89"/>
      <c r="EU212" s="89">
        <v>98061.761736029992</v>
      </c>
      <c r="EV212" s="89">
        <v>-29667.512978449988</v>
      </c>
      <c r="EW212" s="88">
        <v>492377.37379207707</v>
      </c>
      <c r="EX212" s="89">
        <f t="shared" ref="EX212:EX275" si="17">EY212+EZ212</f>
        <v>215394.18913501</v>
      </c>
      <c r="EY212" s="89">
        <v>205046.46093363001</v>
      </c>
      <c r="EZ212" s="89">
        <v>10347.728201380001</v>
      </c>
      <c r="FA212" s="89">
        <v>253690.43403910002</v>
      </c>
      <c r="FB212" s="89">
        <v>23292.750617967024</v>
      </c>
      <c r="FC212" s="88">
        <v>1499.5050100000001</v>
      </c>
      <c r="FD212" s="89">
        <v>406.81000999999998</v>
      </c>
      <c r="FE212" s="89">
        <v>744.38320999999996</v>
      </c>
      <c r="FF212" s="89">
        <v>-337.57319999999999</v>
      </c>
      <c r="FG212" s="89">
        <v>1092.6949999999999</v>
      </c>
      <c r="FH212" s="89"/>
      <c r="FI212" s="88">
        <v>842.70523099999991</v>
      </c>
      <c r="FJ212" s="89">
        <v>-11.887768999999999</v>
      </c>
      <c r="FK212" s="89">
        <v>33.149636000000001</v>
      </c>
      <c r="FL212" s="89">
        <v>-45.037405</v>
      </c>
      <c r="FM212" s="89">
        <v>854.59299999999996</v>
      </c>
      <c r="FN212" s="89"/>
      <c r="FO212" s="88">
        <v>2582.3166540000002</v>
      </c>
      <c r="FP212" s="89">
        <v>-248.14434599999998</v>
      </c>
      <c r="FQ212" s="89">
        <v>17.912531000000016</v>
      </c>
      <c r="FR212" s="89">
        <v>-266.05687699999999</v>
      </c>
      <c r="FS212" s="89">
        <v>2830.4609999999998</v>
      </c>
      <c r="FT212" s="89"/>
      <c r="FU212" s="88">
        <v>1763.6</v>
      </c>
      <c r="FV212" s="89">
        <v>308.39999999999998</v>
      </c>
      <c r="FW212" s="89">
        <v>290.89999999999998</v>
      </c>
      <c r="FX212" s="89">
        <v>17.5</v>
      </c>
      <c r="FY212" s="89">
        <v>1436.3</v>
      </c>
      <c r="FZ212" s="89">
        <v>18.899999999999999</v>
      </c>
      <c r="GA212" s="88">
        <v>15928.3</v>
      </c>
      <c r="GB212" s="89">
        <v>-17110.400000000001</v>
      </c>
      <c r="GC212" s="89">
        <v>-21206</v>
      </c>
      <c r="GD212" s="89">
        <v>4095.6</v>
      </c>
      <c r="GE212" s="89">
        <v>33038.6</v>
      </c>
      <c r="GF212" s="89"/>
      <c r="GG212" s="88"/>
      <c r="GH212" s="89"/>
      <c r="GI212" s="89"/>
      <c r="GJ212" s="89"/>
      <c r="GK212" s="89"/>
      <c r="GL212" s="89"/>
      <c r="GM212" s="88">
        <v>136482.57248424931</v>
      </c>
      <c r="GN212" s="89">
        <v>22117.19645097465</v>
      </c>
      <c r="GO212" s="89">
        <v>21865.395221333838</v>
      </c>
      <c r="GP212" s="89">
        <v>251.80122964081167</v>
      </c>
      <c r="GQ212" s="89">
        <v>79675.823020927695</v>
      </c>
      <c r="GR212" s="89">
        <v>34689.553012346929</v>
      </c>
    </row>
    <row r="213" spans="1:200">
      <c r="A213" s="69"/>
      <c r="B213" s="93" t="s">
        <v>494</v>
      </c>
      <c r="C213" s="88">
        <v>2180.6036949999998</v>
      </c>
      <c r="D213" s="87">
        <v>-60.269305000000003</v>
      </c>
      <c r="E213" s="87">
        <v>162.638488</v>
      </c>
      <c r="F213" s="87">
        <v>-222.907793</v>
      </c>
      <c r="G213" s="87">
        <v>2240.873</v>
      </c>
      <c r="H213" s="87"/>
      <c r="I213" s="88">
        <v>128356.62000000001</v>
      </c>
      <c r="J213" s="89">
        <v>153870.848</v>
      </c>
      <c r="K213" s="89"/>
      <c r="L213" s="89"/>
      <c r="M213" s="89">
        <v>97021.623999999996</v>
      </c>
      <c r="N213" s="89">
        <v>-122535.852</v>
      </c>
      <c r="O213" s="88">
        <v>7049.3</v>
      </c>
      <c r="P213" s="89"/>
      <c r="Q213" s="89"/>
      <c r="R213" s="89"/>
      <c r="S213" s="89"/>
      <c r="T213" s="89"/>
      <c r="U213" s="88">
        <v>5868.0565999999999</v>
      </c>
      <c r="V213" s="89">
        <v>1101.4025999999999</v>
      </c>
      <c r="W213" s="89">
        <v>527.94159999999999</v>
      </c>
      <c r="X213" s="89">
        <v>573.46100000000001</v>
      </c>
      <c r="Y213" s="89">
        <v>4766.6539999999995</v>
      </c>
      <c r="Z213" s="89"/>
      <c r="AA213" s="88">
        <v>1706.8009999999999</v>
      </c>
      <c r="AB213" s="89">
        <v>266.54200000000003</v>
      </c>
      <c r="AC213" s="89">
        <v>252.50700000000001</v>
      </c>
      <c r="AD213" s="89">
        <v>14.035</v>
      </c>
      <c r="AE213" s="89">
        <v>1440.259</v>
      </c>
      <c r="AF213" s="89"/>
      <c r="AG213" s="88">
        <v>42042.934582026377</v>
      </c>
      <c r="AH213" s="89">
        <v>8534.0680854759794</v>
      </c>
      <c r="AI213" s="89">
        <v>8534.0680854759794</v>
      </c>
      <c r="AJ213" s="89"/>
      <c r="AK213" s="89">
        <v>33508.866496550399</v>
      </c>
      <c r="AL213" s="89"/>
      <c r="AM213" s="88">
        <v>2143640</v>
      </c>
      <c r="AN213" s="89">
        <v>1032278</v>
      </c>
      <c r="AO213" s="89">
        <v>1015467</v>
      </c>
      <c r="AP213" s="89">
        <v>16811</v>
      </c>
      <c r="AQ213" s="89">
        <v>936743</v>
      </c>
      <c r="AR213" s="89">
        <v>174620</v>
      </c>
      <c r="AS213" s="88">
        <v>46216000</v>
      </c>
      <c r="AT213" s="89">
        <v>-2965000</v>
      </c>
      <c r="AU213" s="89">
        <v>-2965000</v>
      </c>
      <c r="AV213" s="89"/>
      <c r="AW213" s="89">
        <v>53364000</v>
      </c>
      <c r="AX213" s="89">
        <v>-4183000</v>
      </c>
      <c r="AY213" s="88">
        <v>120792121.78112039</v>
      </c>
      <c r="AZ213" s="89">
        <f t="shared" si="16"/>
        <v>20556557.434199203</v>
      </c>
      <c r="BA213" s="89">
        <v>12922086.089296971</v>
      </c>
      <c r="BB213" s="89">
        <v>7634471.3449022314</v>
      </c>
      <c r="BC213" s="89">
        <v>100235564.34692119</v>
      </c>
      <c r="BD213" s="89"/>
      <c r="BE213" s="88">
        <v>5386390.7866949504</v>
      </c>
      <c r="BF213" s="89">
        <v>490678.49827982998</v>
      </c>
      <c r="BG213" s="89">
        <v>435619.01870043</v>
      </c>
      <c r="BH213" s="89">
        <v>55059.479579400002</v>
      </c>
      <c r="BI213" s="89">
        <v>4973876.3121659299</v>
      </c>
      <c r="BJ213" s="89">
        <v>-78164.023750809996</v>
      </c>
      <c r="BK213" s="88">
        <v>429.62125400000002</v>
      </c>
      <c r="BL213" s="89">
        <v>-125.70474600000003</v>
      </c>
      <c r="BM213" s="89">
        <v>-62.834630000000018</v>
      </c>
      <c r="BN213" s="89">
        <v>-62.870116000000003</v>
      </c>
      <c r="BO213" s="89">
        <v>555.32600000000002</v>
      </c>
      <c r="BP213" s="89"/>
      <c r="BQ213" s="88">
        <v>7427.4088369999899</v>
      </c>
      <c r="BR213" s="89">
        <v>-3160.3997200000085</v>
      </c>
      <c r="BS213" s="89">
        <v>-1392.3315480000083</v>
      </c>
      <c r="BT213" s="89">
        <v>-1768.0681720000002</v>
      </c>
      <c r="BU213" s="89">
        <v>10587.808556999998</v>
      </c>
      <c r="BV213" s="89"/>
      <c r="BW213" s="88">
        <v>10171.439178423001</v>
      </c>
      <c r="BX213" s="89">
        <v>2875.4825698829995</v>
      </c>
      <c r="BY213" s="89">
        <v>2719.9876217429996</v>
      </c>
      <c r="BZ213" s="89">
        <v>155.49494814000002</v>
      </c>
      <c r="CA213" s="89">
        <v>8332.4438935400012</v>
      </c>
      <c r="CB213" s="89">
        <v>-1036.4872849999999</v>
      </c>
      <c r="CC213" s="88">
        <v>1313.4407150000002</v>
      </c>
      <c r="CD213" s="89">
        <v>-15.47928499999999</v>
      </c>
      <c r="CE213" s="89">
        <v>70.083540000000013</v>
      </c>
      <c r="CF213" s="89">
        <v>-85.562825000000004</v>
      </c>
      <c r="CG213" s="89">
        <v>1328.92</v>
      </c>
      <c r="CH213" s="89"/>
      <c r="CI213" s="88">
        <v>79426</v>
      </c>
      <c r="CJ213" s="89">
        <v>21565.7</v>
      </c>
      <c r="CK213" s="89">
        <v>11077.7</v>
      </c>
      <c r="CL213" s="89">
        <v>10488</v>
      </c>
      <c r="CM213" s="89">
        <v>67439.199999999997</v>
      </c>
      <c r="CN213" s="89">
        <v>-9578.9</v>
      </c>
      <c r="CO213" s="88">
        <v>44811.9</v>
      </c>
      <c r="CP213" s="89">
        <v>-13585.8</v>
      </c>
      <c r="CQ213" s="89">
        <v>7170</v>
      </c>
      <c r="CR213" s="89">
        <v>-20755.8</v>
      </c>
      <c r="CS213" s="89">
        <v>66925.8</v>
      </c>
      <c r="CT213" s="89">
        <v>-8528.1</v>
      </c>
      <c r="CU213" s="88">
        <v>45914.008930682001</v>
      </c>
      <c r="CV213" s="89">
        <v>17413.579005256786</v>
      </c>
      <c r="CW213" s="89">
        <v>18078.291069763516</v>
      </c>
      <c r="CX213" s="89">
        <v>-664.7120645067273</v>
      </c>
      <c r="CY213" s="89">
        <v>28500.429925425218</v>
      </c>
      <c r="CZ213" s="89"/>
      <c r="DA213" s="88">
        <v>63800.402631584206</v>
      </c>
      <c r="DB213" s="89">
        <v>-7226.9486095123857</v>
      </c>
      <c r="DC213" s="89">
        <v>-10549.745031787907</v>
      </c>
      <c r="DD213" s="89">
        <v>3322.7964222755199</v>
      </c>
      <c r="DE213" s="89">
        <v>106803.55519902654</v>
      </c>
      <c r="DF213" s="89">
        <v>-35776.203957929945</v>
      </c>
      <c r="DG213" s="88">
        <v>250881.18173000001</v>
      </c>
      <c r="DH213" s="89">
        <v>117062.81773</v>
      </c>
      <c r="DI213" s="89"/>
      <c r="DJ213" s="89"/>
      <c r="DK213" s="89">
        <v>140407.25099999999</v>
      </c>
      <c r="DL213" s="89">
        <v>-6588.8869999999997</v>
      </c>
      <c r="DM213" s="88">
        <v>3963748.3852777099</v>
      </c>
      <c r="DN213" s="89">
        <v>1627255.1370000001</v>
      </c>
      <c r="DO213" s="89">
        <v>1473184.037</v>
      </c>
      <c r="DP213" s="89">
        <v>154071.1</v>
      </c>
      <c r="DQ213" s="89">
        <v>2336493.2480000001</v>
      </c>
      <c r="DR213" s="89"/>
      <c r="DS213" s="88">
        <v>58050.315464116058</v>
      </c>
      <c r="DT213" s="89">
        <v>36790.189330494373</v>
      </c>
      <c r="DU213" s="89">
        <v>35848.675842924175</v>
      </c>
      <c r="DV213" s="89">
        <v>941.51348757020196</v>
      </c>
      <c r="DW213" s="89">
        <v>34946.430027308779</v>
      </c>
      <c r="DX213" s="89">
        <v>-13686.303893687096</v>
      </c>
      <c r="DY213" s="88">
        <v>9038.1112459999986</v>
      </c>
      <c r="DZ213" s="89">
        <f t="shared" si="15"/>
        <v>-208.06580200000008</v>
      </c>
      <c r="EA213" s="89">
        <v>940.28215</v>
      </c>
      <c r="EB213" s="89">
        <v>-1148.3479520000001</v>
      </c>
      <c r="EC213" s="89">
        <v>9246.1770479999996</v>
      </c>
      <c r="ED213" s="89"/>
      <c r="EE213" s="88">
        <v>11561.12065270976</v>
      </c>
      <c r="EF213" s="89">
        <v>-1095.1691342100005</v>
      </c>
      <c r="EG213" s="89">
        <v>-1096.8120636700005</v>
      </c>
      <c r="EH213" s="89">
        <v>1.64292946</v>
      </c>
      <c r="EI213" s="89">
        <v>16568.0088148</v>
      </c>
      <c r="EJ213" s="89">
        <v>-3911.7190278802395</v>
      </c>
      <c r="EK213" s="88">
        <v>7736844.9439188</v>
      </c>
      <c r="EL213" s="89">
        <v>-1555528.1824573204</v>
      </c>
      <c r="EM213" s="89">
        <v>-1121367.0697951503</v>
      </c>
      <c r="EN213" s="89">
        <v>-434161.11266217008</v>
      </c>
      <c r="EO213" s="89">
        <v>9463121.2863843199</v>
      </c>
      <c r="EP213" s="89">
        <v>-170748.16000819998</v>
      </c>
      <c r="EQ213" s="88">
        <v>57227.032937219992</v>
      </c>
      <c r="ER213" s="89">
        <v>-12251.706739479998</v>
      </c>
      <c r="ES213" s="89"/>
      <c r="ET213" s="89"/>
      <c r="EU213" s="89">
        <v>100958.8171651</v>
      </c>
      <c r="EV213" s="89">
        <v>-31480.077488400013</v>
      </c>
      <c r="EW213" s="88">
        <v>499630.92871362943</v>
      </c>
      <c r="EX213" s="89">
        <f t="shared" si="17"/>
        <v>214078.26340403999</v>
      </c>
      <c r="EY213" s="89">
        <v>203601.35978232999</v>
      </c>
      <c r="EZ213" s="89">
        <v>10476.90362171</v>
      </c>
      <c r="FA213" s="89">
        <v>263253.01262301003</v>
      </c>
      <c r="FB213" s="89">
        <v>22299.652686579451</v>
      </c>
      <c r="FC213" s="88">
        <v>1513.8840850000001</v>
      </c>
      <c r="FD213" s="89">
        <v>410.95708500000006</v>
      </c>
      <c r="FE213" s="89">
        <v>748.98628500000007</v>
      </c>
      <c r="FF213" s="89">
        <v>-338.0292</v>
      </c>
      <c r="FG213" s="89">
        <v>1102.9269999999999</v>
      </c>
      <c r="FH213" s="89"/>
      <c r="FI213" s="88">
        <v>830.55652300000008</v>
      </c>
      <c r="FJ213" s="89">
        <v>-29.274477000000012</v>
      </c>
      <c r="FK213" s="89">
        <v>31.043832999999985</v>
      </c>
      <c r="FL213" s="89">
        <v>-60.318309999999997</v>
      </c>
      <c r="FM213" s="89">
        <v>859.83100000000002</v>
      </c>
      <c r="FN213" s="89"/>
      <c r="FO213" s="88">
        <v>2677.587583</v>
      </c>
      <c r="FP213" s="89">
        <v>-208.63941699999998</v>
      </c>
      <c r="FQ213" s="89">
        <v>33.896460000000019</v>
      </c>
      <c r="FR213" s="89">
        <v>-242.535877</v>
      </c>
      <c r="FS213" s="89">
        <v>2886.2269999999999</v>
      </c>
      <c r="FT213" s="89"/>
      <c r="FU213" s="88">
        <v>1840.1999999999998</v>
      </c>
      <c r="FV213" s="89">
        <v>339.6</v>
      </c>
      <c r="FW213" s="89">
        <v>322</v>
      </c>
      <c r="FX213" s="89">
        <v>17.600000000000001</v>
      </c>
      <c r="FY213" s="89">
        <v>1481.1</v>
      </c>
      <c r="FZ213" s="89">
        <v>19.5</v>
      </c>
      <c r="GA213" s="88">
        <v>15841.2</v>
      </c>
      <c r="GB213" s="89">
        <v>-18468.3</v>
      </c>
      <c r="GC213" s="89">
        <v>-22014.799999999999</v>
      </c>
      <c r="GD213" s="89">
        <v>3546.5</v>
      </c>
      <c r="GE213" s="89">
        <v>34309.599999999999</v>
      </c>
      <c r="GF213" s="89"/>
      <c r="GG213" s="88"/>
      <c r="GH213" s="89"/>
      <c r="GI213" s="89"/>
      <c r="GJ213" s="89"/>
      <c r="GK213" s="89"/>
      <c r="GL213" s="89"/>
      <c r="GM213" s="88">
        <v>142858.49599233127</v>
      </c>
      <c r="GN213" s="89">
        <v>21989.010078580795</v>
      </c>
      <c r="GO213" s="89">
        <v>21750.568529388678</v>
      </c>
      <c r="GP213" s="89">
        <v>238.4415491921194</v>
      </c>
      <c r="GQ213" s="89">
        <v>84288.279373626385</v>
      </c>
      <c r="GR213" s="89">
        <v>36581.206540124076</v>
      </c>
    </row>
    <row r="214" spans="1:200">
      <c r="A214" s="69"/>
      <c r="B214" s="93" t="s">
        <v>495</v>
      </c>
      <c r="C214" s="88">
        <v>2244.8559679999998</v>
      </c>
      <c r="D214" s="87">
        <v>-7.3190320000000213</v>
      </c>
      <c r="E214" s="87">
        <v>202.94676099999998</v>
      </c>
      <c r="F214" s="87">
        <v>-210.265793</v>
      </c>
      <c r="G214" s="87">
        <v>2252.1750000000002</v>
      </c>
      <c r="H214" s="87"/>
      <c r="I214" s="88">
        <v>127909.45300000001</v>
      </c>
      <c r="J214" s="89">
        <v>147149.16</v>
      </c>
      <c r="K214" s="89"/>
      <c r="L214" s="89"/>
      <c r="M214" s="89">
        <v>100289.598</v>
      </c>
      <c r="N214" s="89">
        <v>-119529.30499999999</v>
      </c>
      <c r="O214" s="88">
        <v>7047.8</v>
      </c>
      <c r="P214" s="89"/>
      <c r="Q214" s="89"/>
      <c r="R214" s="89"/>
      <c r="S214" s="89"/>
      <c r="T214" s="89"/>
      <c r="U214" s="88">
        <v>5842.9021200000007</v>
      </c>
      <c r="V214" s="89">
        <v>1072.26612</v>
      </c>
      <c r="W214" s="89">
        <v>557.51412000000005</v>
      </c>
      <c r="X214" s="89">
        <v>514.75199999999995</v>
      </c>
      <c r="Y214" s="89">
        <v>4770.6360000000004</v>
      </c>
      <c r="Z214" s="89"/>
      <c r="AA214" s="88">
        <v>1707.14</v>
      </c>
      <c r="AB214" s="89">
        <v>258.97899999999998</v>
      </c>
      <c r="AC214" s="89">
        <v>244.36099999999999</v>
      </c>
      <c r="AD214" s="89">
        <v>14.618</v>
      </c>
      <c r="AE214" s="89">
        <v>1448.1610000000001</v>
      </c>
      <c r="AF214" s="89"/>
      <c r="AG214" s="88">
        <v>42075.473445920012</v>
      </c>
      <c r="AH214" s="89">
        <v>8449.7085743034349</v>
      </c>
      <c r="AI214" s="89">
        <v>8449.7085743034349</v>
      </c>
      <c r="AJ214" s="89"/>
      <c r="AK214" s="89">
        <v>33625.764871616579</v>
      </c>
      <c r="AL214" s="89"/>
      <c r="AM214" s="88">
        <v>2186033</v>
      </c>
      <c r="AN214" s="89">
        <v>1025866</v>
      </c>
      <c r="AO214" s="89">
        <v>1009102</v>
      </c>
      <c r="AP214" s="89">
        <v>16764</v>
      </c>
      <c r="AQ214" s="89">
        <v>957026</v>
      </c>
      <c r="AR214" s="89">
        <v>203142</v>
      </c>
      <c r="AS214" s="88">
        <v>46605000</v>
      </c>
      <c r="AT214" s="89">
        <v>-2510000</v>
      </c>
      <c r="AU214" s="89">
        <v>-2510000</v>
      </c>
      <c r="AV214" s="89"/>
      <c r="AW214" s="89">
        <v>54062000</v>
      </c>
      <c r="AX214" s="89">
        <v>-4947000</v>
      </c>
      <c r="AY214" s="88">
        <v>124183306.82183704</v>
      </c>
      <c r="AZ214" s="89">
        <f t="shared" si="16"/>
        <v>22134844.929684922</v>
      </c>
      <c r="BA214" s="89">
        <v>14503412.008023743</v>
      </c>
      <c r="BB214" s="89">
        <v>7631432.9216611804</v>
      </c>
      <c r="BC214" s="89">
        <v>102048461.8921521</v>
      </c>
      <c r="BD214" s="89"/>
      <c r="BE214" s="88">
        <v>5465177.2341548</v>
      </c>
      <c r="BF214" s="89">
        <v>411355.48662129999</v>
      </c>
      <c r="BG214" s="89">
        <v>355887.31863698998</v>
      </c>
      <c r="BH214" s="89">
        <v>55468.167984309999</v>
      </c>
      <c r="BI214" s="89">
        <v>5105387.3846767396</v>
      </c>
      <c r="BJ214" s="89">
        <v>-51565.637143239997</v>
      </c>
      <c r="BK214" s="88">
        <v>390.08246500000001</v>
      </c>
      <c r="BL214" s="89">
        <v>-128.29053500000001</v>
      </c>
      <c r="BM214" s="89">
        <v>-63.310820999999997</v>
      </c>
      <c r="BN214" s="89">
        <v>-64.979714000000001</v>
      </c>
      <c r="BO214" s="89">
        <v>518.37300000000005</v>
      </c>
      <c r="BP214" s="89"/>
      <c r="BQ214" s="88">
        <v>7262.74</v>
      </c>
      <c r="BR214" s="89">
        <v>-3416.84</v>
      </c>
      <c r="BS214" s="89">
        <v>-1614.3500000000001</v>
      </c>
      <c r="BT214" s="89">
        <v>-1802.49</v>
      </c>
      <c r="BU214" s="89">
        <v>10679.58</v>
      </c>
      <c r="BV214" s="89"/>
      <c r="BW214" s="88">
        <v>10121.739697221801</v>
      </c>
      <c r="BX214" s="89">
        <v>2915.7611299417995</v>
      </c>
      <c r="BY214" s="89">
        <v>2752.1652192317997</v>
      </c>
      <c r="BZ214" s="89">
        <v>163.59591071</v>
      </c>
      <c r="CA214" s="89">
        <v>8370.6620914300001</v>
      </c>
      <c r="CB214" s="89">
        <v>-1164.6835241499984</v>
      </c>
      <c r="CC214" s="88">
        <v>1331.8846540000002</v>
      </c>
      <c r="CD214" s="89">
        <v>-13.571346000000005</v>
      </c>
      <c r="CE214" s="89">
        <v>64.705147999999994</v>
      </c>
      <c r="CF214" s="89">
        <v>-78.276494</v>
      </c>
      <c r="CG214" s="89">
        <v>1345.4559999999999</v>
      </c>
      <c r="CH214" s="89"/>
      <c r="CI214" s="88">
        <v>81582.2</v>
      </c>
      <c r="CJ214" s="89">
        <v>23095.5</v>
      </c>
      <c r="CK214" s="89">
        <v>12442.4</v>
      </c>
      <c r="CL214" s="89">
        <v>10653.1</v>
      </c>
      <c r="CM214" s="89">
        <v>68472.2</v>
      </c>
      <c r="CN214" s="89">
        <v>-9985.5</v>
      </c>
      <c r="CO214" s="88">
        <v>43238.2</v>
      </c>
      <c r="CP214" s="89">
        <v>-15930.5</v>
      </c>
      <c r="CQ214" s="89">
        <v>4632.3</v>
      </c>
      <c r="CR214" s="89">
        <v>-20562.8</v>
      </c>
      <c r="CS214" s="89">
        <v>67364.899999999994</v>
      </c>
      <c r="CT214" s="89">
        <v>-8196.2000000000007</v>
      </c>
      <c r="CU214" s="88">
        <v>46256.391944769392</v>
      </c>
      <c r="CV214" s="89">
        <v>17782.677787946141</v>
      </c>
      <c r="CW214" s="89">
        <v>18487.772009759163</v>
      </c>
      <c r="CX214" s="89">
        <v>-705.09422181302011</v>
      </c>
      <c r="CY214" s="89">
        <v>28473.714156823251</v>
      </c>
      <c r="CZ214" s="89"/>
      <c r="DA214" s="88">
        <v>64977.046317855966</v>
      </c>
      <c r="DB214" s="89">
        <v>-7840.5395664995358</v>
      </c>
      <c r="DC214" s="89">
        <v>-11212.105505905056</v>
      </c>
      <c r="DD214" s="89">
        <v>3371.5659394055201</v>
      </c>
      <c r="DE214" s="89">
        <v>109758.92753167558</v>
      </c>
      <c r="DF214" s="89">
        <v>-36941.341647320085</v>
      </c>
      <c r="DG214" s="88">
        <v>257414.65484999999</v>
      </c>
      <c r="DH214" s="89">
        <v>120542.59585</v>
      </c>
      <c r="DI214" s="89"/>
      <c r="DJ214" s="89"/>
      <c r="DK214" s="89">
        <v>142954.96100000001</v>
      </c>
      <c r="DL214" s="89">
        <v>-6082.902</v>
      </c>
      <c r="DM214" s="88">
        <v>4013043.5413904102</v>
      </c>
      <c r="DN214" s="89">
        <v>1649021.365</v>
      </c>
      <c r="DO214" s="89">
        <v>1493934.0649999999</v>
      </c>
      <c r="DP214" s="89">
        <v>155087.29999999999</v>
      </c>
      <c r="DQ214" s="89">
        <v>2364022.176</v>
      </c>
      <c r="DR214" s="89"/>
      <c r="DS214" s="88">
        <v>58410.34412970976</v>
      </c>
      <c r="DT214" s="89">
        <v>36716.862218393828</v>
      </c>
      <c r="DU214" s="89">
        <v>35751.54400323634</v>
      </c>
      <c r="DV214" s="89">
        <v>965.31821515748595</v>
      </c>
      <c r="DW214" s="89">
        <v>35822.074424216516</v>
      </c>
      <c r="DX214" s="89">
        <v>-14128.592512900577</v>
      </c>
      <c r="DY214" s="88">
        <v>9173.1625830000012</v>
      </c>
      <c r="DZ214" s="89">
        <f t="shared" si="15"/>
        <v>-179.65110400000015</v>
      </c>
      <c r="EA214" s="89">
        <v>971.26720899999998</v>
      </c>
      <c r="EB214" s="89">
        <v>-1150.9183130000001</v>
      </c>
      <c r="EC214" s="89">
        <v>9352.8136870000017</v>
      </c>
      <c r="ED214" s="89"/>
      <c r="EE214" s="88">
        <v>11434.060650582691</v>
      </c>
      <c r="EF214" s="89">
        <v>-1117.3090709300002</v>
      </c>
      <c r="EG214" s="89">
        <v>-1117.3557810100001</v>
      </c>
      <c r="EH214" s="89">
        <v>4.6710080000000001E-2</v>
      </c>
      <c r="EI214" s="89">
        <v>16860.436936499998</v>
      </c>
      <c r="EJ214" s="89">
        <v>-4309.0672149873053</v>
      </c>
      <c r="EK214" s="88">
        <v>7859690.4997367309</v>
      </c>
      <c r="EL214" s="89">
        <v>-1642432.5159891699</v>
      </c>
      <c r="EM214" s="89">
        <v>-1099155.8878915599</v>
      </c>
      <c r="EN214" s="89">
        <v>-543276.6280976102</v>
      </c>
      <c r="EO214" s="89">
        <v>9642958.0929089002</v>
      </c>
      <c r="EP214" s="89">
        <v>-140835.07718299999</v>
      </c>
      <c r="EQ214" s="88">
        <v>57384.732081560011</v>
      </c>
      <c r="ER214" s="89">
        <v>-14609.877353119999</v>
      </c>
      <c r="ES214" s="89"/>
      <c r="ET214" s="89"/>
      <c r="EU214" s="89">
        <v>102381.21202932</v>
      </c>
      <c r="EV214" s="89">
        <v>-30386.60259463999</v>
      </c>
      <c r="EW214" s="88">
        <v>497394.57608647447</v>
      </c>
      <c r="EX214" s="89">
        <f t="shared" si="17"/>
        <v>214437.67179208001</v>
      </c>
      <c r="EY214" s="89">
        <v>204089.50722023001</v>
      </c>
      <c r="EZ214" s="89">
        <v>10348.16457185</v>
      </c>
      <c r="FA214" s="89">
        <v>267617.46295240003</v>
      </c>
      <c r="FB214" s="89">
        <v>15339.441341994461</v>
      </c>
      <c r="FC214" s="88">
        <v>1517.9188350000002</v>
      </c>
      <c r="FD214" s="89">
        <v>410.66683499999999</v>
      </c>
      <c r="FE214" s="89">
        <v>754.09303499999999</v>
      </c>
      <c r="FF214" s="89">
        <v>-343.42619999999999</v>
      </c>
      <c r="FG214" s="89">
        <v>1107.252</v>
      </c>
      <c r="FH214" s="89"/>
      <c r="FI214" s="88">
        <v>833.17616799999996</v>
      </c>
      <c r="FJ214" s="89">
        <v>-44.900832000000023</v>
      </c>
      <c r="FK214" s="89">
        <v>22.394572999999976</v>
      </c>
      <c r="FL214" s="89">
        <v>-67.295405000000002</v>
      </c>
      <c r="FM214" s="89">
        <v>878.077</v>
      </c>
      <c r="FN214" s="89"/>
      <c r="FO214" s="88">
        <v>2747.186647</v>
      </c>
      <c r="FP214" s="89">
        <v>-209.769353</v>
      </c>
      <c r="FQ214" s="89">
        <v>38.144522999999985</v>
      </c>
      <c r="FR214" s="89">
        <v>-247.91387599999999</v>
      </c>
      <c r="FS214" s="89">
        <v>2956.9560000000001</v>
      </c>
      <c r="FT214" s="89"/>
      <c r="FU214" s="88">
        <v>1823.6000000000001</v>
      </c>
      <c r="FV214" s="89">
        <v>303.39999999999998</v>
      </c>
      <c r="FW214" s="89">
        <v>286.2</v>
      </c>
      <c r="FX214" s="89">
        <v>17.2</v>
      </c>
      <c r="FY214" s="89">
        <v>1495</v>
      </c>
      <c r="FZ214" s="89">
        <v>25.2</v>
      </c>
      <c r="GA214" s="88">
        <v>16876.400000000001</v>
      </c>
      <c r="GB214" s="89">
        <v>-17893.400000000001</v>
      </c>
      <c r="GC214" s="89">
        <v>-21928.2</v>
      </c>
      <c r="GD214" s="89">
        <v>4034.8</v>
      </c>
      <c r="GE214" s="89">
        <v>34769.800000000003</v>
      </c>
      <c r="GF214" s="89"/>
      <c r="GG214" s="88"/>
      <c r="GH214" s="89"/>
      <c r="GI214" s="89"/>
      <c r="GJ214" s="89"/>
      <c r="GK214" s="89"/>
      <c r="GL214" s="89"/>
      <c r="GM214" s="88">
        <v>141514.2609470014</v>
      </c>
      <c r="GN214" s="89">
        <v>19100.938442819377</v>
      </c>
      <c r="GO214" s="89">
        <v>18834.145204092427</v>
      </c>
      <c r="GP214" s="89">
        <v>266.79323872734699</v>
      </c>
      <c r="GQ214" s="89">
        <v>87071.541458187217</v>
      </c>
      <c r="GR214" s="89">
        <v>35341.781045994801</v>
      </c>
    </row>
    <row r="215" spans="1:200">
      <c r="A215" s="69"/>
      <c r="B215" s="93" t="s">
        <v>496</v>
      </c>
      <c r="C215" s="88">
        <v>2232.7252820000003</v>
      </c>
      <c r="D215" s="87">
        <v>-42.280718000000036</v>
      </c>
      <c r="E215" s="87">
        <v>163.45707499999997</v>
      </c>
      <c r="F215" s="87">
        <v>-205.73779300000001</v>
      </c>
      <c r="G215" s="87">
        <v>2275.0059999999999</v>
      </c>
      <c r="H215" s="87"/>
      <c r="I215" s="88">
        <v>133149.71900000001</v>
      </c>
      <c r="J215" s="89">
        <v>150275.38800000001</v>
      </c>
      <c r="K215" s="89"/>
      <c r="L215" s="89"/>
      <c r="M215" s="89">
        <v>104401.81200000001</v>
      </c>
      <c r="N215" s="89">
        <v>-121527.481</v>
      </c>
      <c r="O215" s="88">
        <v>7178.9</v>
      </c>
      <c r="P215" s="89"/>
      <c r="Q215" s="89"/>
      <c r="R215" s="89"/>
      <c r="S215" s="89"/>
      <c r="T215" s="89"/>
      <c r="U215" s="88">
        <v>5977.7885900000001</v>
      </c>
      <c r="V215" s="89">
        <v>1182.4325899999999</v>
      </c>
      <c r="W215" s="89">
        <v>643.53558999999996</v>
      </c>
      <c r="X215" s="89">
        <v>538.89700000000005</v>
      </c>
      <c r="Y215" s="89">
        <v>4795.3559999999998</v>
      </c>
      <c r="Z215" s="89"/>
      <c r="AA215" s="88">
        <v>1726.2059999999999</v>
      </c>
      <c r="AB215" s="89">
        <v>262.14699999999999</v>
      </c>
      <c r="AC215" s="89">
        <v>246.98</v>
      </c>
      <c r="AD215" s="89">
        <v>15.167</v>
      </c>
      <c r="AE215" s="89">
        <v>1464.059</v>
      </c>
      <c r="AF215" s="89"/>
      <c r="AG215" s="88">
        <v>42324.494629692519</v>
      </c>
      <c r="AH215" s="89">
        <v>8615.0139255002978</v>
      </c>
      <c r="AI215" s="89">
        <v>8615.0139255002978</v>
      </c>
      <c r="AJ215" s="89"/>
      <c r="AK215" s="89">
        <v>33709.480704192218</v>
      </c>
      <c r="AL215" s="89"/>
      <c r="AM215" s="88">
        <v>2214942</v>
      </c>
      <c r="AN215" s="89">
        <v>1022945</v>
      </c>
      <c r="AO215" s="89">
        <v>1005895</v>
      </c>
      <c r="AP215" s="89">
        <v>17050</v>
      </c>
      <c r="AQ215" s="89">
        <v>986025</v>
      </c>
      <c r="AR215" s="89">
        <v>205971</v>
      </c>
      <c r="AS215" s="88">
        <v>48473000</v>
      </c>
      <c r="AT215" s="89">
        <v>-2280000</v>
      </c>
      <c r="AU215" s="89">
        <v>-2280000</v>
      </c>
      <c r="AV215" s="89"/>
      <c r="AW215" s="89">
        <v>55273000</v>
      </c>
      <c r="AX215" s="89">
        <v>-4518000</v>
      </c>
      <c r="AY215" s="88">
        <v>123814910.96771003</v>
      </c>
      <c r="AZ215" s="89">
        <f t="shared" si="16"/>
        <v>19692009.286297556</v>
      </c>
      <c r="BA215" s="89">
        <v>11974085.602557555</v>
      </c>
      <c r="BB215" s="89">
        <v>7717923.6837400002</v>
      </c>
      <c r="BC215" s="89">
        <v>104122901.68141247</v>
      </c>
      <c r="BD215" s="89"/>
      <c r="BE215" s="88">
        <v>5565686.2250607498</v>
      </c>
      <c r="BF215" s="89">
        <v>387142.47870311001</v>
      </c>
      <c r="BG215" s="89">
        <v>332347.66091614001</v>
      </c>
      <c r="BH215" s="89">
        <v>54794.817786970001</v>
      </c>
      <c r="BI215" s="89">
        <v>5254139.1732186805</v>
      </c>
      <c r="BJ215" s="89">
        <v>-75595.426861040003</v>
      </c>
      <c r="BK215" s="88">
        <v>405.78154600000005</v>
      </c>
      <c r="BL215" s="89">
        <v>-123.156454</v>
      </c>
      <c r="BM215" s="89">
        <v>-59.561126999999992</v>
      </c>
      <c r="BN215" s="89">
        <v>-63.595326999999997</v>
      </c>
      <c r="BO215" s="89">
        <v>528.93799999999999</v>
      </c>
      <c r="BP215" s="89"/>
      <c r="BQ215" s="88">
        <v>7507.2699999999995</v>
      </c>
      <c r="BR215" s="89">
        <v>-3351.2599999999998</v>
      </c>
      <c r="BS215" s="89">
        <v>-1668.3599999999997</v>
      </c>
      <c r="BT215" s="89">
        <v>-1682.9</v>
      </c>
      <c r="BU215" s="89">
        <v>10858.529999999999</v>
      </c>
      <c r="BV215" s="89"/>
      <c r="BW215" s="88">
        <v>10258.371658514749</v>
      </c>
      <c r="BX215" s="89">
        <v>2998.9267469147499</v>
      </c>
      <c r="BY215" s="89">
        <v>2852.4171122647499</v>
      </c>
      <c r="BZ215" s="89">
        <v>146.50963465000001</v>
      </c>
      <c r="CA215" s="89">
        <v>8459.1626071999999</v>
      </c>
      <c r="CB215" s="89">
        <v>-1199.7176955999996</v>
      </c>
      <c r="CC215" s="88">
        <v>1333.2521750000001</v>
      </c>
      <c r="CD215" s="89">
        <v>-18.696825000000018</v>
      </c>
      <c r="CE215" s="89">
        <v>58.844458999999986</v>
      </c>
      <c r="CF215" s="89">
        <v>-77.541284000000005</v>
      </c>
      <c r="CG215" s="89">
        <v>1351.9490000000001</v>
      </c>
      <c r="CH215" s="89"/>
      <c r="CI215" s="88">
        <v>83955.7</v>
      </c>
      <c r="CJ215" s="89">
        <v>24208.400000000001</v>
      </c>
      <c r="CK215" s="89">
        <v>13254.7</v>
      </c>
      <c r="CL215" s="89">
        <v>10953.7</v>
      </c>
      <c r="CM215" s="89">
        <v>69288.800000000003</v>
      </c>
      <c r="CN215" s="89">
        <v>-9541.5</v>
      </c>
      <c r="CO215" s="88">
        <v>43351.9</v>
      </c>
      <c r="CP215" s="89">
        <v>-16259.2</v>
      </c>
      <c r="CQ215" s="89">
        <v>4526</v>
      </c>
      <c r="CR215" s="89">
        <v>-20785.2</v>
      </c>
      <c r="CS215" s="89">
        <v>67870.5</v>
      </c>
      <c r="CT215" s="89">
        <v>-8259.4</v>
      </c>
      <c r="CU215" s="88">
        <v>46278.049426129262</v>
      </c>
      <c r="CV215" s="89">
        <v>17389.538607612161</v>
      </c>
      <c r="CW215" s="89">
        <v>17773.12</v>
      </c>
      <c r="CX215" s="89">
        <v>-383.58139238783809</v>
      </c>
      <c r="CY215" s="89">
        <v>28888.510818517101</v>
      </c>
      <c r="CZ215" s="89"/>
      <c r="DA215" s="88">
        <v>67561.462463747404</v>
      </c>
      <c r="DB215" s="89">
        <v>-7470.1068005404031</v>
      </c>
      <c r="DC215" s="89">
        <v>-10870.074945645923</v>
      </c>
      <c r="DD215" s="89">
        <v>3399.9681451055203</v>
      </c>
      <c r="DE215" s="89">
        <v>112928.70801696568</v>
      </c>
      <c r="DF215" s="89">
        <v>-37897.138752677871</v>
      </c>
      <c r="DG215" s="88">
        <v>264177.51882</v>
      </c>
      <c r="DH215" s="89">
        <v>127069.39081999999</v>
      </c>
      <c r="DI215" s="89"/>
      <c r="DJ215" s="89"/>
      <c r="DK215" s="89">
        <v>146620.72</v>
      </c>
      <c r="DL215" s="89">
        <v>-9512.5920000000006</v>
      </c>
      <c r="DM215" s="88">
        <v>3992695.6833996298</v>
      </c>
      <c r="DN215" s="89">
        <v>1624004.83</v>
      </c>
      <c r="DO215" s="89">
        <v>1477749.33</v>
      </c>
      <c r="DP215" s="89">
        <v>146255.5</v>
      </c>
      <c r="DQ215" s="89">
        <v>2368690.8530000001</v>
      </c>
      <c r="DR215" s="89"/>
      <c r="DS215" s="88">
        <v>58212.079703934847</v>
      </c>
      <c r="DT215" s="89">
        <v>35993.67624408791</v>
      </c>
      <c r="DU215" s="89">
        <v>35092.379416512573</v>
      </c>
      <c r="DV215" s="89">
        <v>901.29682757534022</v>
      </c>
      <c r="DW215" s="89">
        <v>36819.137483071165</v>
      </c>
      <c r="DX215" s="89">
        <v>-14600.734023224237</v>
      </c>
      <c r="DY215" s="88">
        <v>9335.4746569999988</v>
      </c>
      <c r="DZ215" s="89">
        <f t="shared" si="15"/>
        <v>-201.57114599999989</v>
      </c>
      <c r="EA215" s="89">
        <v>930.05505099999993</v>
      </c>
      <c r="EB215" s="89">
        <v>-1131.6261969999998</v>
      </c>
      <c r="EC215" s="89">
        <v>9537.0458029999991</v>
      </c>
      <c r="ED215" s="89"/>
      <c r="EE215" s="88">
        <v>11861.204680892453</v>
      </c>
      <c r="EF215" s="89">
        <v>-989.18244998999978</v>
      </c>
      <c r="EG215" s="89">
        <v>-989.24391994999974</v>
      </c>
      <c r="EH215" s="89">
        <v>6.1469959999999997E-2</v>
      </c>
      <c r="EI215" s="89">
        <v>17102.179371300001</v>
      </c>
      <c r="EJ215" s="89">
        <v>-4251.7922404175461</v>
      </c>
      <c r="EK215" s="88">
        <v>8380596.3309436496</v>
      </c>
      <c r="EL215" s="89">
        <v>-1665562.8730448806</v>
      </c>
      <c r="EM215" s="89">
        <v>-1109494.3327739304</v>
      </c>
      <c r="EN215" s="89">
        <v>-556068.54027095006</v>
      </c>
      <c r="EO215" s="89">
        <v>10172264.47472783</v>
      </c>
      <c r="EP215" s="89">
        <v>-126105.27073929997</v>
      </c>
      <c r="EQ215" s="88">
        <v>54457.505150719982</v>
      </c>
      <c r="ER215" s="89">
        <v>-15544.75410928</v>
      </c>
      <c r="ES215" s="89"/>
      <c r="ET215" s="89"/>
      <c r="EU215" s="89">
        <v>101564.30389616001</v>
      </c>
      <c r="EV215" s="89">
        <v>-31562.044636160033</v>
      </c>
      <c r="EW215" s="88">
        <v>498661.07083063695</v>
      </c>
      <c r="EX215" s="89">
        <f t="shared" si="17"/>
        <v>210552.67950875001</v>
      </c>
      <c r="EY215" s="89">
        <v>200193.38094369002</v>
      </c>
      <c r="EZ215" s="89">
        <v>10359.29856506</v>
      </c>
      <c r="FA215" s="89">
        <v>273052.77673046995</v>
      </c>
      <c r="FB215" s="89">
        <v>15055.614591416936</v>
      </c>
      <c r="FC215" s="88">
        <v>1535.1679590000003</v>
      </c>
      <c r="FD215" s="89">
        <v>407.77795900000007</v>
      </c>
      <c r="FE215" s="89">
        <v>760.20964000000004</v>
      </c>
      <c r="FF215" s="89">
        <v>-352.43168099999997</v>
      </c>
      <c r="FG215" s="89">
        <v>1127.3900000000001</v>
      </c>
      <c r="FH215" s="89"/>
      <c r="FI215" s="88">
        <v>859.02226300000007</v>
      </c>
      <c r="FJ215" s="89">
        <v>-14.746736999999996</v>
      </c>
      <c r="FK215" s="89">
        <v>39.068668000000002</v>
      </c>
      <c r="FL215" s="89">
        <v>-53.815404999999998</v>
      </c>
      <c r="FM215" s="89">
        <v>873.76900000000001</v>
      </c>
      <c r="FN215" s="89"/>
      <c r="FO215" s="88">
        <v>2791.0776080000001</v>
      </c>
      <c r="FP215" s="89">
        <v>-222.38939199999999</v>
      </c>
      <c r="FQ215" s="89">
        <v>17.213483999999998</v>
      </c>
      <c r="FR215" s="89">
        <v>-239.60287599999998</v>
      </c>
      <c r="FS215" s="89">
        <v>3013.4670000000001</v>
      </c>
      <c r="FT215" s="89"/>
      <c r="FU215" s="88">
        <v>1886.3999999999999</v>
      </c>
      <c r="FV215" s="89">
        <v>305.09999999999997</v>
      </c>
      <c r="FW215" s="89">
        <v>288.39999999999998</v>
      </c>
      <c r="FX215" s="89">
        <v>16.7</v>
      </c>
      <c r="FY215" s="89">
        <v>1555.1</v>
      </c>
      <c r="FZ215" s="89">
        <v>26.2</v>
      </c>
      <c r="GA215" s="88">
        <v>17967.099999999999</v>
      </c>
      <c r="GB215" s="89">
        <v>-17256.5</v>
      </c>
      <c r="GC215" s="89">
        <v>-21283.4</v>
      </c>
      <c r="GD215" s="89">
        <v>4026.9</v>
      </c>
      <c r="GE215" s="89">
        <v>35223.599999999999</v>
      </c>
      <c r="GF215" s="89"/>
      <c r="GG215" s="88"/>
      <c r="GH215" s="89"/>
      <c r="GI215" s="89"/>
      <c r="GJ215" s="89"/>
      <c r="GK215" s="89"/>
      <c r="GL215" s="89"/>
      <c r="GM215" s="88">
        <v>142259.90126438838</v>
      </c>
      <c r="GN215" s="89">
        <v>17106.977939785349</v>
      </c>
      <c r="GO215" s="89">
        <v>16801.045690035189</v>
      </c>
      <c r="GP215" s="89">
        <v>305.93224975015966</v>
      </c>
      <c r="GQ215" s="89">
        <v>91118.99095368998</v>
      </c>
      <c r="GR215" s="89">
        <v>34033.932370913048</v>
      </c>
    </row>
    <row r="216" spans="1:200">
      <c r="A216" s="69"/>
      <c r="B216" s="93" t="s">
        <v>497</v>
      </c>
      <c r="C216" s="88">
        <v>2244.5814150000001</v>
      </c>
      <c r="D216" s="87">
        <v>-36.904585000000026</v>
      </c>
      <c r="E216" s="87">
        <v>178.58466999999999</v>
      </c>
      <c r="F216" s="87">
        <v>-215.48925500000001</v>
      </c>
      <c r="G216" s="87">
        <v>2281.4859999999999</v>
      </c>
      <c r="H216" s="87"/>
      <c r="I216" s="88">
        <v>135846.065</v>
      </c>
      <c r="J216" s="89">
        <v>152661.61499999999</v>
      </c>
      <c r="K216" s="89"/>
      <c r="L216" s="89"/>
      <c r="M216" s="89">
        <v>107321.68700000001</v>
      </c>
      <c r="N216" s="89">
        <v>-124137.23699999999</v>
      </c>
      <c r="O216" s="88">
        <v>7259.1</v>
      </c>
      <c r="P216" s="89"/>
      <c r="Q216" s="89"/>
      <c r="R216" s="89"/>
      <c r="S216" s="89"/>
      <c r="T216" s="89"/>
      <c r="U216" s="88">
        <v>6083.8669399999999</v>
      </c>
      <c r="V216" s="89">
        <v>1209.1879399999998</v>
      </c>
      <c r="W216" s="89">
        <v>674.34193999999991</v>
      </c>
      <c r="X216" s="89">
        <v>534.846</v>
      </c>
      <c r="Y216" s="89">
        <v>4874.6790000000001</v>
      </c>
      <c r="Z216" s="89"/>
      <c r="AA216" s="88">
        <v>1753.6310000000001</v>
      </c>
      <c r="AB216" s="89">
        <v>268.745</v>
      </c>
      <c r="AC216" s="89">
        <v>253.18299999999999</v>
      </c>
      <c r="AD216" s="89">
        <v>15.561999999999999</v>
      </c>
      <c r="AE216" s="89">
        <v>1484.886</v>
      </c>
      <c r="AF216" s="89"/>
      <c r="AG216" s="88">
        <v>42484.316435018416</v>
      </c>
      <c r="AH216" s="89">
        <v>8250.5648058261995</v>
      </c>
      <c r="AI216" s="89">
        <v>8250.5648058261995</v>
      </c>
      <c r="AJ216" s="89"/>
      <c r="AK216" s="89">
        <v>34233.751629192215</v>
      </c>
      <c r="AL216" s="89"/>
      <c r="AM216" s="88">
        <v>2260465</v>
      </c>
      <c r="AN216" s="89">
        <v>1032814</v>
      </c>
      <c r="AO216" s="89">
        <v>1015914</v>
      </c>
      <c r="AP216" s="89">
        <v>16900</v>
      </c>
      <c r="AQ216" s="89">
        <v>1020074</v>
      </c>
      <c r="AR216" s="89">
        <v>207577</v>
      </c>
      <c r="AS216" s="88">
        <v>49124000</v>
      </c>
      <c r="AT216" s="89">
        <v>-2732000</v>
      </c>
      <c r="AU216" s="89">
        <v>-2732000</v>
      </c>
      <c r="AV216" s="89"/>
      <c r="AW216" s="89">
        <v>56340000</v>
      </c>
      <c r="AX216" s="89">
        <v>-4504000</v>
      </c>
      <c r="AY216" s="88">
        <v>128532259.54489934</v>
      </c>
      <c r="AZ216" s="89">
        <f t="shared" si="16"/>
        <v>21898746.291222528</v>
      </c>
      <c r="BA216" s="89">
        <v>14089911.591947298</v>
      </c>
      <c r="BB216" s="89">
        <v>7808834.6992752282</v>
      </c>
      <c r="BC216" s="89">
        <v>106633513.2536768</v>
      </c>
      <c r="BD216" s="89"/>
      <c r="BE216" s="88">
        <v>5697588.32122174</v>
      </c>
      <c r="BF216" s="89">
        <v>405475.49562611</v>
      </c>
      <c r="BG216" s="89">
        <v>347599.63482291001</v>
      </c>
      <c r="BH216" s="89">
        <v>57875.860803199997</v>
      </c>
      <c r="BI216" s="89">
        <v>5435075.2043762701</v>
      </c>
      <c r="BJ216" s="89">
        <v>-142962.37878063999</v>
      </c>
      <c r="BK216" s="88">
        <v>408.89060600000005</v>
      </c>
      <c r="BL216" s="89">
        <v>-141.60839399999998</v>
      </c>
      <c r="BM216" s="89">
        <v>-73.087364999999991</v>
      </c>
      <c r="BN216" s="89">
        <v>-68.521028999999999</v>
      </c>
      <c r="BO216" s="89">
        <v>550.49900000000002</v>
      </c>
      <c r="BP216" s="89"/>
      <c r="BQ216" s="88">
        <v>7414.0999999999985</v>
      </c>
      <c r="BR216" s="89">
        <v>-3547.4400000000005</v>
      </c>
      <c r="BS216" s="89">
        <v>-1669.7100000000005</v>
      </c>
      <c r="BT216" s="89">
        <v>-1877.73</v>
      </c>
      <c r="BU216" s="89">
        <v>10961.539999999999</v>
      </c>
      <c r="BV216" s="89"/>
      <c r="BW216" s="88">
        <v>10364.500679831197</v>
      </c>
      <c r="BX216" s="89">
        <v>3023.0540401512008</v>
      </c>
      <c r="BY216" s="89">
        <v>2866.2613579612007</v>
      </c>
      <c r="BZ216" s="89">
        <v>156.79268218999999</v>
      </c>
      <c r="CA216" s="89">
        <v>8516.760872609997</v>
      </c>
      <c r="CB216" s="89">
        <v>-1175.3142329300017</v>
      </c>
      <c r="CC216" s="88">
        <v>1387.688159</v>
      </c>
      <c r="CD216" s="89">
        <v>4.0421590000000123</v>
      </c>
      <c r="CE216" s="89">
        <v>95.158443000000005</v>
      </c>
      <c r="CF216" s="89">
        <v>-91.116283999999993</v>
      </c>
      <c r="CG216" s="89">
        <v>1383.646</v>
      </c>
      <c r="CH216" s="89"/>
      <c r="CI216" s="88">
        <v>84992.4</v>
      </c>
      <c r="CJ216" s="89">
        <v>25438</v>
      </c>
      <c r="CK216" s="89">
        <v>14224.7</v>
      </c>
      <c r="CL216" s="89">
        <v>11213.300000000001</v>
      </c>
      <c r="CM216" s="89">
        <v>69762.8</v>
      </c>
      <c r="CN216" s="89">
        <v>-10208.4</v>
      </c>
      <c r="CO216" s="88">
        <v>44720.7</v>
      </c>
      <c r="CP216" s="89">
        <v>-15060.3</v>
      </c>
      <c r="CQ216" s="89">
        <v>4669.3</v>
      </c>
      <c r="CR216" s="89">
        <v>-19729.599999999999</v>
      </c>
      <c r="CS216" s="89">
        <v>68297.7</v>
      </c>
      <c r="CT216" s="89">
        <v>-8516.7999999999993</v>
      </c>
      <c r="CU216" s="88">
        <v>48340.53</v>
      </c>
      <c r="CV216" s="89">
        <v>18368.149999999998</v>
      </c>
      <c r="CW216" s="89">
        <v>18946.89</v>
      </c>
      <c r="CX216" s="89">
        <v>-578.74</v>
      </c>
      <c r="CY216" s="89">
        <v>29972.379999999997</v>
      </c>
      <c r="CZ216" s="89"/>
      <c r="DA216" s="88">
        <v>69469.617204980546</v>
      </c>
      <c r="DB216" s="89">
        <v>-7768.1834495134326</v>
      </c>
      <c r="DC216" s="89">
        <v>-11020.608006718952</v>
      </c>
      <c r="DD216" s="89">
        <v>3252.4245572055197</v>
      </c>
      <c r="DE216" s="89">
        <v>115682.57519601259</v>
      </c>
      <c r="DF216" s="89">
        <v>-38444.774541518607</v>
      </c>
      <c r="DG216" s="88">
        <v>265703.42190999998</v>
      </c>
      <c r="DH216" s="89">
        <v>118914.08991</v>
      </c>
      <c r="DI216" s="89"/>
      <c r="DJ216" s="89"/>
      <c r="DK216" s="89">
        <v>153886.07699999999</v>
      </c>
      <c r="DL216" s="89">
        <v>-7096.7449999999999</v>
      </c>
      <c r="DM216" s="88">
        <v>4024643.0253909901</v>
      </c>
      <c r="DN216" s="89">
        <v>1622675.5050000001</v>
      </c>
      <c r="DO216" s="89">
        <v>1483720.2050000001</v>
      </c>
      <c r="DP216" s="89">
        <v>138955.29999999999</v>
      </c>
      <c r="DQ216" s="89">
        <v>2401967.52</v>
      </c>
      <c r="DR216" s="89"/>
      <c r="DS216" s="88">
        <v>58682.458446211866</v>
      </c>
      <c r="DT216" s="89">
        <v>35189.725945545651</v>
      </c>
      <c r="DU216" s="89">
        <v>34288.408180092352</v>
      </c>
      <c r="DV216" s="89">
        <v>901.31776545330104</v>
      </c>
      <c r="DW216" s="89">
        <v>37625.590662461371</v>
      </c>
      <c r="DX216" s="89">
        <v>-14132.858161795159</v>
      </c>
      <c r="DY216" s="88">
        <v>9714.6866050000008</v>
      </c>
      <c r="DZ216" s="89">
        <f t="shared" si="15"/>
        <v>-219.7520300000001</v>
      </c>
      <c r="EA216" s="89">
        <v>672.85733499999992</v>
      </c>
      <c r="EB216" s="89">
        <v>-892.60936500000003</v>
      </c>
      <c r="EC216" s="89">
        <v>9934.4386350000004</v>
      </c>
      <c r="ED216" s="89"/>
      <c r="EE216" s="88">
        <v>12395.512662142555</v>
      </c>
      <c r="EF216" s="89">
        <v>-976.87239970999985</v>
      </c>
      <c r="EG216" s="89">
        <v>-977.01608132999991</v>
      </c>
      <c r="EH216" s="89">
        <v>0.14368161999999998</v>
      </c>
      <c r="EI216" s="89">
        <v>17373.554348149999</v>
      </c>
      <c r="EJ216" s="89">
        <v>-4001.1692862974451</v>
      </c>
      <c r="EK216" s="88">
        <v>8855237.7533880621</v>
      </c>
      <c r="EL216" s="89">
        <v>-1729503.4567975195</v>
      </c>
      <c r="EM216" s="89">
        <v>-1178337.2385387095</v>
      </c>
      <c r="EN216" s="89">
        <v>-551166.21825881</v>
      </c>
      <c r="EO216" s="89">
        <v>10704607.009884682</v>
      </c>
      <c r="EP216" s="89">
        <v>-119865.79969910001</v>
      </c>
      <c r="EQ216" s="88">
        <v>56674.482954890002</v>
      </c>
      <c r="ER216" s="89">
        <v>-16129.86520615</v>
      </c>
      <c r="ES216" s="89"/>
      <c r="ET216" s="89"/>
      <c r="EU216" s="89">
        <v>104047.46588579001</v>
      </c>
      <c r="EV216" s="89">
        <v>-31243.117724750002</v>
      </c>
      <c r="EW216" s="88">
        <v>505893.44458665967</v>
      </c>
      <c r="EX216" s="89">
        <f t="shared" si="17"/>
        <v>213277.38383064</v>
      </c>
      <c r="EY216" s="89">
        <v>202646.10105130001</v>
      </c>
      <c r="EZ216" s="89">
        <v>10631.282779339999</v>
      </c>
      <c r="FA216" s="89">
        <v>278804.93906250002</v>
      </c>
      <c r="FB216" s="89">
        <v>13811.121693519595</v>
      </c>
      <c r="FC216" s="88">
        <v>1525.4752770000002</v>
      </c>
      <c r="FD216" s="89">
        <v>375.32527699999997</v>
      </c>
      <c r="FE216" s="89">
        <v>459.91078199999998</v>
      </c>
      <c r="FF216" s="89">
        <v>-84.585504999999998</v>
      </c>
      <c r="FG216" s="89">
        <v>1150.1500000000001</v>
      </c>
      <c r="FH216" s="89"/>
      <c r="FI216" s="88">
        <v>843.07176000000004</v>
      </c>
      <c r="FJ216" s="89">
        <v>-34.963239999999985</v>
      </c>
      <c r="FK216" s="89">
        <v>20.639165000000009</v>
      </c>
      <c r="FL216" s="89">
        <v>-55.602404999999997</v>
      </c>
      <c r="FM216" s="89">
        <v>878.03499999999997</v>
      </c>
      <c r="FN216" s="89"/>
      <c r="FO216" s="88">
        <v>2846.0415789999997</v>
      </c>
      <c r="FP216" s="89">
        <v>-214.55042100000003</v>
      </c>
      <c r="FQ216" s="89">
        <v>20.12845499999996</v>
      </c>
      <c r="FR216" s="89">
        <v>-234.678876</v>
      </c>
      <c r="FS216" s="89">
        <v>3060.5920000000001</v>
      </c>
      <c r="FT216" s="89"/>
      <c r="FU216" s="88">
        <v>1915.3</v>
      </c>
      <c r="FV216" s="89">
        <v>275.5</v>
      </c>
      <c r="FW216" s="89">
        <v>258.7</v>
      </c>
      <c r="FX216" s="89">
        <v>16.8</v>
      </c>
      <c r="FY216" s="89">
        <v>1610.7</v>
      </c>
      <c r="FZ216" s="89">
        <v>29.1</v>
      </c>
      <c r="GA216" s="88">
        <v>18247.5</v>
      </c>
      <c r="GB216" s="89">
        <v>-17420.3</v>
      </c>
      <c r="GC216" s="89">
        <v>-21915.5</v>
      </c>
      <c r="GD216" s="89">
        <v>4495.2</v>
      </c>
      <c r="GE216" s="89">
        <v>35667.699999999997</v>
      </c>
      <c r="GF216" s="89"/>
      <c r="GG216" s="88"/>
      <c r="GH216" s="89"/>
      <c r="GI216" s="89"/>
      <c r="GJ216" s="89"/>
      <c r="GK216" s="89"/>
      <c r="GL216" s="89"/>
      <c r="GM216" s="88">
        <v>146143.24105012589</v>
      </c>
      <c r="GN216" s="89">
        <v>19283.920010453247</v>
      </c>
      <c r="GO216" s="89">
        <v>18940.025875618267</v>
      </c>
      <c r="GP216" s="89">
        <v>343.89413483497873</v>
      </c>
      <c r="GQ216" s="89">
        <v>95768.06736196889</v>
      </c>
      <c r="GR216" s="89">
        <v>31091.253677703742</v>
      </c>
    </row>
    <row r="217" spans="1:200">
      <c r="A217" s="69"/>
      <c r="B217" s="93" t="s">
        <v>498</v>
      </c>
      <c r="C217" s="88">
        <v>2298.1572290000004</v>
      </c>
      <c r="D217" s="87">
        <v>-32.24977100000001</v>
      </c>
      <c r="E217" s="87">
        <v>192.83435</v>
      </c>
      <c r="F217" s="87">
        <v>-225.08412100000001</v>
      </c>
      <c r="G217" s="87">
        <v>2330.4070000000002</v>
      </c>
      <c r="H217" s="87"/>
      <c r="I217" s="88">
        <v>137662.31399999998</v>
      </c>
      <c r="J217" s="89">
        <v>151196.783</v>
      </c>
      <c r="K217" s="89"/>
      <c r="L217" s="89"/>
      <c r="M217" s="89">
        <v>110418.15300000001</v>
      </c>
      <c r="N217" s="89">
        <v>-123952.622</v>
      </c>
      <c r="O217" s="88">
        <v>7330.8</v>
      </c>
      <c r="P217" s="89"/>
      <c r="Q217" s="89"/>
      <c r="R217" s="89"/>
      <c r="S217" s="89"/>
      <c r="T217" s="89"/>
      <c r="U217" s="88">
        <v>6205.5317599999998</v>
      </c>
      <c r="V217" s="89">
        <v>1309.05376</v>
      </c>
      <c r="W217" s="89">
        <v>715.68676000000005</v>
      </c>
      <c r="X217" s="89">
        <v>593.36699999999996</v>
      </c>
      <c r="Y217" s="89">
        <v>4896.4780000000001</v>
      </c>
      <c r="Z217" s="89"/>
      <c r="AA217" s="88">
        <v>1792.548</v>
      </c>
      <c r="AB217" s="89">
        <v>276.38600000000002</v>
      </c>
      <c r="AC217" s="89">
        <v>260.65100000000001</v>
      </c>
      <c r="AD217" s="89">
        <v>15.734999999999999</v>
      </c>
      <c r="AE217" s="89">
        <v>1516.162</v>
      </c>
      <c r="AF217" s="89"/>
      <c r="AG217" s="88">
        <v>42650.414947666992</v>
      </c>
      <c r="AH217" s="89">
        <v>8154.4632391491996</v>
      </c>
      <c r="AI217" s="89">
        <v>8154.4632391491996</v>
      </c>
      <c r="AJ217" s="89"/>
      <c r="AK217" s="89">
        <v>34495.951708517794</v>
      </c>
      <c r="AL217" s="89"/>
      <c r="AM217" s="88">
        <v>2321672</v>
      </c>
      <c r="AN217" s="89">
        <v>1060584</v>
      </c>
      <c r="AO217" s="89">
        <v>1043791</v>
      </c>
      <c r="AP217" s="89">
        <v>16793</v>
      </c>
      <c r="AQ217" s="89">
        <v>1046741</v>
      </c>
      <c r="AR217" s="89">
        <v>214348</v>
      </c>
      <c r="AS217" s="88">
        <v>50116000</v>
      </c>
      <c r="AT217" s="89">
        <v>-2334000</v>
      </c>
      <c r="AU217" s="89">
        <v>-2334000</v>
      </c>
      <c r="AV217" s="89"/>
      <c r="AW217" s="89">
        <v>57173000</v>
      </c>
      <c r="AX217" s="89">
        <v>-4723000</v>
      </c>
      <c r="AY217" s="88">
        <v>129216478.20673388</v>
      </c>
      <c r="AZ217" s="89">
        <f t="shared" si="16"/>
        <v>21697988.38810645</v>
      </c>
      <c r="BA217" s="89">
        <v>13873832.919434451</v>
      </c>
      <c r="BB217" s="89">
        <v>7824155.4686720008</v>
      </c>
      <c r="BC217" s="89">
        <v>107518489.81862742</v>
      </c>
      <c r="BD217" s="89"/>
      <c r="BE217" s="88">
        <v>5861336.0027915798</v>
      </c>
      <c r="BF217" s="89">
        <v>391736.57310977997</v>
      </c>
      <c r="BG217" s="89">
        <v>333967.33478973998</v>
      </c>
      <c r="BH217" s="89">
        <v>57769.23832004</v>
      </c>
      <c r="BI217" s="89">
        <v>5671710.3883826798</v>
      </c>
      <c r="BJ217" s="89">
        <v>-202110.95870088</v>
      </c>
      <c r="BK217" s="88">
        <v>444.37156800000002</v>
      </c>
      <c r="BL217" s="89">
        <v>-117.22743199999999</v>
      </c>
      <c r="BM217" s="89">
        <v>-48.115387000000005</v>
      </c>
      <c r="BN217" s="89">
        <v>-69.112044999999995</v>
      </c>
      <c r="BO217" s="89">
        <v>561.59900000000005</v>
      </c>
      <c r="BP217" s="89"/>
      <c r="BQ217" s="88">
        <v>7531.58</v>
      </c>
      <c r="BR217" s="89">
        <v>-3525.91</v>
      </c>
      <c r="BS217" s="89">
        <v>-1565.4199999999998</v>
      </c>
      <c r="BT217" s="89">
        <v>-1960.49</v>
      </c>
      <c r="BU217" s="89">
        <v>11057.49</v>
      </c>
      <c r="BV217" s="89"/>
      <c r="BW217" s="88">
        <v>10428.570743159904</v>
      </c>
      <c r="BX217" s="89">
        <v>3115.814739509904</v>
      </c>
      <c r="BY217" s="89">
        <v>2946.9169544099041</v>
      </c>
      <c r="BZ217" s="89">
        <v>168.89778510000002</v>
      </c>
      <c r="CA217" s="89">
        <v>8562.117120859999</v>
      </c>
      <c r="CB217" s="89">
        <v>-1249.36111721</v>
      </c>
      <c r="CC217" s="88">
        <v>1376.9259029999998</v>
      </c>
      <c r="CD217" s="89">
        <v>-16.373096999999987</v>
      </c>
      <c r="CE217" s="89">
        <v>87.011187000000007</v>
      </c>
      <c r="CF217" s="89">
        <v>-103.38428399999999</v>
      </c>
      <c r="CG217" s="89">
        <v>1393.299</v>
      </c>
      <c r="CH217" s="89"/>
      <c r="CI217" s="88">
        <v>85542.5</v>
      </c>
      <c r="CJ217" s="89">
        <v>24922</v>
      </c>
      <c r="CK217" s="89">
        <v>13466.4</v>
      </c>
      <c r="CL217" s="89">
        <v>11455.6</v>
      </c>
      <c r="CM217" s="89">
        <v>71154.2</v>
      </c>
      <c r="CN217" s="89">
        <v>-10533.7</v>
      </c>
      <c r="CO217" s="88">
        <v>40419.5</v>
      </c>
      <c r="CP217" s="89">
        <v>-21307.1</v>
      </c>
      <c r="CQ217" s="89">
        <v>359.4</v>
      </c>
      <c r="CR217" s="89">
        <v>-21666.5</v>
      </c>
      <c r="CS217" s="89">
        <v>70216.399999999994</v>
      </c>
      <c r="CT217" s="89">
        <v>-8489.9</v>
      </c>
      <c r="CU217" s="88">
        <v>49252.789999999994</v>
      </c>
      <c r="CV217" s="89">
        <v>18934.37</v>
      </c>
      <c r="CW217" s="89">
        <v>19692.03</v>
      </c>
      <c r="CX217" s="89">
        <v>-757.66000000000008</v>
      </c>
      <c r="CY217" s="89">
        <v>30318.42</v>
      </c>
      <c r="CZ217" s="89"/>
      <c r="DA217" s="88">
        <v>71183.519905353838</v>
      </c>
      <c r="DB217" s="89">
        <v>-7541.6423971840595</v>
      </c>
      <c r="DC217" s="89">
        <v>-11201.73086142958</v>
      </c>
      <c r="DD217" s="89">
        <v>3660.0884642455198</v>
      </c>
      <c r="DE217" s="89">
        <v>118301.12004559301</v>
      </c>
      <c r="DF217" s="89">
        <v>-39575.957743055136</v>
      </c>
      <c r="DG217" s="88">
        <v>273214.18735999998</v>
      </c>
      <c r="DH217" s="89">
        <v>122978.07836</v>
      </c>
      <c r="DI217" s="89"/>
      <c r="DJ217" s="89"/>
      <c r="DK217" s="89">
        <v>156126.179</v>
      </c>
      <c r="DL217" s="89">
        <v>-5890.07</v>
      </c>
      <c r="DM217" s="88">
        <v>4139803.1409624801</v>
      </c>
      <c r="DN217" s="89">
        <v>1687468.0829999999</v>
      </c>
      <c r="DO217" s="89">
        <v>1546717.3829999999</v>
      </c>
      <c r="DP217" s="89">
        <v>140750.70000000001</v>
      </c>
      <c r="DQ217" s="89">
        <v>2452335.0580000002</v>
      </c>
      <c r="DR217" s="89"/>
      <c r="DS217" s="88">
        <v>59981.758610997145</v>
      </c>
      <c r="DT217" s="89">
        <v>35422.745899421883</v>
      </c>
      <c r="DU217" s="89">
        <v>34518.338721207132</v>
      </c>
      <c r="DV217" s="89">
        <v>904.40717821475414</v>
      </c>
      <c r="DW217" s="89">
        <v>39354.282892994379</v>
      </c>
      <c r="DX217" s="89">
        <v>-14795.270181419128</v>
      </c>
      <c r="DY217" s="88">
        <v>9593.0242039999994</v>
      </c>
      <c r="DZ217" s="89">
        <f t="shared" si="15"/>
        <v>-202.51604499999985</v>
      </c>
      <c r="EA217" s="89">
        <v>969.77070600000002</v>
      </c>
      <c r="EB217" s="89">
        <v>-1172.2867509999999</v>
      </c>
      <c r="EC217" s="89">
        <v>9795.5402489999997</v>
      </c>
      <c r="ED217" s="89"/>
      <c r="EE217" s="88">
        <v>12833.807881892801</v>
      </c>
      <c r="EF217" s="89">
        <v>-955.38531565000085</v>
      </c>
      <c r="EG217" s="89">
        <v>-955.59807805000082</v>
      </c>
      <c r="EH217" s="89">
        <v>0.21276239999999999</v>
      </c>
      <c r="EI217" s="89">
        <v>17761.343918860002</v>
      </c>
      <c r="EJ217" s="89">
        <v>-3972.1507213171967</v>
      </c>
      <c r="EK217" s="88">
        <v>8856833.0201123208</v>
      </c>
      <c r="EL217" s="89">
        <v>-2082095.7977996597</v>
      </c>
      <c r="EM217" s="89">
        <v>-1446561.5467501096</v>
      </c>
      <c r="EN217" s="89">
        <v>-635534.25104955002</v>
      </c>
      <c r="EO217" s="89">
        <v>11052899.91459858</v>
      </c>
      <c r="EP217" s="89">
        <v>-113971.09668659999</v>
      </c>
      <c r="EQ217" s="88">
        <v>63331.504847999975</v>
      </c>
      <c r="ER217" s="89">
        <v>-11854.473667999997</v>
      </c>
      <c r="ES217" s="89"/>
      <c r="ET217" s="89"/>
      <c r="EU217" s="89">
        <v>104994.051851</v>
      </c>
      <c r="EV217" s="89">
        <v>-29808.073335000023</v>
      </c>
      <c r="EW217" s="88">
        <v>513193.920013653</v>
      </c>
      <c r="EX217" s="89">
        <f t="shared" si="17"/>
        <v>212777.41572028</v>
      </c>
      <c r="EY217" s="89">
        <v>202279.19080397999</v>
      </c>
      <c r="EZ217" s="89">
        <v>10498.2249163</v>
      </c>
      <c r="FA217" s="89">
        <v>286012.27407325001</v>
      </c>
      <c r="FB217" s="89">
        <v>14404.230220123023</v>
      </c>
      <c r="FC217" s="88">
        <v>1539.302553</v>
      </c>
      <c r="FD217" s="89">
        <v>388.16955300000001</v>
      </c>
      <c r="FE217" s="89">
        <v>732.112483</v>
      </c>
      <c r="FF217" s="89">
        <v>-343.94292999999999</v>
      </c>
      <c r="FG217" s="89">
        <v>1151.133</v>
      </c>
      <c r="FH217" s="89"/>
      <c r="FI217" s="88">
        <v>851.59546399999988</v>
      </c>
      <c r="FJ217" s="89">
        <v>-19.794535999999994</v>
      </c>
      <c r="FK217" s="89">
        <v>31.959948000000004</v>
      </c>
      <c r="FL217" s="89">
        <v>-51.754483999999998</v>
      </c>
      <c r="FM217" s="89">
        <v>871.39</v>
      </c>
      <c r="FN217" s="89"/>
      <c r="FO217" s="88">
        <v>2851.2477790000003</v>
      </c>
      <c r="FP217" s="89">
        <v>-248.19622099999995</v>
      </c>
      <c r="FQ217" s="89">
        <v>-12.562344999999972</v>
      </c>
      <c r="FR217" s="89">
        <v>-235.63387599999999</v>
      </c>
      <c r="FS217" s="89">
        <v>3099.444</v>
      </c>
      <c r="FT217" s="89"/>
      <c r="FU217" s="88">
        <v>1911.3</v>
      </c>
      <c r="FV217" s="89">
        <v>228</v>
      </c>
      <c r="FW217" s="89">
        <v>213.6</v>
      </c>
      <c r="FX217" s="89">
        <v>14.4</v>
      </c>
      <c r="FY217" s="89">
        <v>1656.3</v>
      </c>
      <c r="FZ217" s="89">
        <v>27</v>
      </c>
      <c r="GA217" s="88">
        <v>19239</v>
      </c>
      <c r="GB217" s="89">
        <v>-17175.2</v>
      </c>
      <c r="GC217" s="89">
        <v>-21624.9</v>
      </c>
      <c r="GD217" s="89">
        <v>4449.7</v>
      </c>
      <c r="GE217" s="89">
        <v>36414.300000000003</v>
      </c>
      <c r="GF217" s="89"/>
      <c r="GG217" s="88"/>
      <c r="GH217" s="89"/>
      <c r="GI217" s="89"/>
      <c r="GJ217" s="89"/>
      <c r="GK217" s="89"/>
      <c r="GL217" s="89"/>
      <c r="GM217" s="88">
        <v>155867.76340527</v>
      </c>
      <c r="GN217" s="89">
        <v>20628.728118434257</v>
      </c>
      <c r="GO217" s="89">
        <v>20302.63094483225</v>
      </c>
      <c r="GP217" s="89">
        <v>326.09717360200733</v>
      </c>
      <c r="GQ217" s="89">
        <v>105433.41528491054</v>
      </c>
      <c r="GR217" s="89">
        <v>29805.620001924257</v>
      </c>
    </row>
    <row r="218" spans="1:200">
      <c r="A218" s="69"/>
      <c r="B218" s="93" t="s">
        <v>499</v>
      </c>
      <c r="C218" s="88">
        <v>2336.8330870000004</v>
      </c>
      <c r="D218" s="89">
        <v>-18.763913000000031</v>
      </c>
      <c r="E218" s="89">
        <v>228.48520799999997</v>
      </c>
      <c r="F218" s="89">
        <v>-247.249121</v>
      </c>
      <c r="G218" s="89">
        <v>2355.5970000000002</v>
      </c>
      <c r="H218" s="89"/>
      <c r="I218" s="88">
        <v>140514.136</v>
      </c>
      <c r="J218" s="89">
        <v>149203.63699999999</v>
      </c>
      <c r="K218" s="89"/>
      <c r="L218" s="89"/>
      <c r="M218" s="89">
        <v>113579.902</v>
      </c>
      <c r="N218" s="89">
        <v>-122273.40300000001</v>
      </c>
      <c r="O218" s="88">
        <v>7347.3</v>
      </c>
      <c r="P218" s="89"/>
      <c r="Q218" s="89"/>
      <c r="R218" s="89"/>
      <c r="S218" s="89"/>
      <c r="T218" s="89"/>
      <c r="U218" s="88">
        <v>6256.8381399999998</v>
      </c>
      <c r="V218" s="89">
        <v>1335.0261399999999</v>
      </c>
      <c r="W218" s="89">
        <v>741.68414000000007</v>
      </c>
      <c r="X218" s="89">
        <v>593.34199999999998</v>
      </c>
      <c r="Y218" s="89">
        <v>4921.8119999999999</v>
      </c>
      <c r="Z218" s="89"/>
      <c r="AA218" s="88">
        <v>1824.7339999999999</v>
      </c>
      <c r="AB218" s="89">
        <v>283.88800000000003</v>
      </c>
      <c r="AC218" s="89">
        <v>267.35300000000001</v>
      </c>
      <c r="AD218" s="89">
        <v>16.535</v>
      </c>
      <c r="AE218" s="89">
        <v>1540.846</v>
      </c>
      <c r="AF218" s="89"/>
      <c r="AG218" s="88">
        <v>42986.1141706868</v>
      </c>
      <c r="AH218" s="89">
        <v>8144.5901124226993</v>
      </c>
      <c r="AI218" s="89">
        <v>8144.5901124226993</v>
      </c>
      <c r="AJ218" s="89"/>
      <c r="AK218" s="89">
        <v>34841.524058264098</v>
      </c>
      <c r="AL218" s="89"/>
      <c r="AM218" s="88">
        <v>2388015</v>
      </c>
      <c r="AN218" s="89">
        <v>1053346</v>
      </c>
      <c r="AO218" s="89">
        <v>1036161</v>
      </c>
      <c r="AP218" s="89">
        <v>17185</v>
      </c>
      <c r="AQ218" s="89">
        <v>1085213</v>
      </c>
      <c r="AR218" s="89">
        <v>249456</v>
      </c>
      <c r="AS218" s="88">
        <v>50772000</v>
      </c>
      <c r="AT218" s="89">
        <v>-2593000</v>
      </c>
      <c r="AU218" s="89">
        <v>-2593000</v>
      </c>
      <c r="AV218" s="89"/>
      <c r="AW218" s="89">
        <v>58583000</v>
      </c>
      <c r="AX218" s="89">
        <v>-5218000</v>
      </c>
      <c r="AY218" s="88">
        <v>138627462.72748977</v>
      </c>
      <c r="AZ218" s="89">
        <f t="shared" si="16"/>
        <v>26430664.127446618</v>
      </c>
      <c r="BA218" s="89">
        <v>18760113.159991618</v>
      </c>
      <c r="BB218" s="89">
        <v>7670550.9674549997</v>
      </c>
      <c r="BC218" s="89">
        <v>112196798.60004315</v>
      </c>
      <c r="BD218" s="89"/>
      <c r="BE218" s="88">
        <v>5925711.5908702398</v>
      </c>
      <c r="BF218" s="89">
        <v>315405.64024757</v>
      </c>
      <c r="BG218" s="89">
        <v>257926.93313446001</v>
      </c>
      <c r="BH218" s="89">
        <v>57478.707113110002</v>
      </c>
      <c r="BI218" s="89">
        <v>5826184.1576722302</v>
      </c>
      <c r="BJ218" s="89">
        <v>-215878.20704956001</v>
      </c>
      <c r="BK218" s="88">
        <v>430.31632500000001</v>
      </c>
      <c r="BL218" s="89">
        <v>-134.93667499999998</v>
      </c>
      <c r="BM218" s="89">
        <v>-62.257175999999994</v>
      </c>
      <c r="BN218" s="89">
        <v>-72.679498999999993</v>
      </c>
      <c r="BO218" s="89">
        <v>565.25300000000004</v>
      </c>
      <c r="BP218" s="89"/>
      <c r="BQ218" s="88">
        <v>7892.3099999999986</v>
      </c>
      <c r="BR218" s="89">
        <v>-3344.5299999999997</v>
      </c>
      <c r="BS218" s="89">
        <v>-1636.0399999999997</v>
      </c>
      <c r="BT218" s="89">
        <v>-1708.49</v>
      </c>
      <c r="BU218" s="89">
        <v>11236.839999999998</v>
      </c>
      <c r="BV218" s="89"/>
      <c r="BW218" s="88">
        <v>10616.594796795142</v>
      </c>
      <c r="BX218" s="89">
        <v>3242.4365866351432</v>
      </c>
      <c r="BY218" s="89">
        <v>3092.7951339951433</v>
      </c>
      <c r="BZ218" s="89">
        <v>149.64145264000001</v>
      </c>
      <c r="CA218" s="89">
        <v>8660.0503296399984</v>
      </c>
      <c r="CB218" s="89">
        <v>-1285.8921194800005</v>
      </c>
      <c r="CC218" s="88">
        <v>1387.291203</v>
      </c>
      <c r="CD218" s="89">
        <v>-8.3417970000000139</v>
      </c>
      <c r="CE218" s="89">
        <v>84.452486999999991</v>
      </c>
      <c r="CF218" s="89">
        <v>-92.794284000000005</v>
      </c>
      <c r="CG218" s="89">
        <v>1395.633</v>
      </c>
      <c r="CH218" s="89"/>
      <c r="CI218" s="88">
        <v>86839</v>
      </c>
      <c r="CJ218" s="89">
        <v>25533.800000000003</v>
      </c>
      <c r="CK218" s="89">
        <v>13692.4</v>
      </c>
      <c r="CL218" s="89">
        <v>11841.400000000001</v>
      </c>
      <c r="CM218" s="89">
        <v>72636.5</v>
      </c>
      <c r="CN218" s="89">
        <v>-11331.3</v>
      </c>
      <c r="CO218" s="88">
        <v>43903.9</v>
      </c>
      <c r="CP218" s="89">
        <v>-19353.5</v>
      </c>
      <c r="CQ218" s="89">
        <v>2013.7</v>
      </c>
      <c r="CR218" s="89">
        <v>-21367.200000000001</v>
      </c>
      <c r="CS218" s="89">
        <v>71745.100000000006</v>
      </c>
      <c r="CT218" s="89">
        <v>-8484.7999999999993</v>
      </c>
      <c r="CU218" s="88">
        <v>50182.58</v>
      </c>
      <c r="CV218" s="89">
        <v>18805.34</v>
      </c>
      <c r="CW218" s="89">
        <v>19631.740000000002</v>
      </c>
      <c r="CX218" s="89">
        <v>-826.4</v>
      </c>
      <c r="CY218" s="89">
        <v>31377.239999999998</v>
      </c>
      <c r="CZ218" s="89"/>
      <c r="DA218" s="88">
        <v>74703.474971081683</v>
      </c>
      <c r="DB218" s="89">
        <v>-6161.6825294654464</v>
      </c>
      <c r="DC218" s="89">
        <v>-10136.180498776323</v>
      </c>
      <c r="DD218" s="89">
        <v>3974.4979693108771</v>
      </c>
      <c r="DE218" s="89">
        <v>121003.99529319565</v>
      </c>
      <c r="DF218" s="89">
        <v>-40138.837792648526</v>
      </c>
      <c r="DG218" s="88">
        <v>266148.89578000002</v>
      </c>
      <c r="DH218" s="89">
        <v>117625.11778</v>
      </c>
      <c r="DI218" s="89"/>
      <c r="DJ218" s="89"/>
      <c r="DK218" s="89">
        <v>159405.66099999999</v>
      </c>
      <c r="DL218" s="89">
        <v>-10881.883</v>
      </c>
      <c r="DM218" s="88">
        <v>4110223.3333761301</v>
      </c>
      <c r="DN218" s="89">
        <v>1655990.861</v>
      </c>
      <c r="DO218" s="89">
        <v>1516784.061</v>
      </c>
      <c r="DP218" s="89">
        <v>139206.79999999999</v>
      </c>
      <c r="DQ218" s="89">
        <v>2454232.4720000001</v>
      </c>
      <c r="DR218" s="89"/>
      <c r="DS218" s="88">
        <v>61133.783494686511</v>
      </c>
      <c r="DT218" s="89">
        <v>35104.762763726219</v>
      </c>
      <c r="DU218" s="89">
        <v>34182.880756552993</v>
      </c>
      <c r="DV218" s="89">
        <v>921.882007173224</v>
      </c>
      <c r="DW218" s="89">
        <v>40575.970740867175</v>
      </c>
      <c r="DX218" s="89">
        <v>-14546.950009906874</v>
      </c>
      <c r="DY218" s="88">
        <v>9769.9806800000006</v>
      </c>
      <c r="DZ218" s="89">
        <f t="shared" si="15"/>
        <v>-186.41794199999993</v>
      </c>
      <c r="EA218" s="89">
        <v>1009.928436</v>
      </c>
      <c r="EB218" s="89">
        <v>-1196.346378</v>
      </c>
      <c r="EC218" s="89">
        <v>9956.3986219999988</v>
      </c>
      <c r="ED218" s="89"/>
      <c r="EE218" s="88">
        <v>12928.737752419212</v>
      </c>
      <c r="EF218" s="89">
        <v>-891.62396299999989</v>
      </c>
      <c r="EG218" s="89">
        <v>-891.75131560999989</v>
      </c>
      <c r="EH218" s="89">
        <v>0.12735261</v>
      </c>
      <c r="EI218" s="89">
        <v>17985.43664331</v>
      </c>
      <c r="EJ218" s="89">
        <v>-4165.0749278907861</v>
      </c>
      <c r="EK218" s="88">
        <v>9116176.4074432608</v>
      </c>
      <c r="EL218" s="89">
        <v>-2349667.7213519393</v>
      </c>
      <c r="EM218" s="89">
        <v>-1618924.3987283893</v>
      </c>
      <c r="EN218" s="89">
        <v>-730743.32262354973</v>
      </c>
      <c r="EO218" s="89">
        <v>11581193.957631201</v>
      </c>
      <c r="EP218" s="89">
        <v>-115349.82883600003</v>
      </c>
      <c r="EQ218" s="88">
        <v>62998.484559999983</v>
      </c>
      <c r="ER218" s="89">
        <v>-13425.760566999999</v>
      </c>
      <c r="ES218" s="89"/>
      <c r="ET218" s="89"/>
      <c r="EU218" s="89">
        <v>107039.867807</v>
      </c>
      <c r="EV218" s="89">
        <v>-30615.622680000015</v>
      </c>
      <c r="EW218" s="88">
        <v>521581.40361524257</v>
      </c>
      <c r="EX218" s="89">
        <f t="shared" si="17"/>
        <v>215191.89845704997</v>
      </c>
      <c r="EY218" s="89">
        <v>204788.68403410999</v>
      </c>
      <c r="EZ218" s="89">
        <v>10403.21442294</v>
      </c>
      <c r="FA218" s="89">
        <v>293795.23130478989</v>
      </c>
      <c r="FB218" s="89">
        <v>12594.273853402668</v>
      </c>
      <c r="FC218" s="88">
        <v>1553.3206620000003</v>
      </c>
      <c r="FD218" s="89">
        <v>390.5386620000001</v>
      </c>
      <c r="FE218" s="89">
        <v>732.95859200000007</v>
      </c>
      <c r="FF218" s="89">
        <v>-342.41992999999997</v>
      </c>
      <c r="FG218" s="89">
        <v>1162.7819999999999</v>
      </c>
      <c r="FH218" s="89"/>
      <c r="FI218" s="88">
        <v>898.51884100000007</v>
      </c>
      <c r="FJ218" s="89">
        <v>3.6008409999999671</v>
      </c>
      <c r="FK218" s="89">
        <v>53.846496999999971</v>
      </c>
      <c r="FL218" s="89">
        <v>-50.245656000000004</v>
      </c>
      <c r="FM218" s="89">
        <v>894.91800000000001</v>
      </c>
      <c r="FN218" s="89"/>
      <c r="FO218" s="88">
        <v>2942.2614880000006</v>
      </c>
      <c r="FP218" s="89">
        <v>-245.57751199999996</v>
      </c>
      <c r="FQ218" s="89">
        <v>-3.920634999999951</v>
      </c>
      <c r="FR218" s="89">
        <v>-241.65687700000001</v>
      </c>
      <c r="FS218" s="89">
        <v>3187.8389999999999</v>
      </c>
      <c r="FT218" s="89"/>
      <c r="FU218" s="88">
        <v>1935.2</v>
      </c>
      <c r="FV218" s="89">
        <v>211.5</v>
      </c>
      <c r="FW218" s="89">
        <v>197.4</v>
      </c>
      <c r="FX218" s="89">
        <v>14.1</v>
      </c>
      <c r="FY218" s="89">
        <v>1697.4</v>
      </c>
      <c r="FZ218" s="89">
        <v>26.3</v>
      </c>
      <c r="GA218" s="88">
        <v>20080.5</v>
      </c>
      <c r="GB218" s="89">
        <v>-16912.7</v>
      </c>
      <c r="GC218" s="89">
        <v>-21422</v>
      </c>
      <c r="GD218" s="89">
        <v>4509.3</v>
      </c>
      <c r="GE218" s="89">
        <v>36993.300000000003</v>
      </c>
      <c r="GF218" s="89"/>
      <c r="GG218" s="88"/>
      <c r="GH218" s="89"/>
      <c r="GI218" s="89"/>
      <c r="GJ218" s="89"/>
      <c r="GK218" s="89"/>
      <c r="GL218" s="89"/>
      <c r="GM218" s="88">
        <v>157555.81471583218</v>
      </c>
      <c r="GN218" s="89">
        <v>21595.194541925386</v>
      </c>
      <c r="GO218" s="89">
        <v>20880.861730578996</v>
      </c>
      <c r="GP218" s="89">
        <v>714.33281134638935</v>
      </c>
      <c r="GQ218" s="89">
        <v>109767.30480503818</v>
      </c>
      <c r="GR218" s="89">
        <v>26193.315368868603</v>
      </c>
    </row>
    <row r="219" spans="1:200" ht="12" thickBot="1">
      <c r="A219" s="102"/>
      <c r="B219" s="126" t="s">
        <v>500</v>
      </c>
      <c r="C219" s="104">
        <v>2366.0577039999998</v>
      </c>
      <c r="D219" s="105">
        <v>21.65470400000001</v>
      </c>
      <c r="E219" s="105">
        <v>242.20901900000001</v>
      </c>
      <c r="F219" s="105">
        <v>-220.554315</v>
      </c>
      <c r="G219" s="105">
        <v>2344.4029999999998</v>
      </c>
      <c r="H219" s="105"/>
      <c r="I219" s="104">
        <v>139238.96799999999</v>
      </c>
      <c r="J219" s="105">
        <v>141710.144</v>
      </c>
      <c r="K219" s="105"/>
      <c r="L219" s="105"/>
      <c r="M219" s="105">
        <v>117491.319</v>
      </c>
      <c r="N219" s="105">
        <v>-119962.495</v>
      </c>
      <c r="O219" s="104">
        <v>7434.3</v>
      </c>
      <c r="P219" s="105">
        <v>1215.9000000000001</v>
      </c>
      <c r="Q219" s="105">
        <v>866.8</v>
      </c>
      <c r="R219" s="105">
        <v>349.1</v>
      </c>
      <c r="S219" s="105">
        <v>6218.4</v>
      </c>
      <c r="T219" s="105"/>
      <c r="U219" s="104">
        <v>6172.27531</v>
      </c>
      <c r="V219" s="105">
        <v>1185.6783100000002</v>
      </c>
      <c r="W219" s="105">
        <v>576.79431000000011</v>
      </c>
      <c r="X219" s="105">
        <v>608.88400000000001</v>
      </c>
      <c r="Y219" s="105">
        <v>4986.5969999999998</v>
      </c>
      <c r="Z219" s="105"/>
      <c r="AA219" s="104">
        <v>1799.556</v>
      </c>
      <c r="AB219" s="105">
        <v>236.25099999999998</v>
      </c>
      <c r="AC219" s="105">
        <v>220.38399999999999</v>
      </c>
      <c r="AD219" s="105">
        <v>15.867000000000001</v>
      </c>
      <c r="AE219" s="105">
        <v>1563.3050000000001</v>
      </c>
      <c r="AF219" s="105"/>
      <c r="AG219" s="104">
        <v>43212.509260075974</v>
      </c>
      <c r="AH219" s="105">
        <v>8235.9285997551997</v>
      </c>
      <c r="AI219" s="105">
        <v>8235.9285997551997</v>
      </c>
      <c r="AJ219" s="105"/>
      <c r="AK219" s="105">
        <v>34976.580660320775</v>
      </c>
      <c r="AL219" s="105"/>
      <c r="AM219" s="104">
        <v>2375207</v>
      </c>
      <c r="AN219" s="105">
        <v>1063359</v>
      </c>
      <c r="AO219" s="105">
        <v>1045751</v>
      </c>
      <c r="AP219" s="105">
        <v>17608</v>
      </c>
      <c r="AQ219" s="105">
        <v>1106901</v>
      </c>
      <c r="AR219" s="105">
        <v>204947</v>
      </c>
      <c r="AS219" s="104">
        <v>52098000</v>
      </c>
      <c r="AT219" s="105">
        <v>-2965000</v>
      </c>
      <c r="AU219" s="105">
        <v>-2965000</v>
      </c>
      <c r="AV219" s="105"/>
      <c r="AW219" s="105">
        <v>59795000</v>
      </c>
      <c r="AX219" s="105">
        <v>-4732000</v>
      </c>
      <c r="AY219" s="104">
        <v>138158638.33047277</v>
      </c>
      <c r="AZ219" s="105">
        <f t="shared" si="16"/>
        <v>25811460.676011868</v>
      </c>
      <c r="BA219" s="105">
        <v>17865478.298991866</v>
      </c>
      <c r="BB219" s="105">
        <v>7945982.3770200005</v>
      </c>
      <c r="BC219" s="105">
        <v>112347177.65446091</v>
      </c>
      <c r="BD219" s="105"/>
      <c r="BE219" s="104">
        <v>6057769.99041053</v>
      </c>
      <c r="BF219" s="108">
        <v>365094.23915519001</v>
      </c>
      <c r="BG219" s="108">
        <v>307763.53431441</v>
      </c>
      <c r="BH219" s="108">
        <v>57330.704840780003</v>
      </c>
      <c r="BI219" s="108">
        <v>6025679.6878397502</v>
      </c>
      <c r="BJ219" s="108">
        <v>-333003.93658441002</v>
      </c>
      <c r="BK219" s="109">
        <v>437.81110000000001</v>
      </c>
      <c r="BL219" s="108">
        <v>-127.2379</v>
      </c>
      <c r="BM219" s="108">
        <v>-53.726702999999993</v>
      </c>
      <c r="BN219" s="108">
        <v>-73.511196999999996</v>
      </c>
      <c r="BO219" s="108">
        <v>565.04899999999998</v>
      </c>
      <c r="BP219" s="108"/>
      <c r="BQ219" s="109">
        <v>8226.19</v>
      </c>
      <c r="BR219" s="108">
        <v>-3168.92</v>
      </c>
      <c r="BS219" s="108">
        <v>-1745.3799999999999</v>
      </c>
      <c r="BT219" s="108">
        <v>-1423.54</v>
      </c>
      <c r="BU219" s="108">
        <v>11395.11</v>
      </c>
      <c r="BV219" s="108"/>
      <c r="BW219" s="109">
        <v>11061.642741618001</v>
      </c>
      <c r="BX219" s="105">
        <v>3413.8084182679995</v>
      </c>
      <c r="BY219" s="105">
        <v>3253.2205407379997</v>
      </c>
      <c r="BZ219" s="105">
        <v>160.58787753000001</v>
      </c>
      <c r="CA219" s="105">
        <v>8766.8857801699996</v>
      </c>
      <c r="CB219" s="105">
        <v>-1119.0514568199985</v>
      </c>
      <c r="CC219" s="104">
        <v>1412.016781</v>
      </c>
      <c r="CD219" s="105">
        <v>-13.144219000000007</v>
      </c>
      <c r="CE219" s="105">
        <v>103.689065</v>
      </c>
      <c r="CF219" s="105">
        <v>-116.83328400000001</v>
      </c>
      <c r="CG219" s="105">
        <v>1425.1610000000001</v>
      </c>
      <c r="CH219" s="105"/>
      <c r="CI219" s="104">
        <v>90432.4</v>
      </c>
      <c r="CJ219" s="105">
        <v>27140.5</v>
      </c>
      <c r="CK219" s="105">
        <v>15132.4</v>
      </c>
      <c r="CL219" s="105">
        <v>12008.1</v>
      </c>
      <c r="CM219" s="105">
        <v>73772.5</v>
      </c>
      <c r="CN219" s="105">
        <v>-10480.6</v>
      </c>
      <c r="CO219" s="104">
        <v>44988.5</v>
      </c>
      <c r="CP219" s="105">
        <v>-19061.900000000001</v>
      </c>
      <c r="CQ219" s="105">
        <v>3522.2</v>
      </c>
      <c r="CR219" s="105">
        <v>-22584.100000000002</v>
      </c>
      <c r="CS219" s="108">
        <v>73346.899999999994</v>
      </c>
      <c r="CT219" s="108">
        <v>-9296.5</v>
      </c>
      <c r="CU219" s="109">
        <v>49142.020000000004</v>
      </c>
      <c r="CV219" s="108">
        <v>17834.550000000003</v>
      </c>
      <c r="CW219" s="108">
        <v>18476.650000000001</v>
      </c>
      <c r="CX219" s="108">
        <v>-642.1</v>
      </c>
      <c r="CY219" s="108">
        <v>31307.47</v>
      </c>
      <c r="CZ219" s="108"/>
      <c r="DA219" s="109">
        <v>78119.426259006519</v>
      </c>
      <c r="DB219" s="108">
        <v>-4944.5486610555799</v>
      </c>
      <c r="DC219" s="108">
        <v>-8978.8452866306634</v>
      </c>
      <c r="DD219" s="108">
        <v>4034.296625575083</v>
      </c>
      <c r="DE219" s="108">
        <v>123365.80027229121</v>
      </c>
      <c r="DF219" s="108">
        <v>-40301.82535222912</v>
      </c>
      <c r="DG219" s="109">
        <v>270973.95357000001</v>
      </c>
      <c r="DH219" s="108">
        <v>114051.32457</v>
      </c>
      <c r="DI219" s="108"/>
      <c r="DJ219" s="108"/>
      <c r="DK219" s="108">
        <v>162269.274</v>
      </c>
      <c r="DL219" s="108">
        <v>-5346.6450000000004</v>
      </c>
      <c r="DM219" s="109">
        <v>4212541.7917052796</v>
      </c>
      <c r="DN219" s="108">
        <v>1750249.318</v>
      </c>
      <c r="DO219" s="108">
        <v>1600960.118</v>
      </c>
      <c r="DP219" s="108">
        <v>149289.20000000001</v>
      </c>
      <c r="DQ219" s="108">
        <v>2462292.4739999999</v>
      </c>
      <c r="DR219" s="108"/>
      <c r="DS219" s="109">
        <v>64239.005103859869</v>
      </c>
      <c r="DT219" s="108">
        <v>36307.571613559703</v>
      </c>
      <c r="DU219" s="108">
        <v>35300.512524055041</v>
      </c>
      <c r="DV219" s="108">
        <v>1007.0590895046601</v>
      </c>
      <c r="DW219" s="108">
        <v>45142.439631079949</v>
      </c>
      <c r="DX219" s="108">
        <v>-17211.006140779784</v>
      </c>
      <c r="DY219" s="109">
        <v>10142.711245999999</v>
      </c>
      <c r="DZ219" s="108">
        <f t="shared" si="15"/>
        <v>-65.101052000000209</v>
      </c>
      <c r="EA219" s="108">
        <v>1129.2036499999999</v>
      </c>
      <c r="EB219" s="108">
        <v>-1194.3047020000001</v>
      </c>
      <c r="EC219" s="108">
        <v>10207.812298000001</v>
      </c>
      <c r="ED219" s="108"/>
      <c r="EE219" s="109">
        <v>12548.906655033607</v>
      </c>
      <c r="EF219" s="108">
        <v>-1520.7407408299998</v>
      </c>
      <c r="EG219" s="108">
        <v>-1540.6381048599999</v>
      </c>
      <c r="EH219" s="108">
        <v>19.897364030000002</v>
      </c>
      <c r="EI219" s="108">
        <v>17924.733807030003</v>
      </c>
      <c r="EJ219" s="108">
        <v>-3855.0864111663986</v>
      </c>
      <c r="EK219" s="109">
        <v>10008600.261529271</v>
      </c>
      <c r="EL219" s="108">
        <v>-1719550.23266161</v>
      </c>
      <c r="EM219" s="108">
        <v>-1132485.97078803</v>
      </c>
      <c r="EN219" s="108">
        <v>-587064.26187358017</v>
      </c>
      <c r="EO219" s="108">
        <v>11985194.062042881</v>
      </c>
      <c r="EP219" s="108">
        <v>-257043.56785199998</v>
      </c>
      <c r="EQ219" s="109">
        <v>63296.751594000008</v>
      </c>
      <c r="ER219" s="108">
        <v>-13766.075673000003</v>
      </c>
      <c r="ES219" s="105"/>
      <c r="ET219" s="105"/>
      <c r="EU219" s="105">
        <v>108509.42331300001</v>
      </c>
      <c r="EV219" s="105">
        <v>-31446.596045999991</v>
      </c>
      <c r="EW219" s="104">
        <v>545066.05059031467</v>
      </c>
      <c r="EX219" s="105">
        <f t="shared" si="17"/>
        <v>252911.28022441998</v>
      </c>
      <c r="EY219" s="105">
        <v>242292.52312197999</v>
      </c>
      <c r="EZ219" s="105">
        <v>10618.75710244</v>
      </c>
      <c r="FA219" s="105">
        <v>302012.78074167995</v>
      </c>
      <c r="FB219" s="105">
        <v>-9858.0103757852849</v>
      </c>
      <c r="FC219" s="104">
        <v>1566.269266</v>
      </c>
      <c r="FD219" s="105">
        <v>392.91326600000002</v>
      </c>
      <c r="FE219" s="105">
        <v>734.73346600000002</v>
      </c>
      <c r="FF219" s="105">
        <v>-341.8202</v>
      </c>
      <c r="FG219" s="105">
        <v>1173.356</v>
      </c>
      <c r="FH219" s="105"/>
      <c r="FI219" s="104">
        <v>933.84894900000006</v>
      </c>
      <c r="FJ219" s="105">
        <v>34.645948999999995</v>
      </c>
      <c r="FK219" s="105">
        <v>87.799410999999992</v>
      </c>
      <c r="FL219" s="105">
        <v>-53.153461999999998</v>
      </c>
      <c r="FM219" s="105">
        <v>899.20299999999997</v>
      </c>
      <c r="FN219" s="103"/>
      <c r="FO219" s="104">
        <v>3112.2552010000004</v>
      </c>
      <c r="FP219" s="105">
        <v>-226.25079899999997</v>
      </c>
      <c r="FQ219" s="105">
        <v>17.162078000000037</v>
      </c>
      <c r="FR219" s="105">
        <v>-243.41287700000001</v>
      </c>
      <c r="FS219" s="105">
        <v>3338.5059999999999</v>
      </c>
      <c r="FT219" s="105"/>
      <c r="FU219" s="104">
        <v>1925.6</v>
      </c>
      <c r="FV219" s="105">
        <v>151.6</v>
      </c>
      <c r="FW219" s="105">
        <v>139.1</v>
      </c>
      <c r="FX219" s="105">
        <v>12.5</v>
      </c>
      <c r="FY219" s="105">
        <v>1746.5</v>
      </c>
      <c r="FZ219" s="105">
        <v>27.5</v>
      </c>
      <c r="GA219" s="104">
        <v>20164.8</v>
      </c>
      <c r="GB219" s="108">
        <v>-17470.099999999999</v>
      </c>
      <c r="GC219" s="108">
        <v>-22293</v>
      </c>
      <c r="GD219" s="108">
        <v>4822.8999999999996</v>
      </c>
      <c r="GE219" s="108">
        <v>37635.199999999997</v>
      </c>
      <c r="GF219" s="108"/>
      <c r="GG219" s="109"/>
      <c r="GH219" s="108"/>
      <c r="GI219" s="108"/>
      <c r="GJ219" s="108"/>
      <c r="GK219" s="108"/>
      <c r="GL219" s="108"/>
      <c r="GM219" s="109">
        <v>159042.81470890026</v>
      </c>
      <c r="GN219" s="108">
        <v>21279.778479794841</v>
      </c>
      <c r="GO219" s="108">
        <v>20590.246859496321</v>
      </c>
      <c r="GP219" s="108">
        <v>689.53162029851978</v>
      </c>
      <c r="GQ219" s="108">
        <v>112529.56342658005</v>
      </c>
      <c r="GR219" s="129">
        <v>25233.472802525375</v>
      </c>
    </row>
    <row r="220" spans="1:200">
      <c r="A220" s="86">
        <v>2008</v>
      </c>
      <c r="B220" s="93" t="s">
        <v>489</v>
      </c>
      <c r="C220" s="88">
        <v>2320.719231</v>
      </c>
      <c r="D220" s="87">
        <v>-47.579769000000027</v>
      </c>
      <c r="E220" s="87">
        <v>210.520546</v>
      </c>
      <c r="F220" s="87">
        <v>-258.10031500000002</v>
      </c>
      <c r="G220" s="87">
        <v>2368.299</v>
      </c>
      <c r="H220" s="87"/>
      <c r="I220" s="88">
        <v>148747.35700000002</v>
      </c>
      <c r="J220" s="89">
        <v>161584.07800000001</v>
      </c>
      <c r="K220" s="89"/>
      <c r="L220" s="89"/>
      <c r="M220" s="89">
        <v>120080.742</v>
      </c>
      <c r="N220" s="89">
        <v>-132917.46299999999</v>
      </c>
      <c r="O220" s="88">
        <v>7506.1</v>
      </c>
      <c r="P220" s="89"/>
      <c r="Q220" s="89"/>
      <c r="R220" s="89"/>
      <c r="S220" s="89"/>
      <c r="T220" s="89"/>
      <c r="U220" s="88">
        <v>6173.3849900000005</v>
      </c>
      <c r="V220" s="89">
        <v>1205.9979899999998</v>
      </c>
      <c r="W220" s="89">
        <v>589.51698999999996</v>
      </c>
      <c r="X220" s="89">
        <v>616.48099999999999</v>
      </c>
      <c r="Y220" s="89">
        <v>4967.3870000000006</v>
      </c>
      <c r="Z220" s="89"/>
      <c r="AA220" s="88">
        <v>1774.0609999999999</v>
      </c>
      <c r="AB220" s="89">
        <v>223.76600000000002</v>
      </c>
      <c r="AC220" s="89">
        <v>208.54900000000001</v>
      </c>
      <c r="AD220" s="89">
        <v>15.217000000000001</v>
      </c>
      <c r="AE220" s="89">
        <v>1550.2950000000001</v>
      </c>
      <c r="AF220" s="89"/>
      <c r="AG220" s="88">
        <v>43021.505020915225</v>
      </c>
      <c r="AH220" s="89">
        <v>8195.0796450588005</v>
      </c>
      <c r="AI220" s="89">
        <v>8195.0796450588005</v>
      </c>
      <c r="AJ220" s="89"/>
      <c r="AK220" s="89">
        <v>34826.425375856423</v>
      </c>
      <c r="AL220" s="89"/>
      <c r="AM220" s="88">
        <v>2411781</v>
      </c>
      <c r="AN220" s="89">
        <v>1051775</v>
      </c>
      <c r="AO220" s="89">
        <v>1033806</v>
      </c>
      <c r="AP220" s="89">
        <v>17969</v>
      </c>
      <c r="AQ220" s="89">
        <v>1114844</v>
      </c>
      <c r="AR220" s="89">
        <v>245163</v>
      </c>
      <c r="AS220" s="88">
        <v>53073000</v>
      </c>
      <c r="AT220" s="89">
        <v>-2599000</v>
      </c>
      <c r="AU220" s="89">
        <v>-2599000</v>
      </c>
      <c r="AV220" s="89"/>
      <c r="AW220" s="89">
        <v>60292000</v>
      </c>
      <c r="AX220" s="89">
        <v>-4620000</v>
      </c>
      <c r="AY220" s="88">
        <v>136967008.97035927</v>
      </c>
      <c r="AZ220" s="89">
        <f t="shared" si="16"/>
        <v>24841114.478119679</v>
      </c>
      <c r="BA220" s="89">
        <v>16986627.96994077</v>
      </c>
      <c r="BB220" s="89">
        <v>7854486.5081789084</v>
      </c>
      <c r="BC220" s="89">
        <v>112125894.49223958</v>
      </c>
      <c r="BD220" s="89"/>
      <c r="BE220" s="88">
        <v>6017201.0834223097</v>
      </c>
      <c r="BF220" s="89">
        <v>380799.29661472002</v>
      </c>
      <c r="BG220" s="89">
        <v>322892.88073688</v>
      </c>
      <c r="BH220" s="89">
        <v>57906.415877840001</v>
      </c>
      <c r="BI220" s="89">
        <v>6036969.5852783695</v>
      </c>
      <c r="BJ220" s="89">
        <v>-400567.79847078002</v>
      </c>
      <c r="BK220" s="88">
        <v>441.63119399999999</v>
      </c>
      <c r="BL220" s="89">
        <v>-128.60680600000001</v>
      </c>
      <c r="BM220" s="89">
        <v>-49.856244999999994</v>
      </c>
      <c r="BN220" s="89">
        <v>-78.750561000000005</v>
      </c>
      <c r="BO220" s="89">
        <v>570.23800000000006</v>
      </c>
      <c r="BP220" s="89"/>
      <c r="BQ220" s="88">
        <v>8273.7400000000016</v>
      </c>
      <c r="BR220" s="89">
        <v>-3205.9700000000003</v>
      </c>
      <c r="BS220" s="89">
        <v>-1762.3900000000003</v>
      </c>
      <c r="BT220" s="89">
        <v>-1443.58</v>
      </c>
      <c r="BU220" s="89">
        <v>11479.710000000001</v>
      </c>
      <c r="BV220" s="89"/>
      <c r="BW220" s="88">
        <v>11021.540582610996</v>
      </c>
      <c r="BX220" s="89">
        <v>3416.3729337309946</v>
      </c>
      <c r="BY220" s="89">
        <v>3239.1640950409947</v>
      </c>
      <c r="BZ220" s="89">
        <v>177.20883868999999</v>
      </c>
      <c r="CA220" s="89">
        <v>8850.0777305700012</v>
      </c>
      <c r="CB220" s="89">
        <v>-1244.9100816899997</v>
      </c>
      <c r="CC220" s="88">
        <v>1415.4001659999999</v>
      </c>
      <c r="CD220" s="89">
        <v>-45.570834000000005</v>
      </c>
      <c r="CE220" s="89">
        <v>75.61645</v>
      </c>
      <c r="CF220" s="89">
        <v>-121.18728400000001</v>
      </c>
      <c r="CG220" s="89">
        <v>1460.971</v>
      </c>
      <c r="CH220" s="89"/>
      <c r="CI220" s="88">
        <v>89385.5</v>
      </c>
      <c r="CJ220" s="89">
        <v>26491.7</v>
      </c>
      <c r="CK220" s="89">
        <v>14330.7</v>
      </c>
      <c r="CL220" s="89">
        <v>12161</v>
      </c>
      <c r="CM220" s="89">
        <v>73009.399999999994</v>
      </c>
      <c r="CN220" s="89">
        <v>-10115.700000000001</v>
      </c>
      <c r="CO220" s="88">
        <v>46285.5</v>
      </c>
      <c r="CP220" s="89">
        <v>-16973.099999999999</v>
      </c>
      <c r="CQ220" s="89">
        <v>5334.9</v>
      </c>
      <c r="CR220" s="89">
        <v>-22308</v>
      </c>
      <c r="CS220" s="89">
        <v>73027.899999999994</v>
      </c>
      <c r="CT220" s="89">
        <v>-9769.2999999999993</v>
      </c>
      <c r="CU220" s="88">
        <v>51521.114189667984</v>
      </c>
      <c r="CV220" s="89">
        <v>19750.313028321758</v>
      </c>
      <c r="CW220" s="89">
        <v>20043.285541149133</v>
      </c>
      <c r="CX220" s="89">
        <v>-292.97251282737341</v>
      </c>
      <c r="CY220" s="89">
        <v>31770.801161346226</v>
      </c>
      <c r="CZ220" s="89"/>
      <c r="DA220" s="88">
        <v>78225.633424014959</v>
      </c>
      <c r="DB220" s="89">
        <v>-6664.10204695627</v>
      </c>
      <c r="DC220" s="89">
        <v>-10701.04266490179</v>
      </c>
      <c r="DD220" s="89">
        <v>4036.94061794552</v>
      </c>
      <c r="DE220" s="89">
        <v>124837.30498762666</v>
      </c>
      <c r="DF220" s="89">
        <v>-39947.569516655429</v>
      </c>
      <c r="DG220" s="88">
        <v>270630.77945999999</v>
      </c>
      <c r="DH220" s="89">
        <v>119451.31346</v>
      </c>
      <c r="DI220" s="89"/>
      <c r="DJ220" s="89"/>
      <c r="DK220" s="89">
        <v>163245.86300000001</v>
      </c>
      <c r="DL220" s="89">
        <v>-12066.397000000001</v>
      </c>
      <c r="DM220" s="88">
        <v>4212464.2135039503</v>
      </c>
      <c r="DN220" s="89">
        <v>1709860.254</v>
      </c>
      <c r="DO220" s="89">
        <v>1555245.3540000001</v>
      </c>
      <c r="DP220" s="89">
        <v>154614.9</v>
      </c>
      <c r="DQ220" s="89">
        <v>2502603.96</v>
      </c>
      <c r="DR220" s="89"/>
      <c r="DS220" s="88">
        <v>65055.532370577879</v>
      </c>
      <c r="DT220" s="89">
        <v>37030.328508799466</v>
      </c>
      <c r="DU220" s="89">
        <v>36180.091393749659</v>
      </c>
      <c r="DV220" s="89">
        <v>850.23711504980668</v>
      </c>
      <c r="DW220" s="89">
        <v>46738.212369078348</v>
      </c>
      <c r="DX220" s="89">
        <v>-18713.008507299943</v>
      </c>
      <c r="DY220" s="88">
        <v>10094.875696000001</v>
      </c>
      <c r="DZ220" s="89">
        <f t="shared" si="15"/>
        <v>-207.22657400000003</v>
      </c>
      <c r="EA220" s="89">
        <v>1021.532156</v>
      </c>
      <c r="EB220" s="89">
        <v>-1228.75873</v>
      </c>
      <c r="EC220" s="89">
        <v>10302.102269999999</v>
      </c>
      <c r="ED220" s="89"/>
      <c r="EE220" s="88">
        <v>12708.584818557196</v>
      </c>
      <c r="EF220" s="89">
        <v>-1458.8403377820005</v>
      </c>
      <c r="EG220" s="89">
        <v>-1458.9222229820004</v>
      </c>
      <c r="EH220" s="89">
        <v>8.1885199999999991E-2</v>
      </c>
      <c r="EI220" s="89">
        <v>18165.665030400003</v>
      </c>
      <c r="EJ220" s="89">
        <v>-3998.2398740608078</v>
      </c>
      <c r="EK220" s="88">
        <v>9902153.8153505139</v>
      </c>
      <c r="EL220" s="89">
        <v>-1937923.5408162808</v>
      </c>
      <c r="EM220" s="89">
        <v>-1258166.2872687806</v>
      </c>
      <c r="EN220" s="89">
        <v>-679757.25354750012</v>
      </c>
      <c r="EO220" s="89">
        <v>12089627.453807894</v>
      </c>
      <c r="EP220" s="89">
        <v>-249550.0976411</v>
      </c>
      <c r="EQ220" s="88">
        <v>60257.32343253</v>
      </c>
      <c r="ER220" s="89">
        <v>-14699.502468699999</v>
      </c>
      <c r="ES220" s="89"/>
      <c r="ET220" s="89"/>
      <c r="EU220" s="89">
        <v>106783.59323336001</v>
      </c>
      <c r="EV220" s="89">
        <v>-31826.76733213001</v>
      </c>
      <c r="EW220" s="88">
        <v>551036.47469507565</v>
      </c>
      <c r="EX220" s="89">
        <f t="shared" si="17"/>
        <v>253810.01649278001</v>
      </c>
      <c r="EY220" s="89">
        <v>242489.92201967002</v>
      </c>
      <c r="EZ220" s="89">
        <v>11320.094473109999</v>
      </c>
      <c r="FA220" s="89">
        <v>306742.65972372005</v>
      </c>
      <c r="FB220" s="89">
        <v>-9516.2015214244966</v>
      </c>
      <c r="FC220" s="88">
        <v>1592.8568</v>
      </c>
      <c r="FD220" s="89">
        <v>390.1318</v>
      </c>
      <c r="FE220" s="89">
        <v>729.50346999999999</v>
      </c>
      <c r="FF220" s="89">
        <v>-339.37166999999999</v>
      </c>
      <c r="FG220" s="89">
        <v>1202.7249999999999</v>
      </c>
      <c r="FH220" s="89"/>
      <c r="FI220" s="88">
        <v>908.65689199999997</v>
      </c>
      <c r="FJ220" s="89">
        <v>20.577892000000013</v>
      </c>
      <c r="FK220" s="89">
        <v>63.334548000000012</v>
      </c>
      <c r="FL220" s="89">
        <v>-42.756656</v>
      </c>
      <c r="FM220" s="89">
        <v>888.07899999999995</v>
      </c>
      <c r="FN220" s="89"/>
      <c r="FO220" s="88">
        <v>3133.133859</v>
      </c>
      <c r="FP220" s="89">
        <v>-233.45914099999996</v>
      </c>
      <c r="FQ220" s="89">
        <v>4.1557360000000338</v>
      </c>
      <c r="FR220" s="89">
        <v>-237.61487700000001</v>
      </c>
      <c r="FS220" s="89">
        <v>3366.5929999999998</v>
      </c>
      <c r="FT220" s="89"/>
      <c r="FU220" s="88">
        <v>1932</v>
      </c>
      <c r="FV220" s="89">
        <v>118</v>
      </c>
      <c r="FW220" s="89">
        <v>105.3</v>
      </c>
      <c r="FX220" s="89">
        <v>12.7</v>
      </c>
      <c r="FY220" s="89">
        <v>1787</v>
      </c>
      <c r="FZ220" s="89">
        <v>27</v>
      </c>
      <c r="GA220" s="88">
        <v>18316.8</v>
      </c>
      <c r="GB220" s="89">
        <v>-20340.099999999999</v>
      </c>
      <c r="GC220" s="89">
        <v>-25142.7</v>
      </c>
      <c r="GD220" s="89">
        <v>4802.6000000000004</v>
      </c>
      <c r="GE220" s="89">
        <v>38656.9</v>
      </c>
      <c r="GF220" s="89"/>
      <c r="GG220" s="88"/>
      <c r="GH220" s="89"/>
      <c r="GI220" s="89"/>
      <c r="GJ220" s="89"/>
      <c r="GK220" s="89"/>
      <c r="GL220" s="89"/>
      <c r="GM220" s="88">
        <v>156210.50556749004</v>
      </c>
      <c r="GN220" s="89">
        <v>20495.996142280001</v>
      </c>
      <c r="GO220" s="89">
        <v>19809.122578780003</v>
      </c>
      <c r="GP220" s="89">
        <v>686.87356349999834</v>
      </c>
      <c r="GQ220" s="89">
        <v>110997.53967606003</v>
      </c>
      <c r="GR220" s="89">
        <v>24716.969749150001</v>
      </c>
    </row>
    <row r="221" spans="1:200">
      <c r="A221" s="69"/>
      <c r="B221" s="93" t="s">
        <v>490</v>
      </c>
      <c r="C221" s="88">
        <v>2356.1837099999998</v>
      </c>
      <c r="D221" s="87">
        <v>-16.007290000000012</v>
      </c>
      <c r="E221" s="87">
        <v>245.24902500000002</v>
      </c>
      <c r="F221" s="87">
        <v>-261.25631500000003</v>
      </c>
      <c r="G221" s="87">
        <v>2372.1909999999998</v>
      </c>
      <c r="H221" s="87"/>
      <c r="I221" s="88">
        <v>147680.18</v>
      </c>
      <c r="J221" s="89">
        <v>158991.46599999999</v>
      </c>
      <c r="K221" s="89"/>
      <c r="L221" s="89"/>
      <c r="M221" s="89">
        <v>121247.893</v>
      </c>
      <c r="N221" s="89">
        <v>-132559.179</v>
      </c>
      <c r="O221" s="88">
        <v>7461.7</v>
      </c>
      <c r="P221" s="89"/>
      <c r="Q221" s="89"/>
      <c r="R221" s="89"/>
      <c r="S221" s="89"/>
      <c r="T221" s="89"/>
      <c r="U221" s="88">
        <v>6316.0320899999997</v>
      </c>
      <c r="V221" s="89">
        <v>1240.22209</v>
      </c>
      <c r="W221" s="89">
        <v>610.74009000000001</v>
      </c>
      <c r="X221" s="89">
        <v>629.48199999999997</v>
      </c>
      <c r="Y221" s="89">
        <v>5075.8099999999995</v>
      </c>
      <c r="Z221" s="89"/>
      <c r="AA221" s="88">
        <v>1835.2139999999999</v>
      </c>
      <c r="AB221" s="89">
        <v>266.38299999999998</v>
      </c>
      <c r="AC221" s="89">
        <v>251.90199999999999</v>
      </c>
      <c r="AD221" s="89">
        <v>14.481</v>
      </c>
      <c r="AE221" s="89">
        <v>1568.8309999999999</v>
      </c>
      <c r="AF221" s="89"/>
      <c r="AG221" s="88">
        <v>43147.977688055384</v>
      </c>
      <c r="AH221" s="89">
        <v>8366.1189409210001</v>
      </c>
      <c r="AI221" s="89">
        <v>8366.1189409210001</v>
      </c>
      <c r="AJ221" s="89"/>
      <c r="AK221" s="89">
        <v>34781.858747134385</v>
      </c>
      <c r="AL221" s="89"/>
      <c r="AM221" s="88">
        <v>2408922</v>
      </c>
      <c r="AN221" s="89">
        <v>1046442</v>
      </c>
      <c r="AO221" s="89">
        <v>1029292</v>
      </c>
      <c r="AP221" s="89">
        <v>17150</v>
      </c>
      <c r="AQ221" s="89">
        <v>1130430</v>
      </c>
      <c r="AR221" s="89">
        <v>232050</v>
      </c>
      <c r="AS221" s="88">
        <v>53761000</v>
      </c>
      <c r="AT221" s="89">
        <v>-2726000</v>
      </c>
      <c r="AU221" s="89">
        <v>-2726000</v>
      </c>
      <c r="AV221" s="89"/>
      <c r="AW221" s="89">
        <v>61154000</v>
      </c>
      <c r="AX221" s="89">
        <v>-4667000</v>
      </c>
      <c r="AY221" s="88">
        <v>136091046.82889202</v>
      </c>
      <c r="AZ221" s="89">
        <f t="shared" si="16"/>
        <v>21363185.889577013</v>
      </c>
      <c r="BA221" s="89">
        <v>13584657.888852784</v>
      </c>
      <c r="BB221" s="89">
        <v>7778528.000724229</v>
      </c>
      <c r="BC221" s="89">
        <v>114727860.93931502</v>
      </c>
      <c r="BD221" s="89"/>
      <c r="BE221" s="88">
        <v>6122380.6866191002</v>
      </c>
      <c r="BF221" s="89">
        <v>356746.45054782002</v>
      </c>
      <c r="BG221" s="89">
        <v>298142.11251163</v>
      </c>
      <c r="BH221" s="89">
        <v>58604.338036189998</v>
      </c>
      <c r="BI221" s="89">
        <v>6196686.4982406404</v>
      </c>
      <c r="BJ221" s="89">
        <v>-431052.26216936001</v>
      </c>
      <c r="BK221" s="88">
        <v>431.474673</v>
      </c>
      <c r="BL221" s="89">
        <v>-143.81232699999998</v>
      </c>
      <c r="BM221" s="89">
        <v>-65.290517999999992</v>
      </c>
      <c r="BN221" s="89">
        <v>-78.52180899999999</v>
      </c>
      <c r="BO221" s="89">
        <v>575.28700000000003</v>
      </c>
      <c r="BP221" s="89"/>
      <c r="BQ221" s="88">
        <v>8159.5499999999993</v>
      </c>
      <c r="BR221" s="89">
        <v>-3411</v>
      </c>
      <c r="BS221" s="89">
        <v>-1880.2700000000002</v>
      </c>
      <c r="BT221" s="89">
        <v>-1530.73</v>
      </c>
      <c r="BU221" s="89">
        <v>11570.55</v>
      </c>
      <c r="BV221" s="89"/>
      <c r="BW221" s="88">
        <v>11213.91161540398</v>
      </c>
      <c r="BX221" s="89">
        <v>3495.7468359239801</v>
      </c>
      <c r="BY221" s="89">
        <v>3334.2511658939802</v>
      </c>
      <c r="BZ221" s="89">
        <v>161.49567003000001</v>
      </c>
      <c r="CA221" s="89">
        <v>8934.0371627000004</v>
      </c>
      <c r="CB221" s="89">
        <v>-1215.8723832200003</v>
      </c>
      <c r="CC221" s="88">
        <v>1415.441536</v>
      </c>
      <c r="CD221" s="89">
        <v>-41.832464000000002</v>
      </c>
      <c r="CE221" s="89">
        <v>71.234819999999999</v>
      </c>
      <c r="CF221" s="89">
        <v>-113.067284</v>
      </c>
      <c r="CG221" s="89">
        <v>1457.2739999999999</v>
      </c>
      <c r="CH221" s="89"/>
      <c r="CI221" s="88">
        <v>89855.3</v>
      </c>
      <c r="CJ221" s="89">
        <v>26550.2</v>
      </c>
      <c r="CK221" s="89">
        <v>14299.9</v>
      </c>
      <c r="CL221" s="89">
        <v>12250.300000000001</v>
      </c>
      <c r="CM221" s="89">
        <v>73319.100000000006</v>
      </c>
      <c r="CN221" s="89">
        <v>-10013.9</v>
      </c>
      <c r="CO221" s="88">
        <v>48610.7</v>
      </c>
      <c r="CP221" s="89">
        <v>-15446</v>
      </c>
      <c r="CQ221" s="89">
        <v>6707.5</v>
      </c>
      <c r="CR221" s="89">
        <v>-22153.5</v>
      </c>
      <c r="CS221" s="89">
        <v>74332.2</v>
      </c>
      <c r="CT221" s="89">
        <v>-10275.6</v>
      </c>
      <c r="CU221" s="88">
        <v>51101.922817921579</v>
      </c>
      <c r="CV221" s="89">
        <v>19107.32880735409</v>
      </c>
      <c r="CW221" s="89">
        <v>19338.057652676336</v>
      </c>
      <c r="CX221" s="89">
        <v>-230.7288453222489</v>
      </c>
      <c r="CY221" s="89">
        <v>31994.594010567489</v>
      </c>
      <c r="CZ221" s="89"/>
      <c r="DA221" s="88">
        <v>80407.429264105216</v>
      </c>
      <c r="DB221" s="89">
        <v>-6077.6919486223496</v>
      </c>
      <c r="DC221" s="89">
        <v>-10155.17124411787</v>
      </c>
      <c r="DD221" s="89">
        <v>4077.4792954955201</v>
      </c>
      <c r="DE221" s="89">
        <v>127406.19161075962</v>
      </c>
      <c r="DF221" s="89">
        <v>-40921.070398032047</v>
      </c>
      <c r="DG221" s="88">
        <v>274293.81296999997</v>
      </c>
      <c r="DH221" s="89">
        <v>119517.14297</v>
      </c>
      <c r="DI221" s="89"/>
      <c r="DJ221" s="89"/>
      <c r="DK221" s="89">
        <v>165940.978</v>
      </c>
      <c r="DL221" s="89">
        <v>-11164.308000000001</v>
      </c>
      <c r="DM221" s="88">
        <v>4197082.4042326799</v>
      </c>
      <c r="DN221" s="89">
        <v>1686318.8459999999</v>
      </c>
      <c r="DO221" s="89">
        <v>1532403.446</v>
      </c>
      <c r="DP221" s="89">
        <v>153915.4</v>
      </c>
      <c r="DQ221" s="89">
        <v>2510763.5580000002</v>
      </c>
      <c r="DR221" s="89"/>
      <c r="DS221" s="88">
        <v>66696.106927252302</v>
      </c>
      <c r="DT221" s="89">
        <v>37968.908943083734</v>
      </c>
      <c r="DU221" s="89">
        <v>37104.094004873928</v>
      </c>
      <c r="DV221" s="89">
        <v>864.81493820980506</v>
      </c>
      <c r="DW221" s="89">
        <v>47828.018486003668</v>
      </c>
      <c r="DX221" s="89">
        <v>-19100.820501835104</v>
      </c>
      <c r="DY221" s="88">
        <v>10167.881735999999</v>
      </c>
      <c r="DZ221" s="89">
        <f t="shared" si="15"/>
        <v>-158.96628599999985</v>
      </c>
      <c r="EA221" s="89">
        <v>1063.060692</v>
      </c>
      <c r="EB221" s="89">
        <v>-1222.0269779999999</v>
      </c>
      <c r="EC221" s="89">
        <v>10326.848022</v>
      </c>
      <c r="ED221" s="89"/>
      <c r="EE221" s="88">
        <v>12905.132278447545</v>
      </c>
      <c r="EF221" s="89">
        <v>-1317.2227244070002</v>
      </c>
      <c r="EG221" s="89">
        <v>-1317.3154728670002</v>
      </c>
      <c r="EH221" s="89">
        <v>9.2748460000000005E-2</v>
      </c>
      <c r="EI221" s="89">
        <v>18349.057035189999</v>
      </c>
      <c r="EJ221" s="89">
        <v>-4126.7020323354554</v>
      </c>
      <c r="EK221" s="88">
        <v>10321946.294857079</v>
      </c>
      <c r="EL221" s="89">
        <v>-1865133.2716051093</v>
      </c>
      <c r="EM221" s="89">
        <v>-1284706.3315939093</v>
      </c>
      <c r="EN221" s="89">
        <v>-580426.94001120003</v>
      </c>
      <c r="EO221" s="89">
        <v>12434639.373944189</v>
      </c>
      <c r="EP221" s="89">
        <v>-247559.80748200003</v>
      </c>
      <c r="EQ221" s="88">
        <v>62212.261806490023</v>
      </c>
      <c r="ER221" s="89">
        <v>-15401.21204554</v>
      </c>
      <c r="ES221" s="89"/>
      <c r="ET221" s="89"/>
      <c r="EU221" s="89">
        <v>108927.67211571999</v>
      </c>
      <c r="EV221" s="89">
        <v>-31314.198263689963</v>
      </c>
      <c r="EW221" s="88">
        <v>547803.46983903926</v>
      </c>
      <c r="EX221" s="89">
        <f t="shared" si="17"/>
        <v>257043.57360138997</v>
      </c>
      <c r="EY221" s="89">
        <v>245631.43286297997</v>
      </c>
      <c r="EZ221" s="89">
        <v>11412.14073841</v>
      </c>
      <c r="FA221" s="89">
        <v>309262.07791246998</v>
      </c>
      <c r="FB221" s="89">
        <v>-18502.18167482072</v>
      </c>
      <c r="FC221" s="88">
        <v>1586.4367420000001</v>
      </c>
      <c r="FD221" s="89">
        <v>389.11674200000004</v>
      </c>
      <c r="FE221" s="89">
        <v>739.28241200000002</v>
      </c>
      <c r="FF221" s="89">
        <v>-350.16566999999998</v>
      </c>
      <c r="FG221" s="89">
        <v>1197.32</v>
      </c>
      <c r="FH221" s="89"/>
      <c r="FI221" s="88">
        <v>910.05324100000007</v>
      </c>
      <c r="FJ221" s="89">
        <v>44.916240999999999</v>
      </c>
      <c r="FK221" s="89">
        <v>63.590896999999998</v>
      </c>
      <c r="FL221" s="89">
        <v>-18.674655999999999</v>
      </c>
      <c r="FM221" s="89">
        <v>865.13699999999994</v>
      </c>
      <c r="FN221" s="89"/>
      <c r="FO221" s="88">
        <v>3168.1690429999999</v>
      </c>
      <c r="FP221" s="89">
        <v>-222.55895700000002</v>
      </c>
      <c r="FQ221" s="89">
        <v>24.431919999999984</v>
      </c>
      <c r="FR221" s="89">
        <v>-246.99087700000001</v>
      </c>
      <c r="FS221" s="89">
        <v>3390.7280000000001</v>
      </c>
      <c r="FT221" s="89"/>
      <c r="FU221" s="88">
        <v>2007.5</v>
      </c>
      <c r="FV221" s="89">
        <v>150.39999999999998</v>
      </c>
      <c r="FW221" s="89">
        <v>141.69999999999999</v>
      </c>
      <c r="FX221" s="89">
        <v>8.6999999999999993</v>
      </c>
      <c r="FY221" s="89">
        <v>1831</v>
      </c>
      <c r="FZ221" s="89">
        <v>26.1</v>
      </c>
      <c r="GA221" s="88">
        <v>20317.2</v>
      </c>
      <c r="GB221" s="89">
        <v>-19210.2</v>
      </c>
      <c r="GC221" s="89">
        <v>-23416</v>
      </c>
      <c r="GD221" s="89">
        <v>4205.8</v>
      </c>
      <c r="GE221" s="89">
        <v>39527.300000000003</v>
      </c>
      <c r="GF221" s="89"/>
      <c r="GG221" s="88"/>
      <c r="GH221" s="89"/>
      <c r="GI221" s="89"/>
      <c r="GJ221" s="89"/>
      <c r="GK221" s="89"/>
      <c r="GL221" s="89"/>
      <c r="GM221" s="88">
        <v>159717.33873119002</v>
      </c>
      <c r="GN221" s="89">
        <v>20362.045370580003</v>
      </c>
      <c r="GO221" s="89">
        <v>19669.964546449999</v>
      </c>
      <c r="GP221" s="89">
        <v>692.08082413000238</v>
      </c>
      <c r="GQ221" s="89">
        <v>112459.18199826003</v>
      </c>
      <c r="GR221" s="89">
        <v>27396.111362349999</v>
      </c>
    </row>
    <row r="222" spans="1:200">
      <c r="A222" s="69"/>
      <c r="B222" s="93" t="s">
        <v>491</v>
      </c>
      <c r="C222" s="88">
        <v>2356.510886</v>
      </c>
      <c r="D222" s="87">
        <v>-23.315114000000051</v>
      </c>
      <c r="E222" s="87">
        <v>236.08567299999999</v>
      </c>
      <c r="F222" s="87">
        <v>-259.40078700000004</v>
      </c>
      <c r="G222" s="87">
        <v>2379.826</v>
      </c>
      <c r="H222" s="87"/>
      <c r="I222" s="88">
        <v>148292.277</v>
      </c>
      <c r="J222" s="89">
        <v>159696.872</v>
      </c>
      <c r="K222" s="89"/>
      <c r="L222" s="89"/>
      <c r="M222" s="89">
        <v>123321.681</v>
      </c>
      <c r="N222" s="89">
        <v>-134726.27600000001</v>
      </c>
      <c r="O222" s="88">
        <v>7433.3</v>
      </c>
      <c r="P222" s="89">
        <v>1180.4000000000001</v>
      </c>
      <c r="Q222" s="89">
        <v>840.1</v>
      </c>
      <c r="R222" s="89">
        <v>340.3</v>
      </c>
      <c r="S222" s="89">
        <v>6252.9</v>
      </c>
      <c r="T222" s="89"/>
      <c r="U222" s="88">
        <v>6154.5686700000006</v>
      </c>
      <c r="V222" s="89">
        <v>1113.9286700000002</v>
      </c>
      <c r="W222" s="89">
        <v>524.45467000000008</v>
      </c>
      <c r="X222" s="89">
        <v>589.47400000000005</v>
      </c>
      <c r="Y222" s="89">
        <v>5040.6400000000003</v>
      </c>
      <c r="Z222" s="89"/>
      <c r="AA222" s="88">
        <v>1837.576</v>
      </c>
      <c r="AB222" s="89">
        <v>275.84699999999998</v>
      </c>
      <c r="AC222" s="89">
        <v>262.90499999999997</v>
      </c>
      <c r="AD222" s="89">
        <v>12.942</v>
      </c>
      <c r="AE222" s="89">
        <v>1561.729</v>
      </c>
      <c r="AF222" s="89"/>
      <c r="AG222" s="88">
        <v>42875.660664540599</v>
      </c>
      <c r="AH222" s="89">
        <v>8087.752941136001</v>
      </c>
      <c r="AI222" s="89">
        <v>8087.752941136001</v>
      </c>
      <c r="AJ222" s="89"/>
      <c r="AK222" s="89">
        <v>34787.907723404598</v>
      </c>
      <c r="AL222" s="89"/>
      <c r="AM222" s="88">
        <v>2444932</v>
      </c>
      <c r="AN222" s="89">
        <v>1035315</v>
      </c>
      <c r="AO222" s="89">
        <v>1017432</v>
      </c>
      <c r="AP222" s="89">
        <v>17883</v>
      </c>
      <c r="AQ222" s="89">
        <v>1162833</v>
      </c>
      <c r="AR222" s="89">
        <v>246783</v>
      </c>
      <c r="AS222" s="88">
        <v>54881000</v>
      </c>
      <c r="AT222" s="89">
        <v>-2559000</v>
      </c>
      <c r="AU222" s="89">
        <v>-2559000</v>
      </c>
      <c r="AV222" s="89"/>
      <c r="AW222" s="89">
        <v>61526000</v>
      </c>
      <c r="AX222" s="89">
        <v>-4086000</v>
      </c>
      <c r="AY222" s="88">
        <v>135082266.99220836</v>
      </c>
      <c r="AZ222" s="89">
        <f t="shared" si="16"/>
        <v>19190950.945342779</v>
      </c>
      <c r="BA222" s="89">
        <v>11520078.430435907</v>
      </c>
      <c r="BB222" s="89">
        <v>7670872.5149068702</v>
      </c>
      <c r="BC222" s="89">
        <v>115891316.0468656</v>
      </c>
      <c r="BD222" s="89"/>
      <c r="BE222" s="88">
        <v>6212917.0864917198</v>
      </c>
      <c r="BF222" s="89">
        <v>335002.72895682999</v>
      </c>
      <c r="BG222" s="89">
        <v>277942.14493150997</v>
      </c>
      <c r="BH222" s="89">
        <v>57060.58402532</v>
      </c>
      <c r="BI222" s="89">
        <v>6345820.5421269294</v>
      </c>
      <c r="BJ222" s="89">
        <v>-467906.18459204002</v>
      </c>
      <c r="BK222" s="88">
        <v>409.85183699999999</v>
      </c>
      <c r="BL222" s="89">
        <v>-146.58216299999998</v>
      </c>
      <c r="BM222" s="89">
        <v>-65.257385999999983</v>
      </c>
      <c r="BN222" s="89">
        <v>-81.324776999999997</v>
      </c>
      <c r="BO222" s="89">
        <v>556.43399999999997</v>
      </c>
      <c r="BP222" s="89"/>
      <c r="BQ222" s="88">
        <v>8101.0900000000011</v>
      </c>
      <c r="BR222" s="89">
        <v>-3671.7000000000003</v>
      </c>
      <c r="BS222" s="89">
        <v>-2020.7100000000003</v>
      </c>
      <c r="BT222" s="89">
        <v>-1650.99</v>
      </c>
      <c r="BU222" s="89">
        <v>11772.79</v>
      </c>
      <c r="BV222" s="89"/>
      <c r="BW222" s="88">
        <v>11347.23129732901</v>
      </c>
      <c r="BX222" s="89">
        <v>3585.6713472490119</v>
      </c>
      <c r="BY222" s="89">
        <v>3416.166116829012</v>
      </c>
      <c r="BZ222" s="89">
        <v>169.50523042</v>
      </c>
      <c r="CA222" s="89">
        <v>9003.9147623899989</v>
      </c>
      <c r="CB222" s="89">
        <v>-1242.3548123100009</v>
      </c>
      <c r="CC222" s="88">
        <v>1417.0034070000002</v>
      </c>
      <c r="CD222" s="89">
        <v>-33.642592999999991</v>
      </c>
      <c r="CE222" s="89">
        <v>89.611691000000008</v>
      </c>
      <c r="CF222" s="89">
        <v>-123.254284</v>
      </c>
      <c r="CG222" s="89">
        <v>1450.646</v>
      </c>
      <c r="CH222" s="89"/>
      <c r="CI222" s="88">
        <v>90342</v>
      </c>
      <c r="CJ222" s="89">
        <v>25554.400000000001</v>
      </c>
      <c r="CK222" s="89">
        <v>13196.5</v>
      </c>
      <c r="CL222" s="89">
        <v>12357.9</v>
      </c>
      <c r="CM222" s="89">
        <v>73337</v>
      </c>
      <c r="CN222" s="89">
        <v>-8549.4</v>
      </c>
      <c r="CO222" s="88">
        <v>46355.9</v>
      </c>
      <c r="CP222" s="89">
        <v>-18088</v>
      </c>
      <c r="CQ222" s="89">
        <v>5210.3</v>
      </c>
      <c r="CR222" s="89">
        <v>-23298.3</v>
      </c>
      <c r="CS222" s="89">
        <v>74755.100000000006</v>
      </c>
      <c r="CT222" s="89">
        <v>-10311.1</v>
      </c>
      <c r="CU222" s="88">
        <v>51480.151509569449</v>
      </c>
      <c r="CV222" s="89">
        <v>18462.937040752087</v>
      </c>
      <c r="CW222" s="89">
        <v>18762.179156455677</v>
      </c>
      <c r="CX222" s="89">
        <v>-299.24211570359182</v>
      </c>
      <c r="CY222" s="89">
        <v>33017.214468817365</v>
      </c>
      <c r="CZ222" s="89"/>
      <c r="DA222" s="88">
        <v>79979.555646701338</v>
      </c>
      <c r="DB222" s="89">
        <v>-5214.5672184440664</v>
      </c>
      <c r="DC222" s="89">
        <v>-9271.9080252195854</v>
      </c>
      <c r="DD222" s="89">
        <v>4057.3408067755199</v>
      </c>
      <c r="DE222" s="89">
        <v>128922.29939288003</v>
      </c>
      <c r="DF222" s="89">
        <v>-43728.176527734613</v>
      </c>
      <c r="DG222" s="88">
        <v>268204.72660743003</v>
      </c>
      <c r="DH222" s="89">
        <v>111974.17460743002</v>
      </c>
      <c r="DI222" s="89"/>
      <c r="DJ222" s="89"/>
      <c r="DK222" s="89">
        <v>166879.636</v>
      </c>
      <c r="DL222" s="89">
        <v>-10649.084000000001</v>
      </c>
      <c r="DM222" s="88">
        <v>4102833.6723710303</v>
      </c>
      <c r="DN222" s="89">
        <v>1637267.172</v>
      </c>
      <c r="DO222" s="89">
        <v>1467316.672</v>
      </c>
      <c r="DP222" s="89">
        <v>169950.5</v>
      </c>
      <c r="DQ222" s="89">
        <v>2465566.5</v>
      </c>
      <c r="DR222" s="89"/>
      <c r="DS222" s="88">
        <v>66544.426233156177</v>
      </c>
      <c r="DT222" s="89">
        <v>37506.536082242135</v>
      </c>
      <c r="DU222" s="89">
        <v>36635.938343592541</v>
      </c>
      <c r="DV222" s="89">
        <v>870.59773864959368</v>
      </c>
      <c r="DW222" s="89">
        <v>48304.633108255352</v>
      </c>
      <c r="DX222" s="89">
        <v>-19266.742957341303</v>
      </c>
      <c r="DY222" s="88">
        <v>10027.820105000001</v>
      </c>
      <c r="DZ222" s="89">
        <f t="shared" si="15"/>
        <v>-244.40570400000013</v>
      </c>
      <c r="EA222" s="89">
        <v>985.05448699999999</v>
      </c>
      <c r="EB222" s="89">
        <v>-1229.4601910000001</v>
      </c>
      <c r="EC222" s="89">
        <v>10272.225809</v>
      </c>
      <c r="ED222" s="89"/>
      <c r="EE222" s="88">
        <v>13398.155157272206</v>
      </c>
      <c r="EF222" s="89">
        <v>-1189.0920120900003</v>
      </c>
      <c r="EG222" s="89">
        <v>-1189.1426864100004</v>
      </c>
      <c r="EH222" s="89">
        <v>5.0674320000000002E-2</v>
      </c>
      <c r="EI222" s="89">
        <v>18497.427468239999</v>
      </c>
      <c r="EJ222" s="89">
        <v>-3910.1802988777958</v>
      </c>
      <c r="EK222" s="88">
        <v>10508424.249759564</v>
      </c>
      <c r="EL222" s="89">
        <v>-1953412.8616534492</v>
      </c>
      <c r="EM222" s="89">
        <v>-1348162.9754646192</v>
      </c>
      <c r="EN222" s="89">
        <v>-605249.88618883002</v>
      </c>
      <c r="EO222" s="89">
        <v>12705623.324070213</v>
      </c>
      <c r="EP222" s="89">
        <v>-243786.21265720003</v>
      </c>
      <c r="EQ222" s="88">
        <v>66402.498308249982</v>
      </c>
      <c r="ER222" s="89">
        <v>-13851.657177500001</v>
      </c>
      <c r="ES222" s="89"/>
      <c r="ET222" s="89"/>
      <c r="EU222" s="89">
        <v>107884.9039375</v>
      </c>
      <c r="EV222" s="89">
        <v>-27630.748451750012</v>
      </c>
      <c r="EW222" s="88">
        <v>557940.14351370884</v>
      </c>
      <c r="EX222" s="89">
        <f t="shared" si="17"/>
        <v>264447.25016951992</v>
      </c>
      <c r="EY222" s="89">
        <v>253134.85338615993</v>
      </c>
      <c r="EZ222" s="89">
        <v>11312.39678336</v>
      </c>
      <c r="FA222" s="89">
        <v>316058.61581601005</v>
      </c>
      <c r="FB222" s="89">
        <v>-22565.722471821162</v>
      </c>
      <c r="FC222" s="88">
        <v>1513.303134</v>
      </c>
      <c r="FD222" s="89">
        <v>315.90913400000005</v>
      </c>
      <c r="FE222" s="89">
        <v>644.73967900000002</v>
      </c>
      <c r="FF222" s="89">
        <v>-328.83054499999997</v>
      </c>
      <c r="FG222" s="89">
        <v>1197.394</v>
      </c>
      <c r="FH222" s="89"/>
      <c r="FI222" s="88">
        <v>889.84963300000004</v>
      </c>
      <c r="FJ222" s="89">
        <v>35.325633000000032</v>
      </c>
      <c r="FK222" s="89">
        <v>71.11524500000003</v>
      </c>
      <c r="FL222" s="89">
        <v>-35.789611999999998</v>
      </c>
      <c r="FM222" s="89">
        <v>854.524</v>
      </c>
      <c r="FN222" s="89"/>
      <c r="FO222" s="88">
        <v>3150.7666730000001</v>
      </c>
      <c r="FP222" s="89">
        <v>-212.78332700000001</v>
      </c>
      <c r="FQ222" s="89">
        <v>35.82654999999999</v>
      </c>
      <c r="FR222" s="89">
        <v>-248.60987700000001</v>
      </c>
      <c r="FS222" s="89">
        <v>3363.55</v>
      </c>
      <c r="FT222" s="89"/>
      <c r="FU222" s="88">
        <v>1975.4</v>
      </c>
      <c r="FV222" s="89">
        <v>62.5</v>
      </c>
      <c r="FW222" s="89">
        <v>42.8</v>
      </c>
      <c r="FX222" s="89">
        <v>19.7</v>
      </c>
      <c r="FY222" s="89">
        <v>1885.9</v>
      </c>
      <c r="FZ222" s="89">
        <v>27</v>
      </c>
      <c r="GA222" s="88">
        <v>20033.900000000001</v>
      </c>
      <c r="GB222" s="89">
        <v>-19896.199999999997</v>
      </c>
      <c r="GC222" s="89">
        <v>-23998.799999999999</v>
      </c>
      <c r="GD222" s="89">
        <v>4102.6000000000004</v>
      </c>
      <c r="GE222" s="89">
        <v>39930.1</v>
      </c>
      <c r="GF222" s="89"/>
      <c r="GG222" s="88"/>
      <c r="GH222" s="89"/>
      <c r="GI222" s="89"/>
      <c r="GJ222" s="89"/>
      <c r="GK222" s="89"/>
      <c r="GL222" s="89"/>
      <c r="GM222" s="88">
        <v>161234.87861496001</v>
      </c>
      <c r="GN222" s="89">
        <v>19802.500651120004</v>
      </c>
      <c r="GO222" s="89">
        <v>19110.322971560003</v>
      </c>
      <c r="GP222" s="89">
        <v>692.17767956000193</v>
      </c>
      <c r="GQ222" s="89">
        <v>114558.21849673</v>
      </c>
      <c r="GR222" s="89">
        <v>27374.159467109999</v>
      </c>
    </row>
    <row r="223" spans="1:200">
      <c r="A223" s="69"/>
      <c r="B223" s="93" t="s">
        <v>492</v>
      </c>
      <c r="C223" s="88">
        <v>2395.4267070000001</v>
      </c>
      <c r="D223" s="87">
        <v>-16.850292999999965</v>
      </c>
      <c r="E223" s="87">
        <v>228.97713600000003</v>
      </c>
      <c r="F223" s="87">
        <v>-245.827429</v>
      </c>
      <c r="G223" s="87">
        <v>2412.277</v>
      </c>
      <c r="H223" s="87"/>
      <c r="I223" s="88">
        <v>154997.41</v>
      </c>
      <c r="J223" s="89">
        <v>158733.701</v>
      </c>
      <c r="K223" s="89"/>
      <c r="L223" s="89"/>
      <c r="M223" s="89">
        <v>128118.891</v>
      </c>
      <c r="N223" s="89">
        <v>-131855.182</v>
      </c>
      <c r="O223" s="88">
        <v>7414</v>
      </c>
      <c r="P223" s="89"/>
      <c r="Q223" s="89"/>
      <c r="R223" s="89"/>
      <c r="S223" s="89"/>
      <c r="T223" s="89"/>
      <c r="U223" s="88">
        <v>6383.5544100000006</v>
      </c>
      <c r="V223" s="89">
        <v>1308.33041</v>
      </c>
      <c r="W223" s="89">
        <v>709.62641000000008</v>
      </c>
      <c r="X223" s="89">
        <v>598.70399999999995</v>
      </c>
      <c r="Y223" s="89">
        <v>5075.2240000000002</v>
      </c>
      <c r="Z223" s="89"/>
      <c r="AA223" s="88">
        <v>1850.076</v>
      </c>
      <c r="AB223" s="89">
        <v>259.76799999999997</v>
      </c>
      <c r="AC223" s="89">
        <v>246.851</v>
      </c>
      <c r="AD223" s="89">
        <v>12.917</v>
      </c>
      <c r="AE223" s="89">
        <v>1590.308</v>
      </c>
      <c r="AF223" s="89"/>
      <c r="AG223" s="88">
        <v>43307.972484062404</v>
      </c>
      <c r="AH223" s="89">
        <v>8237.9963013960005</v>
      </c>
      <c r="AI223" s="89">
        <v>8237.9963013960005</v>
      </c>
      <c r="AJ223" s="89"/>
      <c r="AK223" s="89">
        <v>35069.976182666403</v>
      </c>
      <c r="AL223" s="89"/>
      <c r="AM223" s="88">
        <v>2505213</v>
      </c>
      <c r="AN223" s="89">
        <v>1029423</v>
      </c>
      <c r="AO223" s="89">
        <v>1011666</v>
      </c>
      <c r="AP223" s="89">
        <v>17757</v>
      </c>
      <c r="AQ223" s="89">
        <v>1191367</v>
      </c>
      <c r="AR223" s="89">
        <v>284422</v>
      </c>
      <c r="AS223" s="88">
        <v>54922000</v>
      </c>
      <c r="AT223" s="89">
        <v>-2959000</v>
      </c>
      <c r="AU223" s="89">
        <v>-2959000</v>
      </c>
      <c r="AV223" s="89"/>
      <c r="AW223" s="89">
        <v>62651000</v>
      </c>
      <c r="AX223" s="89">
        <v>-4770000</v>
      </c>
      <c r="AY223" s="88">
        <v>138032039.33004877</v>
      </c>
      <c r="AZ223" s="89">
        <f t="shared" si="16"/>
        <v>20899151.517646238</v>
      </c>
      <c r="BA223" s="89">
        <v>13195085.930840958</v>
      </c>
      <c r="BB223" s="89">
        <v>7704065.5868052803</v>
      </c>
      <c r="BC223" s="89">
        <v>117132887.81240253</v>
      </c>
      <c r="BD223" s="89"/>
      <c r="BE223" s="88">
        <v>6336876.35963553</v>
      </c>
      <c r="BF223" s="89">
        <v>307386.11180890998</v>
      </c>
      <c r="BG223" s="89">
        <v>247072.69164526</v>
      </c>
      <c r="BH223" s="89">
        <v>60313.42016365</v>
      </c>
      <c r="BI223" s="89">
        <v>6515044.5494067296</v>
      </c>
      <c r="BJ223" s="89">
        <v>-485554.30158010998</v>
      </c>
      <c r="BK223" s="88">
        <v>426.93746999999996</v>
      </c>
      <c r="BL223" s="89">
        <v>-141.23753000000002</v>
      </c>
      <c r="BM223" s="89">
        <v>-58.283491000000012</v>
      </c>
      <c r="BN223" s="89">
        <v>-82.954039000000009</v>
      </c>
      <c r="BO223" s="89">
        <v>568.17499999999995</v>
      </c>
      <c r="BP223" s="89"/>
      <c r="BQ223" s="88">
        <v>6857.4899999999989</v>
      </c>
      <c r="BR223" s="89">
        <v>-5164.2700000000004</v>
      </c>
      <c r="BS223" s="89">
        <v>-3506.4300000000003</v>
      </c>
      <c r="BT223" s="89">
        <v>-1657.84</v>
      </c>
      <c r="BU223" s="89">
        <v>12021.759999999998</v>
      </c>
      <c r="BV223" s="89"/>
      <c r="BW223" s="88">
        <v>11192.91953802527</v>
      </c>
      <c r="BX223" s="89">
        <v>3426.4918454952722</v>
      </c>
      <c r="BY223" s="89">
        <v>3248.4725276652721</v>
      </c>
      <c r="BZ223" s="89">
        <v>178.01931783000001</v>
      </c>
      <c r="CA223" s="89">
        <v>9050.7005776199985</v>
      </c>
      <c r="CB223" s="89">
        <v>-1284.2728850899998</v>
      </c>
      <c r="CC223" s="88">
        <v>1448.2216540000002</v>
      </c>
      <c r="CD223" s="89">
        <v>-23.258346000000003</v>
      </c>
      <c r="CE223" s="89">
        <v>90.264938000000001</v>
      </c>
      <c r="CF223" s="89">
        <v>-113.523284</v>
      </c>
      <c r="CG223" s="89">
        <v>1471.48</v>
      </c>
      <c r="CH223" s="89"/>
      <c r="CI223" s="88">
        <v>89323.6</v>
      </c>
      <c r="CJ223" s="89">
        <v>24552.300000000003</v>
      </c>
      <c r="CK223" s="89">
        <v>12048.5</v>
      </c>
      <c r="CL223" s="89">
        <v>12503.800000000001</v>
      </c>
      <c r="CM223" s="89">
        <v>73129.3</v>
      </c>
      <c r="CN223" s="89">
        <v>-8357.9</v>
      </c>
      <c r="CO223" s="88">
        <v>53334.1</v>
      </c>
      <c r="CP223" s="89">
        <v>-12808.9</v>
      </c>
      <c r="CQ223" s="89">
        <v>11022.6</v>
      </c>
      <c r="CR223" s="89">
        <v>-23831.5</v>
      </c>
      <c r="CS223" s="89">
        <v>76188.800000000003</v>
      </c>
      <c r="CT223" s="89">
        <v>-10045.799999999999</v>
      </c>
      <c r="CU223" s="88">
        <v>50793.565275823988</v>
      </c>
      <c r="CV223" s="89">
        <v>17218.36749791223</v>
      </c>
      <c r="CW223" s="89">
        <v>17453.975879327914</v>
      </c>
      <c r="CX223" s="89">
        <v>-235.60838141568803</v>
      </c>
      <c r="CY223" s="89">
        <v>33575.197777911759</v>
      </c>
      <c r="CZ223" s="89"/>
      <c r="DA223" s="88">
        <v>79739.376552621034</v>
      </c>
      <c r="DB223" s="89">
        <v>-8099.4682758748486</v>
      </c>
      <c r="DC223" s="89">
        <v>-12121.344664715725</v>
      </c>
      <c r="DD223" s="89">
        <v>4021.8763888408762</v>
      </c>
      <c r="DE223" s="89">
        <v>130547.11862901461</v>
      </c>
      <c r="DF223" s="89">
        <v>-42708.273800518742</v>
      </c>
      <c r="DG223" s="88">
        <v>283135.20646999998</v>
      </c>
      <c r="DH223" s="89">
        <v>118670.64947</v>
      </c>
      <c r="DI223" s="89"/>
      <c r="DJ223" s="89"/>
      <c r="DK223" s="89">
        <v>172562.91899999999</v>
      </c>
      <c r="DL223" s="89">
        <v>-8098.3620000000001</v>
      </c>
      <c r="DM223" s="88">
        <v>4156382.9580261298</v>
      </c>
      <c r="DN223" s="89">
        <v>1609964.1580000001</v>
      </c>
      <c r="DO223" s="89">
        <v>1443244.358</v>
      </c>
      <c r="DP223" s="89">
        <v>166719.79999999999</v>
      </c>
      <c r="DQ223" s="89">
        <v>2546418.7999999998</v>
      </c>
      <c r="DR223" s="89"/>
      <c r="DS223" s="88">
        <v>66904.880646606267</v>
      </c>
      <c r="DT223" s="89">
        <v>37090.28310870452</v>
      </c>
      <c r="DU223" s="89">
        <v>36214.899737099637</v>
      </c>
      <c r="DV223" s="89">
        <v>875.38337160488368</v>
      </c>
      <c r="DW223" s="89">
        <v>48611.041349093299</v>
      </c>
      <c r="DX223" s="89">
        <v>-18796.443811191562</v>
      </c>
      <c r="DY223" s="88">
        <v>10196.074935000001</v>
      </c>
      <c r="DZ223" s="89">
        <f t="shared" si="15"/>
        <v>-249.90470800000026</v>
      </c>
      <c r="EA223" s="89">
        <v>979.80464899999993</v>
      </c>
      <c r="EB223" s="89">
        <v>-1229.7093570000002</v>
      </c>
      <c r="EC223" s="89">
        <v>10445.979642999999</v>
      </c>
      <c r="ED223" s="89"/>
      <c r="EE223" s="88">
        <v>13475.330557377376</v>
      </c>
      <c r="EF223" s="89">
        <v>-1113.9966400370006</v>
      </c>
      <c r="EG223" s="89">
        <v>-1117.6386809870005</v>
      </c>
      <c r="EH223" s="89">
        <v>3.6420409499999997</v>
      </c>
      <c r="EI223" s="89">
        <v>18706.302272585999</v>
      </c>
      <c r="EJ223" s="89">
        <v>-4116.9750751716201</v>
      </c>
      <c r="EK223" s="88">
        <v>10464993.902784079</v>
      </c>
      <c r="EL223" s="89">
        <v>-2157115.889657381</v>
      </c>
      <c r="EM223" s="89">
        <v>-1545075.6860832707</v>
      </c>
      <c r="EN223" s="89">
        <v>-612040.20357411006</v>
      </c>
      <c r="EO223" s="89">
        <v>12825286.376126461</v>
      </c>
      <c r="EP223" s="89">
        <v>-203176.58368500002</v>
      </c>
      <c r="EQ223" s="88">
        <v>62605.613845949985</v>
      </c>
      <c r="ER223" s="89">
        <v>-18431.140067200002</v>
      </c>
      <c r="ES223" s="89"/>
      <c r="ET223" s="89"/>
      <c r="EU223" s="89">
        <v>111312.98082680001</v>
      </c>
      <c r="EV223" s="89">
        <v>-30276.226913650011</v>
      </c>
      <c r="EW223" s="88">
        <v>570020.15142228245</v>
      </c>
      <c r="EX223" s="89">
        <f t="shared" si="17"/>
        <v>265325.92038302001</v>
      </c>
      <c r="EY223" s="89">
        <v>254120.13381671</v>
      </c>
      <c r="EZ223" s="89">
        <v>11205.786566310002</v>
      </c>
      <c r="FA223" s="89">
        <v>322238.30244925001</v>
      </c>
      <c r="FB223" s="89">
        <v>-17544.071409987475</v>
      </c>
      <c r="FC223" s="88">
        <v>1520.045627</v>
      </c>
      <c r="FD223" s="89">
        <v>308.856627</v>
      </c>
      <c r="FE223" s="89">
        <v>646.29305299999999</v>
      </c>
      <c r="FF223" s="89">
        <v>-337.43642599999998</v>
      </c>
      <c r="FG223" s="89">
        <v>1211.1890000000001</v>
      </c>
      <c r="FH223" s="89"/>
      <c r="FI223" s="88">
        <v>911.51409599999988</v>
      </c>
      <c r="FJ223" s="89">
        <v>39.361095999999968</v>
      </c>
      <c r="FK223" s="89">
        <v>73.574088999999972</v>
      </c>
      <c r="FL223" s="89">
        <v>-34.212993000000004</v>
      </c>
      <c r="FM223" s="89">
        <v>872.15300000000002</v>
      </c>
      <c r="FN223" s="89"/>
      <c r="FO223" s="88">
        <v>3177.4800960000002</v>
      </c>
      <c r="FP223" s="89">
        <v>-213.82690399999998</v>
      </c>
      <c r="FQ223" s="89">
        <v>47.823972999999995</v>
      </c>
      <c r="FR223" s="89">
        <v>-261.65087699999998</v>
      </c>
      <c r="FS223" s="89">
        <v>3391.3069999999998</v>
      </c>
      <c r="FT223" s="89"/>
      <c r="FU223" s="88">
        <v>2049.6</v>
      </c>
      <c r="FV223" s="89">
        <v>79.900000000000006</v>
      </c>
      <c r="FW223" s="89">
        <v>52.9</v>
      </c>
      <c r="FX223" s="89">
        <v>27</v>
      </c>
      <c r="FY223" s="89">
        <v>1942.8</v>
      </c>
      <c r="FZ223" s="89">
        <v>26.9</v>
      </c>
      <c r="GA223" s="88">
        <v>18779.400000000001</v>
      </c>
      <c r="GB223" s="89">
        <v>-21923.9</v>
      </c>
      <c r="GC223" s="89">
        <v>-26300</v>
      </c>
      <c r="GD223" s="89">
        <v>4376.1000000000004</v>
      </c>
      <c r="GE223" s="89">
        <v>40703.300000000003</v>
      </c>
      <c r="GF223" s="89"/>
      <c r="GG223" s="88"/>
      <c r="GH223" s="89"/>
      <c r="GI223" s="89"/>
      <c r="GJ223" s="89"/>
      <c r="GK223" s="89"/>
      <c r="GL223" s="89"/>
      <c r="GM223" s="88">
        <v>160516.29154755003</v>
      </c>
      <c r="GN223" s="89">
        <v>20021.135345449995</v>
      </c>
      <c r="GO223" s="89">
        <v>19313.808502930002</v>
      </c>
      <c r="GP223" s="89">
        <v>707.327342519995</v>
      </c>
      <c r="GQ223" s="89">
        <v>117890.02573844</v>
      </c>
      <c r="GR223" s="89">
        <v>22605.130463660007</v>
      </c>
    </row>
    <row r="224" spans="1:200">
      <c r="A224" s="69"/>
      <c r="B224" s="93" t="s">
        <v>493</v>
      </c>
      <c r="C224" s="88">
        <v>2430.9463879999998</v>
      </c>
      <c r="D224" s="87">
        <v>4.6223879999999724</v>
      </c>
      <c r="E224" s="87">
        <v>253.31381699999997</v>
      </c>
      <c r="F224" s="87">
        <v>-248.691429</v>
      </c>
      <c r="G224" s="87">
        <v>2426.3240000000001</v>
      </c>
      <c r="H224" s="87"/>
      <c r="I224" s="88">
        <v>162588.23300000001</v>
      </c>
      <c r="J224" s="89">
        <v>155012.78400000001</v>
      </c>
      <c r="K224" s="89"/>
      <c r="L224" s="89"/>
      <c r="M224" s="89">
        <v>130420.84</v>
      </c>
      <c r="N224" s="89">
        <v>-122845.391</v>
      </c>
      <c r="O224" s="88">
        <v>7492.6</v>
      </c>
      <c r="P224" s="89"/>
      <c r="Q224" s="89"/>
      <c r="R224" s="89"/>
      <c r="S224" s="89"/>
      <c r="T224" s="89"/>
      <c r="U224" s="88">
        <v>6365.2931399999998</v>
      </c>
      <c r="V224" s="89">
        <v>1278.82214</v>
      </c>
      <c r="W224" s="89">
        <v>689.15814</v>
      </c>
      <c r="X224" s="89">
        <v>589.66399999999999</v>
      </c>
      <c r="Y224" s="89">
        <v>5086.4709999999995</v>
      </c>
      <c r="Z224" s="89"/>
      <c r="AA224" s="88">
        <v>1851.8530000000001</v>
      </c>
      <c r="AB224" s="89">
        <v>241.08800000000002</v>
      </c>
      <c r="AC224" s="89">
        <v>228.21600000000001</v>
      </c>
      <c r="AD224" s="89">
        <v>12.872</v>
      </c>
      <c r="AE224" s="89">
        <v>1610.7650000000001</v>
      </c>
      <c r="AF224" s="89"/>
      <c r="AG224" s="88">
        <v>43658.347769643296</v>
      </c>
      <c r="AH224" s="89">
        <v>8298.6707905041221</v>
      </c>
      <c r="AI224" s="89">
        <v>8298.6707905041221</v>
      </c>
      <c r="AJ224" s="89"/>
      <c r="AK224" s="89">
        <v>35359.676979139171</v>
      </c>
      <c r="AL224" s="89"/>
      <c r="AM224" s="88">
        <v>2507406</v>
      </c>
      <c r="AN224" s="89">
        <v>1032366</v>
      </c>
      <c r="AO224" s="89">
        <v>1014466</v>
      </c>
      <c r="AP224" s="89">
        <v>17900</v>
      </c>
      <c r="AQ224" s="89">
        <v>1220515</v>
      </c>
      <c r="AR224" s="89">
        <v>254525</v>
      </c>
      <c r="AS224" s="88">
        <v>55553000</v>
      </c>
      <c r="AT224" s="89">
        <v>-2814000</v>
      </c>
      <c r="AU224" s="89">
        <v>-2814000</v>
      </c>
      <c r="AV224" s="89"/>
      <c r="AW224" s="89">
        <v>63464000</v>
      </c>
      <c r="AX224" s="89">
        <v>-5097000</v>
      </c>
      <c r="AY224" s="88">
        <v>138019113.23195696</v>
      </c>
      <c r="AZ224" s="89">
        <f t="shared" si="16"/>
        <v>18975770.447408862</v>
      </c>
      <c r="BA224" s="89">
        <v>11599996.255033422</v>
      </c>
      <c r="BB224" s="89">
        <v>7375774.1923754402</v>
      </c>
      <c r="BC224" s="89">
        <v>119043342.78454809</v>
      </c>
      <c r="BD224" s="89"/>
      <c r="BE224" s="88">
        <v>6542869.4058873504</v>
      </c>
      <c r="BF224" s="89">
        <v>320064.69267111004</v>
      </c>
      <c r="BG224" s="89">
        <v>259818.97370013001</v>
      </c>
      <c r="BH224" s="89">
        <v>60245.71897098</v>
      </c>
      <c r="BI224" s="89">
        <v>6772705.7574183</v>
      </c>
      <c r="BJ224" s="89">
        <v>-549901.04420205997</v>
      </c>
      <c r="BK224" s="88">
        <v>426.22758099999999</v>
      </c>
      <c r="BL224" s="89">
        <v>-147.376419</v>
      </c>
      <c r="BM224" s="89">
        <v>-67.618311000000006</v>
      </c>
      <c r="BN224" s="89">
        <v>-79.758107999999993</v>
      </c>
      <c r="BO224" s="89">
        <v>573.60400000000004</v>
      </c>
      <c r="BP224" s="89"/>
      <c r="BQ224" s="88">
        <v>6974.7142180000001</v>
      </c>
      <c r="BR224" s="89">
        <v>-5286.5149449999999</v>
      </c>
      <c r="BS224" s="89">
        <v>-3533.3766009999999</v>
      </c>
      <c r="BT224" s="89">
        <v>-1753.138344</v>
      </c>
      <c r="BU224" s="89">
        <v>12261.229163</v>
      </c>
      <c r="BV224" s="89"/>
      <c r="BW224" s="88">
        <v>11212.573395883748</v>
      </c>
      <c r="BX224" s="89">
        <v>3559.2244408537467</v>
      </c>
      <c r="BY224" s="89">
        <v>3399.4172341837466</v>
      </c>
      <c r="BZ224" s="89">
        <v>159.80720667</v>
      </c>
      <c r="CA224" s="89">
        <v>9052.8141427699993</v>
      </c>
      <c r="CB224" s="89">
        <v>-1399.4651877400001</v>
      </c>
      <c r="CC224" s="88">
        <v>1447.896696</v>
      </c>
      <c r="CD224" s="89">
        <v>-29.957304000000008</v>
      </c>
      <c r="CE224" s="89">
        <v>91.523850999999993</v>
      </c>
      <c r="CF224" s="89">
        <v>-121.481155</v>
      </c>
      <c r="CG224" s="89">
        <v>1477.854</v>
      </c>
      <c r="CH224" s="89"/>
      <c r="CI224" s="88">
        <v>90382.6</v>
      </c>
      <c r="CJ224" s="89">
        <v>25103.300000000003</v>
      </c>
      <c r="CK224" s="89">
        <v>12547.6</v>
      </c>
      <c r="CL224" s="89">
        <v>12555.7</v>
      </c>
      <c r="CM224" s="89">
        <v>73511.299999999988</v>
      </c>
      <c r="CN224" s="89">
        <v>-8231.9</v>
      </c>
      <c r="CO224" s="88">
        <v>51993.5</v>
      </c>
      <c r="CP224" s="89">
        <v>-14495.7</v>
      </c>
      <c r="CQ224" s="89">
        <v>8772.4</v>
      </c>
      <c r="CR224" s="89">
        <v>-23273.1</v>
      </c>
      <c r="CS224" s="89">
        <v>77864.100000000006</v>
      </c>
      <c r="CT224" s="89">
        <v>-11374.9</v>
      </c>
      <c r="CU224" s="88">
        <v>49889.398321132954</v>
      </c>
      <c r="CV224" s="89">
        <v>15627.449477010801</v>
      </c>
      <c r="CW224" s="89">
        <v>15746.182642103016</v>
      </c>
      <c r="CX224" s="89">
        <v>-118.73316509221607</v>
      </c>
      <c r="CY224" s="89">
        <v>34261.948844122155</v>
      </c>
      <c r="CZ224" s="89"/>
      <c r="DA224" s="88">
        <v>81133.288222610965</v>
      </c>
      <c r="DB224" s="89">
        <v>-6478.7079919396256</v>
      </c>
      <c r="DC224" s="89">
        <v>-9445.2676371653433</v>
      </c>
      <c r="DD224" s="89">
        <v>2966.5596452257178</v>
      </c>
      <c r="DE224" s="89">
        <v>132382.32684154069</v>
      </c>
      <c r="DF224" s="89">
        <v>-44770.330626990108</v>
      </c>
      <c r="DG224" s="88">
        <v>289844.20635999995</v>
      </c>
      <c r="DH224" s="89">
        <v>123156.73935999999</v>
      </c>
      <c r="DI224" s="89"/>
      <c r="DJ224" s="89"/>
      <c r="DK224" s="89">
        <v>176099.23199999999</v>
      </c>
      <c r="DL224" s="89">
        <v>-9411.7649999999994</v>
      </c>
      <c r="DM224" s="88">
        <v>4243177.51091302</v>
      </c>
      <c r="DN224" s="89">
        <v>1643908.1109999998</v>
      </c>
      <c r="DO224" s="89">
        <v>1480131.2109999999</v>
      </c>
      <c r="DP224" s="89">
        <v>163776.9</v>
      </c>
      <c r="DQ224" s="89">
        <v>2599269.4</v>
      </c>
      <c r="DR224" s="89"/>
      <c r="DS224" s="88">
        <v>66764.985657402751</v>
      </c>
      <c r="DT224" s="89">
        <v>36529.108661415048</v>
      </c>
      <c r="DU224" s="89">
        <v>35648.91030491401</v>
      </c>
      <c r="DV224" s="89">
        <v>880.19835650103994</v>
      </c>
      <c r="DW224" s="89">
        <v>49065.095785944875</v>
      </c>
      <c r="DX224" s="89">
        <v>-18829.218789957173</v>
      </c>
      <c r="DY224" s="88">
        <v>10359.694126</v>
      </c>
      <c r="DZ224" s="89">
        <f t="shared" si="15"/>
        <v>-205.79115900000011</v>
      </c>
      <c r="EA224" s="89">
        <v>1031.9095560000001</v>
      </c>
      <c r="EB224" s="89">
        <v>-1237.7007150000002</v>
      </c>
      <c r="EC224" s="89">
        <v>10565.485285000001</v>
      </c>
      <c r="ED224" s="89"/>
      <c r="EE224" s="88">
        <v>13768.378314486708</v>
      </c>
      <c r="EF224" s="89">
        <v>-1209.4142031599993</v>
      </c>
      <c r="EG224" s="89">
        <v>-1220.6820514299993</v>
      </c>
      <c r="EH224" s="89">
        <v>11.267848269999998</v>
      </c>
      <c r="EI224" s="89">
        <v>19016.571105659998</v>
      </c>
      <c r="EJ224" s="89">
        <v>-4038.7785880132897</v>
      </c>
      <c r="EK224" s="88">
        <v>10432575.60466405</v>
      </c>
      <c r="EL224" s="89">
        <v>-2552638.6852490301</v>
      </c>
      <c r="EM224" s="89">
        <v>-1879174.4515495002</v>
      </c>
      <c r="EN224" s="89">
        <v>-673464.23369953001</v>
      </c>
      <c r="EO224" s="89">
        <v>13203308.01678738</v>
      </c>
      <c r="EP224" s="89">
        <v>-218093.72687429999</v>
      </c>
      <c r="EQ224" s="88">
        <v>63844.059508400031</v>
      </c>
      <c r="ER224" s="89">
        <v>-20159.695984680002</v>
      </c>
      <c r="ES224" s="89"/>
      <c r="ET224" s="89"/>
      <c r="EU224" s="89">
        <v>113218.94847536</v>
      </c>
      <c r="EV224" s="89">
        <v>-29215.192982279958</v>
      </c>
      <c r="EW224" s="88">
        <v>575690.39002703666</v>
      </c>
      <c r="EX224" s="89">
        <f t="shared" si="17"/>
        <v>292247.47404900996</v>
      </c>
      <c r="EY224" s="89">
        <v>280901.98070363997</v>
      </c>
      <c r="EZ224" s="89">
        <v>11345.49334537</v>
      </c>
      <c r="FA224" s="89">
        <v>328959.40301323996</v>
      </c>
      <c r="FB224" s="89">
        <v>-45516.487035213286</v>
      </c>
      <c r="FC224" s="88">
        <v>1541.3763430000001</v>
      </c>
      <c r="FD224" s="89">
        <v>323.46534300000013</v>
      </c>
      <c r="FE224" s="89">
        <v>658.72076900000013</v>
      </c>
      <c r="FF224" s="89">
        <v>-335.255426</v>
      </c>
      <c r="FG224" s="89">
        <v>1217.9110000000001</v>
      </c>
      <c r="FH224" s="89"/>
      <c r="FI224" s="88">
        <v>927.22867399999996</v>
      </c>
      <c r="FJ224" s="89">
        <v>39.894673999999988</v>
      </c>
      <c r="FK224" s="89">
        <v>83.212084999999988</v>
      </c>
      <c r="FL224" s="89">
        <v>-43.317411</v>
      </c>
      <c r="FM224" s="89">
        <v>887.33399999999995</v>
      </c>
      <c r="FN224" s="89"/>
      <c r="FO224" s="88">
        <v>3233.3365640000002</v>
      </c>
      <c r="FP224" s="89">
        <v>-197.52243600000003</v>
      </c>
      <c r="FQ224" s="89">
        <v>57.474440999999992</v>
      </c>
      <c r="FR224" s="89">
        <v>-254.99687700000001</v>
      </c>
      <c r="FS224" s="89">
        <v>3430.8589999999999</v>
      </c>
      <c r="FT224" s="89"/>
      <c r="FU224" s="88">
        <v>2130.3000000000002</v>
      </c>
      <c r="FV224" s="89">
        <v>114.8</v>
      </c>
      <c r="FW224" s="89">
        <v>84.8</v>
      </c>
      <c r="FX224" s="89">
        <v>30</v>
      </c>
      <c r="FY224" s="89">
        <v>1988.2</v>
      </c>
      <c r="FZ224" s="89">
        <v>27.3</v>
      </c>
      <c r="GA224" s="88">
        <v>19069.2</v>
      </c>
      <c r="GB224" s="89">
        <v>-21958.5</v>
      </c>
      <c r="GC224" s="89">
        <v>-26266.400000000001</v>
      </c>
      <c r="GD224" s="89">
        <v>4307.8999999999996</v>
      </c>
      <c r="GE224" s="89">
        <v>41027.699999999997</v>
      </c>
      <c r="GF224" s="89"/>
      <c r="GG224" s="88"/>
      <c r="GH224" s="89"/>
      <c r="GI224" s="89"/>
      <c r="GJ224" s="89"/>
      <c r="GK224" s="89"/>
      <c r="GL224" s="89"/>
      <c r="GM224" s="88">
        <v>166211.66734483998</v>
      </c>
      <c r="GN224" s="89">
        <v>19941.4152632</v>
      </c>
      <c r="GO224" s="89">
        <v>19232.734267919997</v>
      </c>
      <c r="GP224" s="89">
        <v>708.6809952800013</v>
      </c>
      <c r="GQ224" s="89">
        <v>121455.76184335</v>
      </c>
      <c r="GR224" s="89">
        <v>24814.490238289996</v>
      </c>
    </row>
    <row r="225" spans="1:200">
      <c r="A225" s="69"/>
      <c r="B225" s="93" t="s">
        <v>494</v>
      </c>
      <c r="C225" s="88">
        <v>2438.5443719999998</v>
      </c>
      <c r="D225" s="87">
        <v>-5.6446279999999547</v>
      </c>
      <c r="E225" s="87">
        <v>231.08680100000004</v>
      </c>
      <c r="F225" s="87">
        <v>-236.73142899999999</v>
      </c>
      <c r="G225" s="87">
        <v>2444.1889999999999</v>
      </c>
      <c r="H225" s="87"/>
      <c r="I225" s="88">
        <v>172273.682</v>
      </c>
      <c r="J225" s="89">
        <v>154451.44200000001</v>
      </c>
      <c r="K225" s="89"/>
      <c r="L225" s="89"/>
      <c r="M225" s="89">
        <v>131692.67300000001</v>
      </c>
      <c r="N225" s="89">
        <v>-113872.433</v>
      </c>
      <c r="O225" s="88">
        <v>7509.8</v>
      </c>
      <c r="P225" s="89">
        <v>1166.6999999999998</v>
      </c>
      <c r="Q225" s="89">
        <v>763.8</v>
      </c>
      <c r="R225" s="89">
        <v>402.9</v>
      </c>
      <c r="S225" s="89">
        <v>6343.1</v>
      </c>
      <c r="T225" s="89"/>
      <c r="U225" s="88">
        <v>6474.28161</v>
      </c>
      <c r="V225" s="89">
        <v>1342.08761</v>
      </c>
      <c r="W225" s="89">
        <v>733.61261000000002</v>
      </c>
      <c r="X225" s="89">
        <v>608.47500000000002</v>
      </c>
      <c r="Y225" s="89">
        <v>5132.1940000000004</v>
      </c>
      <c r="Z225" s="89"/>
      <c r="AA225" s="88">
        <v>1865.38</v>
      </c>
      <c r="AB225" s="89">
        <v>231.53500000000003</v>
      </c>
      <c r="AC225" s="89">
        <v>218.33600000000001</v>
      </c>
      <c r="AD225" s="89">
        <v>13.199</v>
      </c>
      <c r="AE225" s="89">
        <v>1633.845</v>
      </c>
      <c r="AF225" s="89"/>
      <c r="AG225" s="88">
        <v>44040.985683264727</v>
      </c>
      <c r="AH225" s="89">
        <v>8324.371630294736</v>
      </c>
      <c r="AI225" s="89">
        <v>8324.371630294736</v>
      </c>
      <c r="AJ225" s="89"/>
      <c r="AK225" s="89">
        <v>35716.614052969991</v>
      </c>
      <c r="AL225" s="89"/>
      <c r="AM225" s="88">
        <v>2556757</v>
      </c>
      <c r="AN225" s="89">
        <v>1062001</v>
      </c>
      <c r="AO225" s="89">
        <v>1044531</v>
      </c>
      <c r="AP225" s="89">
        <v>17470</v>
      </c>
      <c r="AQ225" s="89">
        <v>1239934</v>
      </c>
      <c r="AR225" s="89">
        <v>254822</v>
      </c>
      <c r="AS225" s="88">
        <v>55985000</v>
      </c>
      <c r="AT225" s="89">
        <v>-3836000</v>
      </c>
      <c r="AU225" s="89">
        <v>-3836000</v>
      </c>
      <c r="AV225" s="89"/>
      <c r="AW225" s="89">
        <v>64564000</v>
      </c>
      <c r="AX225" s="89">
        <v>-4743000</v>
      </c>
      <c r="AY225" s="88">
        <v>138748644.72386563</v>
      </c>
      <c r="AZ225" s="89">
        <f t="shared" si="16"/>
        <v>17716216.670449439</v>
      </c>
      <c r="BA225" s="89">
        <v>9755992.7606380302</v>
      </c>
      <c r="BB225" s="89">
        <v>7960223.9098114092</v>
      </c>
      <c r="BC225" s="89">
        <v>121032428.05341621</v>
      </c>
      <c r="BD225" s="89"/>
      <c r="BE225" s="88">
        <v>6511551.9250289099</v>
      </c>
      <c r="BF225" s="89">
        <v>320909.11760746001</v>
      </c>
      <c r="BG225" s="89">
        <v>261877.93387243999</v>
      </c>
      <c r="BH225" s="89">
        <v>59031.18373502</v>
      </c>
      <c r="BI225" s="89">
        <v>6875275.6852979995</v>
      </c>
      <c r="BJ225" s="89">
        <v>-684632.87787654996</v>
      </c>
      <c r="BK225" s="88">
        <v>455.78571499999998</v>
      </c>
      <c r="BL225" s="89">
        <v>-119.184285</v>
      </c>
      <c r="BM225" s="89">
        <v>-37.227687000000003</v>
      </c>
      <c r="BN225" s="89">
        <v>-81.956598</v>
      </c>
      <c r="BO225" s="89">
        <v>574.97</v>
      </c>
      <c r="BP225" s="89"/>
      <c r="BQ225" s="88">
        <v>7027.4554219999973</v>
      </c>
      <c r="BR225" s="89">
        <v>-5487.679005</v>
      </c>
      <c r="BS225" s="89">
        <v>-2742.6781380000002</v>
      </c>
      <c r="BT225" s="89">
        <v>-2745.0008669999997</v>
      </c>
      <c r="BU225" s="89">
        <v>12515.134426999997</v>
      </c>
      <c r="BV225" s="89"/>
      <c r="BW225" s="88">
        <v>11374.762353301032</v>
      </c>
      <c r="BX225" s="89">
        <v>3736.1774435810298</v>
      </c>
      <c r="BY225" s="89">
        <v>3570.0122425210297</v>
      </c>
      <c r="BZ225" s="89">
        <v>166.16520106000002</v>
      </c>
      <c r="CA225" s="89">
        <v>9105.3132959699997</v>
      </c>
      <c r="CB225" s="89">
        <v>-1466.7283862499994</v>
      </c>
      <c r="CC225" s="88">
        <v>1481.6612600000001</v>
      </c>
      <c r="CD225" s="89">
        <v>-2.5047399999999982</v>
      </c>
      <c r="CE225" s="89">
        <v>109.106759</v>
      </c>
      <c r="CF225" s="89">
        <v>-111.61149899999999</v>
      </c>
      <c r="CG225" s="89">
        <v>1484.1659999999999</v>
      </c>
      <c r="CH225" s="89"/>
      <c r="CI225" s="88">
        <v>89313.1</v>
      </c>
      <c r="CJ225" s="89">
        <v>23746</v>
      </c>
      <c r="CK225" s="89">
        <v>11065.7</v>
      </c>
      <c r="CL225" s="89">
        <v>12680.3</v>
      </c>
      <c r="CM225" s="89">
        <v>74544.7</v>
      </c>
      <c r="CN225" s="89">
        <v>-8977.6</v>
      </c>
      <c r="CO225" s="88">
        <v>42479.3</v>
      </c>
      <c r="CP225" s="89">
        <v>-24385.7</v>
      </c>
      <c r="CQ225" s="89">
        <v>-178.9</v>
      </c>
      <c r="CR225" s="89">
        <v>-24206.799999999999</v>
      </c>
      <c r="CS225" s="89">
        <v>77537.2</v>
      </c>
      <c r="CT225" s="89">
        <v>-10672.2</v>
      </c>
      <c r="CU225" s="88">
        <v>50323.774748393756</v>
      </c>
      <c r="CV225" s="89">
        <v>14435.31810535472</v>
      </c>
      <c r="CW225" s="89">
        <v>14881.839773713753</v>
      </c>
      <c r="CX225" s="89">
        <v>-446.52166835903517</v>
      </c>
      <c r="CY225" s="89">
        <v>35888.456643039033</v>
      </c>
      <c r="CZ225" s="89"/>
      <c r="DA225" s="88">
        <v>82387.906065676158</v>
      </c>
      <c r="DB225" s="89">
        <v>-5686.59197481111</v>
      </c>
      <c r="DC225" s="89">
        <v>-8896.6157993128363</v>
      </c>
      <c r="DD225" s="89">
        <v>3210.0238245017254</v>
      </c>
      <c r="DE225" s="89">
        <v>134028.54079173075</v>
      </c>
      <c r="DF225" s="89">
        <v>-45954.042751243491</v>
      </c>
      <c r="DG225" s="88">
        <v>302439.56928</v>
      </c>
      <c r="DH225" s="89">
        <v>122855.37128000001</v>
      </c>
      <c r="DI225" s="89"/>
      <c r="DJ225" s="89"/>
      <c r="DK225" s="89">
        <v>185720.348</v>
      </c>
      <c r="DL225" s="89">
        <v>-6136.15</v>
      </c>
      <c r="DM225" s="88">
        <v>4306151.8001166899</v>
      </c>
      <c r="DN225" s="89">
        <v>1658475.0960000001</v>
      </c>
      <c r="DO225" s="89">
        <v>1490125.7590000001</v>
      </c>
      <c r="DP225" s="89">
        <v>168349.337</v>
      </c>
      <c r="DQ225" s="89">
        <v>2647676.7039999999</v>
      </c>
      <c r="DR225" s="89"/>
      <c r="DS225" s="88">
        <v>67117.089194760105</v>
      </c>
      <c r="DT225" s="89">
        <v>36350.034535481318</v>
      </c>
      <c r="DU225" s="89">
        <v>35461.995232011497</v>
      </c>
      <c r="DV225" s="89">
        <v>888.03930346982406</v>
      </c>
      <c r="DW225" s="89">
        <v>49649.745420170919</v>
      </c>
      <c r="DX225" s="89">
        <v>-18882.690760892139</v>
      </c>
      <c r="DY225" s="88">
        <v>10417.802931</v>
      </c>
      <c r="DZ225" s="89">
        <f t="shared" si="15"/>
        <v>-202.35198200000002</v>
      </c>
      <c r="EA225" s="89">
        <v>1012.519105</v>
      </c>
      <c r="EB225" s="89">
        <v>-1214.871087</v>
      </c>
      <c r="EC225" s="89">
        <v>10620.154913</v>
      </c>
      <c r="ED225" s="89"/>
      <c r="EE225" s="88">
        <v>13463.82917683398</v>
      </c>
      <c r="EF225" s="89">
        <v>-1633.1302573600003</v>
      </c>
      <c r="EG225" s="89">
        <v>-1653.4490378700002</v>
      </c>
      <c r="EH225" s="89">
        <v>20.318780509999996</v>
      </c>
      <c r="EI225" s="89">
        <v>19415.083689190003</v>
      </c>
      <c r="EJ225" s="89">
        <v>-4318.1242549960189</v>
      </c>
      <c r="EK225" s="88">
        <v>10514475.041737493</v>
      </c>
      <c r="EL225" s="89">
        <v>-2561667.2226662096</v>
      </c>
      <c r="EM225" s="89">
        <v>-1975074.6584467194</v>
      </c>
      <c r="EN225" s="89">
        <v>-586592.56421948993</v>
      </c>
      <c r="EO225" s="89">
        <v>13302030.322810702</v>
      </c>
      <c r="EP225" s="89">
        <v>-225888.05840699997</v>
      </c>
      <c r="EQ225" s="88">
        <v>61558.841457670002</v>
      </c>
      <c r="ER225" s="89">
        <v>-21598.153195880001</v>
      </c>
      <c r="ES225" s="89"/>
      <c r="ET225" s="89"/>
      <c r="EU225" s="89">
        <v>116896.61375853</v>
      </c>
      <c r="EV225" s="89">
        <v>-33739.619104979996</v>
      </c>
      <c r="EW225" s="88">
        <v>583352.17117807025</v>
      </c>
      <c r="EX225" s="89">
        <f t="shared" si="17"/>
        <v>298150.14824515005</v>
      </c>
      <c r="EY225" s="89">
        <v>286585.43115090003</v>
      </c>
      <c r="EZ225" s="89">
        <v>11564.717094249998</v>
      </c>
      <c r="FA225" s="89">
        <v>335622.21979919006</v>
      </c>
      <c r="FB225" s="89">
        <v>-50420.196866269849</v>
      </c>
      <c r="FC225" s="88">
        <v>1510.7182340000002</v>
      </c>
      <c r="FD225" s="89">
        <v>359.83023400000008</v>
      </c>
      <c r="FE225" s="89">
        <v>674.43539800000008</v>
      </c>
      <c r="FF225" s="89">
        <v>-314.605164</v>
      </c>
      <c r="FG225" s="89">
        <v>1150.8879999999999</v>
      </c>
      <c r="FH225" s="89"/>
      <c r="FI225" s="88">
        <v>912.71835500000009</v>
      </c>
      <c r="FJ225" s="89">
        <v>28.961355000000005</v>
      </c>
      <c r="FK225" s="89">
        <v>74.165766000000005</v>
      </c>
      <c r="FL225" s="89">
        <v>-45.204411</v>
      </c>
      <c r="FM225" s="89">
        <v>883.75699999999995</v>
      </c>
      <c r="FN225" s="89"/>
      <c r="FO225" s="88">
        <v>3231.0979179999999</v>
      </c>
      <c r="FP225" s="89">
        <v>-262.00408199999998</v>
      </c>
      <c r="FQ225" s="89">
        <v>1.6977949999999837</v>
      </c>
      <c r="FR225" s="89">
        <v>-263.70187699999997</v>
      </c>
      <c r="FS225" s="89">
        <v>3493.1019999999999</v>
      </c>
      <c r="FT225" s="89"/>
      <c r="FU225" s="88">
        <v>2191.2000000000003</v>
      </c>
      <c r="FV225" s="89">
        <v>130.9</v>
      </c>
      <c r="FW225" s="89">
        <v>101.2</v>
      </c>
      <c r="FX225" s="89">
        <v>29.7</v>
      </c>
      <c r="FY225" s="89">
        <v>2031</v>
      </c>
      <c r="FZ225" s="89">
        <v>29.3</v>
      </c>
      <c r="GA225" s="88">
        <v>12303.8</v>
      </c>
      <c r="GB225" s="89">
        <v>-28052.400000000001</v>
      </c>
      <c r="GC225" s="89">
        <v>-32317.7</v>
      </c>
      <c r="GD225" s="89">
        <v>4265.3</v>
      </c>
      <c r="GE225" s="89">
        <v>40356.199999999997</v>
      </c>
      <c r="GF225" s="89"/>
      <c r="GG225" s="88"/>
      <c r="GH225" s="89"/>
      <c r="GI225" s="89"/>
      <c r="GJ225" s="89"/>
      <c r="GK225" s="89"/>
      <c r="GL225" s="89"/>
      <c r="GM225" s="88">
        <v>174067.37338156003</v>
      </c>
      <c r="GN225" s="89">
        <v>18905.608780080001</v>
      </c>
      <c r="GO225" s="89">
        <v>18177.037094989999</v>
      </c>
      <c r="GP225" s="89">
        <v>728.57168509000167</v>
      </c>
      <c r="GQ225" s="89">
        <v>125622.62069023002</v>
      </c>
      <c r="GR225" s="89">
        <v>29539.143911249997</v>
      </c>
    </row>
    <row r="226" spans="1:200">
      <c r="A226" s="69"/>
      <c r="B226" s="93" t="s">
        <v>495</v>
      </c>
      <c r="C226" s="88">
        <v>2475.1569019999997</v>
      </c>
      <c r="D226" s="87">
        <v>14.082901999999962</v>
      </c>
      <c r="E226" s="87">
        <v>253.97418599999997</v>
      </c>
      <c r="F226" s="87">
        <v>-239.89128400000001</v>
      </c>
      <c r="G226" s="87">
        <v>2461.0740000000001</v>
      </c>
      <c r="H226" s="87"/>
      <c r="I226" s="88">
        <v>178827.67099999997</v>
      </c>
      <c r="J226" s="89">
        <v>167434.454</v>
      </c>
      <c r="K226" s="89"/>
      <c r="L226" s="89"/>
      <c r="M226" s="89">
        <v>132737.57999999999</v>
      </c>
      <c r="N226" s="89">
        <v>-121304.363</v>
      </c>
      <c r="O226" s="88">
        <v>7502.7</v>
      </c>
      <c r="P226" s="89"/>
      <c r="Q226" s="89"/>
      <c r="R226" s="89"/>
      <c r="S226" s="89"/>
      <c r="T226" s="89"/>
      <c r="U226" s="88">
        <v>6556.5383000000002</v>
      </c>
      <c r="V226" s="89">
        <v>1371.6163000000001</v>
      </c>
      <c r="W226" s="89">
        <v>746.30630000000008</v>
      </c>
      <c r="X226" s="89">
        <v>625.30999999999995</v>
      </c>
      <c r="Y226" s="89">
        <v>5184.9219999999996</v>
      </c>
      <c r="Z226" s="89"/>
      <c r="AA226" s="88">
        <v>1850.4359999999999</v>
      </c>
      <c r="AB226" s="89">
        <v>190.86</v>
      </c>
      <c r="AC226" s="89">
        <v>177.97</v>
      </c>
      <c r="AD226" s="89">
        <v>12.89</v>
      </c>
      <c r="AE226" s="89">
        <v>1659.576</v>
      </c>
      <c r="AF226" s="89"/>
      <c r="AG226" s="88">
        <v>45457.016687773852</v>
      </c>
      <c r="AH226" s="89">
        <v>9393.9982983937643</v>
      </c>
      <c r="AI226" s="89">
        <v>9393.9982983937643</v>
      </c>
      <c r="AJ226" s="89"/>
      <c r="AK226" s="89">
        <v>36063.018389380086</v>
      </c>
      <c r="AL226" s="89"/>
      <c r="AM226" s="88">
        <v>2582051</v>
      </c>
      <c r="AN226" s="89">
        <v>1072562</v>
      </c>
      <c r="AO226" s="89">
        <v>1055101</v>
      </c>
      <c r="AP226" s="89">
        <v>17461</v>
      </c>
      <c r="AQ226" s="89">
        <v>1256559</v>
      </c>
      <c r="AR226" s="89">
        <v>252929</v>
      </c>
      <c r="AS226" s="88">
        <v>56066000</v>
      </c>
      <c r="AT226" s="89">
        <v>-2957000</v>
      </c>
      <c r="AU226" s="89">
        <v>-2957000</v>
      </c>
      <c r="AV226" s="89"/>
      <c r="AW226" s="89">
        <v>65352000</v>
      </c>
      <c r="AX226" s="89">
        <v>-6329000</v>
      </c>
      <c r="AY226" s="88">
        <v>140792918.86766028</v>
      </c>
      <c r="AZ226" s="89">
        <f t="shared" si="16"/>
        <v>17847273.416174755</v>
      </c>
      <c r="BA226" s="89">
        <v>9905857.5043307524</v>
      </c>
      <c r="BB226" s="89">
        <v>7941415.9118440002</v>
      </c>
      <c r="BC226" s="89">
        <v>122945645.45148554</v>
      </c>
      <c r="BD226" s="89"/>
      <c r="BE226" s="88">
        <v>6737099.1466375897</v>
      </c>
      <c r="BF226" s="89">
        <v>302650.27602374001</v>
      </c>
      <c r="BG226" s="89">
        <v>236916.28806381</v>
      </c>
      <c r="BH226" s="89">
        <v>65733.987959930004</v>
      </c>
      <c r="BI226" s="89">
        <v>7179938.8106406294</v>
      </c>
      <c r="BJ226" s="89">
        <v>-745489.94002678001</v>
      </c>
      <c r="BK226" s="88">
        <v>469.47190800000004</v>
      </c>
      <c r="BL226" s="89">
        <v>-116.27309200000001</v>
      </c>
      <c r="BM226" s="89">
        <v>-32.007503999999997</v>
      </c>
      <c r="BN226" s="89">
        <v>-84.265588000000008</v>
      </c>
      <c r="BO226" s="89">
        <v>585.745</v>
      </c>
      <c r="BP226" s="89"/>
      <c r="BQ226" s="88">
        <v>7214.3416939999997</v>
      </c>
      <c r="BR226" s="89">
        <v>-5484.1111860000001</v>
      </c>
      <c r="BS226" s="89">
        <v>-2611.4025730000003</v>
      </c>
      <c r="BT226" s="89">
        <v>-2872.7086129999998</v>
      </c>
      <c r="BU226" s="89">
        <v>12738.452880000001</v>
      </c>
      <c r="BV226" s="89"/>
      <c r="BW226" s="88">
        <v>11465.621074226723</v>
      </c>
      <c r="BX226" s="89">
        <v>3849.7189312067258</v>
      </c>
      <c r="BY226" s="89">
        <v>3672.337467436726</v>
      </c>
      <c r="BZ226" s="89">
        <v>177.38146376999998</v>
      </c>
      <c r="CA226" s="89">
        <v>9138.397471039998</v>
      </c>
      <c r="CB226" s="89">
        <v>-1522.4953280200004</v>
      </c>
      <c r="CC226" s="88">
        <v>1491.8292019999999</v>
      </c>
      <c r="CD226" s="89">
        <v>-14.047797999999986</v>
      </c>
      <c r="CE226" s="89">
        <v>99.134701000000007</v>
      </c>
      <c r="CF226" s="89">
        <v>-113.18249899999999</v>
      </c>
      <c r="CG226" s="89">
        <v>1505.877</v>
      </c>
      <c r="CH226" s="89"/>
      <c r="CI226" s="88">
        <v>90256.1</v>
      </c>
      <c r="CJ226" s="89">
        <v>23595.599999999999</v>
      </c>
      <c r="CK226" s="89">
        <v>10944.9</v>
      </c>
      <c r="CL226" s="89">
        <v>12650.7</v>
      </c>
      <c r="CM226" s="89">
        <v>74777</v>
      </c>
      <c r="CN226" s="89">
        <v>-8116.4</v>
      </c>
      <c r="CO226" s="88">
        <v>47199.4</v>
      </c>
      <c r="CP226" s="89">
        <v>-21694.3</v>
      </c>
      <c r="CQ226" s="89">
        <v>119.2</v>
      </c>
      <c r="CR226" s="89">
        <v>-21813.5</v>
      </c>
      <c r="CS226" s="89">
        <v>79310.2</v>
      </c>
      <c r="CT226" s="89">
        <v>-10416.5</v>
      </c>
      <c r="CU226" s="88">
        <v>50172.383600880414</v>
      </c>
      <c r="CV226" s="89">
        <v>13897.564393992536</v>
      </c>
      <c r="CW226" s="89">
        <v>13925.555924578819</v>
      </c>
      <c r="CX226" s="89">
        <v>-27.991530586284171</v>
      </c>
      <c r="CY226" s="89">
        <v>36274.819206887878</v>
      </c>
      <c r="CZ226" s="89"/>
      <c r="DA226" s="88">
        <v>84196.825039982548</v>
      </c>
      <c r="DB226" s="89">
        <v>-5001.6063393576642</v>
      </c>
      <c r="DC226" s="89">
        <v>-8213.9050196185235</v>
      </c>
      <c r="DD226" s="89">
        <v>3212.2986802608593</v>
      </c>
      <c r="DE226" s="89">
        <v>134715.02238049687</v>
      </c>
      <c r="DF226" s="89">
        <v>-45516.591001156659</v>
      </c>
      <c r="DG226" s="88">
        <v>301338.68943999999</v>
      </c>
      <c r="DH226" s="89">
        <v>119714.34144</v>
      </c>
      <c r="DI226" s="89"/>
      <c r="DJ226" s="89"/>
      <c r="DK226" s="89">
        <v>194041.80799999999</v>
      </c>
      <c r="DL226" s="89">
        <v>-12417.46</v>
      </c>
      <c r="DM226" s="88">
        <v>4316484.9724277006</v>
      </c>
      <c r="DN226" s="89">
        <v>1634692.372</v>
      </c>
      <c r="DO226" s="89">
        <v>1463796.5719999999</v>
      </c>
      <c r="DP226" s="89">
        <v>170895.8</v>
      </c>
      <c r="DQ226" s="89">
        <v>2681792.6</v>
      </c>
      <c r="DR226" s="89"/>
      <c r="DS226" s="88">
        <v>68957.189852276497</v>
      </c>
      <c r="DT226" s="89">
        <v>37108.807615113743</v>
      </c>
      <c r="DU226" s="89">
        <v>36232.298562300333</v>
      </c>
      <c r="DV226" s="89">
        <v>876.50905281341204</v>
      </c>
      <c r="DW226" s="89">
        <v>50595.996778141714</v>
      </c>
      <c r="DX226" s="89">
        <v>-18747.614540978968</v>
      </c>
      <c r="DY226" s="88">
        <v>10484.352194999999</v>
      </c>
      <c r="DZ226" s="89">
        <f t="shared" si="15"/>
        <v>-255.23125500000003</v>
      </c>
      <c r="EA226" s="89">
        <v>950.776295</v>
      </c>
      <c r="EB226" s="89">
        <v>-1206.00755</v>
      </c>
      <c r="EC226" s="89">
        <v>10739.58345</v>
      </c>
      <c r="ED226" s="89"/>
      <c r="EE226" s="88">
        <v>13636.346257633719</v>
      </c>
      <c r="EF226" s="89">
        <v>-1560.2305876901999</v>
      </c>
      <c r="EG226" s="89">
        <v>-1579.0664059201999</v>
      </c>
      <c r="EH226" s="89">
        <v>18.835818229999994</v>
      </c>
      <c r="EI226" s="89">
        <v>19783.704646089998</v>
      </c>
      <c r="EJ226" s="89">
        <v>-4587.1278007660794</v>
      </c>
      <c r="EK226" s="88">
        <v>10869649.694314117</v>
      </c>
      <c r="EL226" s="89">
        <v>-2721657.1701446502</v>
      </c>
      <c r="EM226" s="89">
        <v>-2095183.5183406798</v>
      </c>
      <c r="EN226" s="89">
        <v>-626473.6518039701</v>
      </c>
      <c r="EO226" s="89">
        <v>13754241.876244567</v>
      </c>
      <c r="EP226" s="89">
        <v>-162935.01178579999</v>
      </c>
      <c r="EQ226" s="88">
        <v>63134.477648699998</v>
      </c>
      <c r="ER226" s="89">
        <v>-21188.16059702</v>
      </c>
      <c r="ES226" s="89"/>
      <c r="ET226" s="89"/>
      <c r="EU226" s="89">
        <v>114386.90844199999</v>
      </c>
      <c r="EV226" s="89">
        <v>-30064.270196279991</v>
      </c>
      <c r="EW226" s="88">
        <v>585797.72820763313</v>
      </c>
      <c r="EX226" s="89">
        <f t="shared" si="17"/>
        <v>299302.35501112998</v>
      </c>
      <c r="EY226" s="89">
        <v>287807.33198197</v>
      </c>
      <c r="EZ226" s="89">
        <v>11495.023029160002</v>
      </c>
      <c r="FA226" s="89">
        <v>334060.53588539007</v>
      </c>
      <c r="FB226" s="89">
        <v>-47565.162688886921</v>
      </c>
      <c r="FC226" s="88">
        <v>1499.31594</v>
      </c>
      <c r="FD226" s="89">
        <v>332.80094000000003</v>
      </c>
      <c r="FE226" s="89">
        <v>654.62949000000003</v>
      </c>
      <c r="FF226" s="89">
        <v>-321.82855000000001</v>
      </c>
      <c r="FG226" s="89">
        <v>1166.5150000000001</v>
      </c>
      <c r="FH226" s="89"/>
      <c r="FI226" s="88">
        <v>916.14151200000003</v>
      </c>
      <c r="FJ226" s="89">
        <v>27.107512000000007</v>
      </c>
      <c r="FK226" s="89">
        <v>65.692923000000008</v>
      </c>
      <c r="FL226" s="89">
        <v>-38.585411000000001</v>
      </c>
      <c r="FM226" s="89">
        <v>889.03399999999999</v>
      </c>
      <c r="FN226" s="89"/>
      <c r="FO226" s="88">
        <v>3222.4204280000004</v>
      </c>
      <c r="FP226" s="89">
        <v>-312.225572</v>
      </c>
      <c r="FQ226" s="89">
        <v>-55.123695000000005</v>
      </c>
      <c r="FR226" s="89">
        <v>-257.101877</v>
      </c>
      <c r="FS226" s="89">
        <v>3534.6460000000002</v>
      </c>
      <c r="FT226" s="89"/>
      <c r="FU226" s="88">
        <v>2153.6999999999998</v>
      </c>
      <c r="FV226" s="89">
        <v>13.7</v>
      </c>
      <c r="FW226" s="89">
        <v>-16</v>
      </c>
      <c r="FX226" s="89">
        <v>29.7</v>
      </c>
      <c r="FY226" s="89">
        <v>2112.8000000000002</v>
      </c>
      <c r="FZ226" s="89">
        <v>27.2</v>
      </c>
      <c r="GA226" s="88">
        <v>15529.5</v>
      </c>
      <c r="GB226" s="89">
        <v>-25224</v>
      </c>
      <c r="GC226" s="89">
        <v>-30444.1</v>
      </c>
      <c r="GD226" s="89">
        <v>5220.1000000000004</v>
      </c>
      <c r="GE226" s="89">
        <v>40753.5</v>
      </c>
      <c r="GF226" s="89"/>
      <c r="GG226" s="88"/>
      <c r="GH226" s="89"/>
      <c r="GI226" s="89"/>
      <c r="GJ226" s="89"/>
      <c r="GK226" s="89"/>
      <c r="GL226" s="89"/>
      <c r="GM226" s="88">
        <v>175541.19701847999</v>
      </c>
      <c r="GN226" s="89">
        <v>18772.044073279998</v>
      </c>
      <c r="GO226" s="89">
        <v>17801.89242729</v>
      </c>
      <c r="GP226" s="89">
        <v>970.15164598999922</v>
      </c>
      <c r="GQ226" s="89">
        <v>124686.07306408999</v>
      </c>
      <c r="GR226" s="89">
        <v>32083.079881109999</v>
      </c>
    </row>
    <row r="227" spans="1:200">
      <c r="A227" s="69"/>
      <c r="B227" s="93" t="s">
        <v>496</v>
      </c>
      <c r="C227" s="88">
        <v>2539.0494399999998</v>
      </c>
      <c r="D227" s="87">
        <v>64.05444</v>
      </c>
      <c r="E227" s="87">
        <v>297.08172400000001</v>
      </c>
      <c r="F227" s="87">
        <v>-233.02728400000001</v>
      </c>
      <c r="G227" s="87">
        <v>2474.9949999999999</v>
      </c>
      <c r="H227" s="87"/>
      <c r="I227" s="88">
        <v>181677.641</v>
      </c>
      <c r="J227" s="89">
        <v>167725.541</v>
      </c>
      <c r="K227" s="89"/>
      <c r="L227" s="89"/>
      <c r="M227" s="89">
        <v>135389.068</v>
      </c>
      <c r="N227" s="89">
        <v>-121436.96799999999</v>
      </c>
      <c r="O227" s="88">
        <v>7640.2</v>
      </c>
      <c r="P227" s="89"/>
      <c r="Q227" s="89"/>
      <c r="R227" s="89"/>
      <c r="S227" s="89"/>
      <c r="T227" s="89"/>
      <c r="U227" s="88">
        <v>6667.6465599999992</v>
      </c>
      <c r="V227" s="89">
        <v>1445.3315600000001</v>
      </c>
      <c r="W227" s="89">
        <v>807.12456000000009</v>
      </c>
      <c r="X227" s="89">
        <v>638.20699999999999</v>
      </c>
      <c r="Y227" s="89">
        <v>5222.3149999999996</v>
      </c>
      <c r="Z227" s="89"/>
      <c r="AA227" s="88">
        <v>1886.0740000000001</v>
      </c>
      <c r="AB227" s="89">
        <v>202.50300000000001</v>
      </c>
      <c r="AC227" s="89">
        <v>189.66900000000001</v>
      </c>
      <c r="AD227" s="89">
        <v>12.834</v>
      </c>
      <c r="AE227" s="89">
        <v>1683.5709999999999</v>
      </c>
      <c r="AF227" s="89"/>
      <c r="AG227" s="88">
        <v>45650.474173989584</v>
      </c>
      <c r="AH227" s="89">
        <v>9429.7625929370442</v>
      </c>
      <c r="AI227" s="89">
        <v>9429.7625929370442</v>
      </c>
      <c r="AJ227" s="89"/>
      <c r="AK227" s="89">
        <v>36220.711581052543</v>
      </c>
      <c r="AL227" s="89"/>
      <c r="AM227" s="88">
        <v>2623776</v>
      </c>
      <c r="AN227" s="89">
        <v>1069256</v>
      </c>
      <c r="AO227" s="89">
        <v>1048757</v>
      </c>
      <c r="AP227" s="89">
        <v>20499</v>
      </c>
      <c r="AQ227" s="89">
        <v>1288111</v>
      </c>
      <c r="AR227" s="89">
        <v>266410</v>
      </c>
      <c r="AS227" s="88">
        <v>56635000</v>
      </c>
      <c r="AT227" s="89">
        <v>-2364000</v>
      </c>
      <c r="AU227" s="89">
        <v>-2364000</v>
      </c>
      <c r="AV227" s="89"/>
      <c r="AW227" s="89">
        <v>65601000</v>
      </c>
      <c r="AX227" s="89">
        <v>-6602000</v>
      </c>
      <c r="AY227" s="88">
        <v>143702340.48454469</v>
      </c>
      <c r="AZ227" s="89">
        <f t="shared" si="16"/>
        <v>19270592.884163111</v>
      </c>
      <c r="BA227" s="89">
        <v>11061064.501643114</v>
      </c>
      <c r="BB227" s="89">
        <v>8209528.3825199986</v>
      </c>
      <c r="BC227" s="89">
        <v>124431747.60038158</v>
      </c>
      <c r="BD227" s="89"/>
      <c r="BE227" s="88">
        <v>6759985.95059493</v>
      </c>
      <c r="BF227" s="89">
        <v>292390.30517820001</v>
      </c>
      <c r="BG227" s="89">
        <v>226325.00026194999</v>
      </c>
      <c r="BH227" s="89">
        <v>66065.304916249996</v>
      </c>
      <c r="BI227" s="89">
        <v>7275894.6666726805</v>
      </c>
      <c r="BJ227" s="89">
        <v>-808299.02125594998</v>
      </c>
      <c r="BK227" s="88">
        <v>431.69626900000003</v>
      </c>
      <c r="BL227" s="89">
        <v>-151.71073100000001</v>
      </c>
      <c r="BM227" s="89">
        <v>-64.078721999999985</v>
      </c>
      <c r="BN227" s="89">
        <v>-87.632009000000011</v>
      </c>
      <c r="BO227" s="89">
        <v>583.40700000000004</v>
      </c>
      <c r="BP227" s="89"/>
      <c r="BQ227" s="88">
        <v>7223.4092569999984</v>
      </c>
      <c r="BR227" s="89">
        <v>-5890.3608790000008</v>
      </c>
      <c r="BS227" s="89">
        <v>-2887.0864550000006</v>
      </c>
      <c r="BT227" s="89">
        <v>-3003.2744240000002</v>
      </c>
      <c r="BU227" s="89">
        <v>13113.770135999999</v>
      </c>
      <c r="BV227" s="89"/>
      <c r="BW227" s="88">
        <v>11610.964618854974</v>
      </c>
      <c r="BX227" s="89">
        <v>3874.9898967359745</v>
      </c>
      <c r="BY227" s="89">
        <v>3709.2637759859745</v>
      </c>
      <c r="BZ227" s="89">
        <v>165.72612075000001</v>
      </c>
      <c r="CA227" s="89">
        <v>9242.126230580001</v>
      </c>
      <c r="CB227" s="89">
        <v>-1506.1515084609996</v>
      </c>
      <c r="CC227" s="88">
        <v>1518.8941420000001</v>
      </c>
      <c r="CD227" s="89">
        <v>-4.2158579999999972</v>
      </c>
      <c r="CE227" s="89">
        <v>110.654641</v>
      </c>
      <c r="CF227" s="89">
        <v>-114.870499</v>
      </c>
      <c r="CG227" s="89">
        <v>1523.11</v>
      </c>
      <c r="CH227" s="89"/>
      <c r="CI227" s="88">
        <v>90301.7</v>
      </c>
      <c r="CJ227" s="89">
        <v>23223.599999999999</v>
      </c>
      <c r="CK227" s="89">
        <v>10522.4</v>
      </c>
      <c r="CL227" s="89">
        <v>12701.199999999999</v>
      </c>
      <c r="CM227" s="89">
        <v>75301.5</v>
      </c>
      <c r="CN227" s="89">
        <v>-8223.2999999999993</v>
      </c>
      <c r="CO227" s="88">
        <v>55088.6</v>
      </c>
      <c r="CP227" s="89">
        <v>-15569.5</v>
      </c>
      <c r="CQ227" s="89">
        <v>6859</v>
      </c>
      <c r="CR227" s="89">
        <v>-22428.5</v>
      </c>
      <c r="CS227" s="89">
        <v>81557.3</v>
      </c>
      <c r="CT227" s="89">
        <v>-10899.3</v>
      </c>
      <c r="CU227" s="88">
        <v>49736.068899489241</v>
      </c>
      <c r="CV227" s="89">
        <v>13063.006507470103</v>
      </c>
      <c r="CW227" s="89">
        <v>13024.072661545259</v>
      </c>
      <c r="CX227" s="89">
        <v>38.933845924845741</v>
      </c>
      <c r="CY227" s="89">
        <v>36673.062392019136</v>
      </c>
      <c r="CZ227" s="89"/>
      <c r="DA227" s="88">
        <v>85804.79752109306</v>
      </c>
      <c r="DB227" s="89">
        <v>-4943.8779627440827</v>
      </c>
      <c r="DC227" s="89">
        <v>-8141.8609919449427</v>
      </c>
      <c r="DD227" s="89">
        <v>3197.9830292008601</v>
      </c>
      <c r="DE227" s="89">
        <v>136416.83997494285</v>
      </c>
      <c r="DF227" s="89">
        <v>-45668.164491105694</v>
      </c>
      <c r="DG227" s="88">
        <v>301985.06742000004</v>
      </c>
      <c r="DH227" s="89">
        <v>117568.67342000001</v>
      </c>
      <c r="DI227" s="89"/>
      <c r="DJ227" s="89"/>
      <c r="DK227" s="89">
        <v>197407.954</v>
      </c>
      <c r="DL227" s="89">
        <v>-12991.56</v>
      </c>
      <c r="DM227" s="88">
        <v>4288568.8717321698</v>
      </c>
      <c r="DN227" s="89">
        <v>1591870.0720000002</v>
      </c>
      <c r="DO227" s="89">
        <v>1419189.4720000001</v>
      </c>
      <c r="DP227" s="89">
        <v>172680.6</v>
      </c>
      <c r="DQ227" s="89">
        <v>2696698.8</v>
      </c>
      <c r="DR227" s="89"/>
      <c r="DS227" s="88">
        <v>69983.11066191108</v>
      </c>
      <c r="DT227" s="89">
        <v>37219.731564904636</v>
      </c>
      <c r="DU227" s="89">
        <v>36350.663093981013</v>
      </c>
      <c r="DV227" s="89">
        <v>869.06847092362591</v>
      </c>
      <c r="DW227" s="89">
        <v>51476.093173304733</v>
      </c>
      <c r="DX227" s="89">
        <v>-18712.714076298282</v>
      </c>
      <c r="DY227" s="88">
        <v>10682.276929</v>
      </c>
      <c r="DZ227" s="89">
        <f t="shared" si="15"/>
        <v>-162.44344299999989</v>
      </c>
      <c r="EA227" s="89">
        <v>1065.0001850000001</v>
      </c>
      <c r="EB227" s="89">
        <v>-1227.443628</v>
      </c>
      <c r="EC227" s="89">
        <v>10844.720372</v>
      </c>
      <c r="ED227" s="89"/>
      <c r="EE227" s="88">
        <v>14287.827347104181</v>
      </c>
      <c r="EF227" s="89">
        <v>-1452.1710036315001</v>
      </c>
      <c r="EG227" s="89">
        <v>-1454.5329285315001</v>
      </c>
      <c r="EH227" s="89">
        <v>2.3619249</v>
      </c>
      <c r="EI227" s="89">
        <v>20192.25517525</v>
      </c>
      <c r="EJ227" s="89">
        <v>-4452.2568245143211</v>
      </c>
      <c r="EK227" s="88">
        <v>10906494.806688718</v>
      </c>
      <c r="EL227" s="89">
        <v>-3048324.8526806999</v>
      </c>
      <c r="EM227" s="89">
        <v>-2345655.7796678501</v>
      </c>
      <c r="EN227" s="89">
        <v>-702669.07301285001</v>
      </c>
      <c r="EO227" s="89">
        <v>14146422.401615819</v>
      </c>
      <c r="EP227" s="89">
        <v>-191602.74224640004</v>
      </c>
      <c r="EQ227" s="88">
        <v>60923.952227600006</v>
      </c>
      <c r="ER227" s="89">
        <v>-22720.005351300002</v>
      </c>
      <c r="ES227" s="89"/>
      <c r="ET227" s="89"/>
      <c r="EU227" s="89">
        <v>117554.6260053</v>
      </c>
      <c r="EV227" s="89">
        <v>-33910.668426399992</v>
      </c>
      <c r="EW227" s="88">
        <v>591788.51371514797</v>
      </c>
      <c r="EX227" s="89">
        <f t="shared" si="17"/>
        <v>297903.85856925009</v>
      </c>
      <c r="EY227" s="89">
        <v>284568.49859654007</v>
      </c>
      <c r="EZ227" s="89">
        <v>13335.359972710001</v>
      </c>
      <c r="FA227" s="89">
        <v>337832.87057309999</v>
      </c>
      <c r="FB227" s="89">
        <v>-43948.215427202129</v>
      </c>
      <c r="FC227" s="88">
        <v>1520.076611</v>
      </c>
      <c r="FD227" s="89">
        <v>340.406611</v>
      </c>
      <c r="FE227" s="89">
        <v>658.861942</v>
      </c>
      <c r="FF227" s="89">
        <v>-318.455331</v>
      </c>
      <c r="FG227" s="89">
        <v>1179.67</v>
      </c>
      <c r="FH227" s="89"/>
      <c r="FI227" s="88">
        <v>900.146119</v>
      </c>
      <c r="FJ227" s="89">
        <v>2.3211189999999817</v>
      </c>
      <c r="FK227" s="89">
        <v>75.268405999999985</v>
      </c>
      <c r="FL227" s="89">
        <v>-72.947287000000003</v>
      </c>
      <c r="FM227" s="89">
        <v>897.82500000000005</v>
      </c>
      <c r="FN227" s="89"/>
      <c r="FO227" s="88">
        <v>3352.7937770000003</v>
      </c>
      <c r="FP227" s="89">
        <v>-228.58822300000003</v>
      </c>
      <c r="FQ227" s="89">
        <v>24.026653999999979</v>
      </c>
      <c r="FR227" s="89">
        <v>-252.61487700000001</v>
      </c>
      <c r="FS227" s="89">
        <v>3581.3820000000001</v>
      </c>
      <c r="FT227" s="89"/>
      <c r="FU227" s="88">
        <v>2225.8000000000002</v>
      </c>
      <c r="FV227" s="89">
        <v>31.400000000000002</v>
      </c>
      <c r="FW227" s="89">
        <v>1.8</v>
      </c>
      <c r="FX227" s="89">
        <v>29.6</v>
      </c>
      <c r="FY227" s="89">
        <v>2166.8000000000002</v>
      </c>
      <c r="FZ227" s="89">
        <v>27.6</v>
      </c>
      <c r="GA227" s="88">
        <v>16680.400000000001</v>
      </c>
      <c r="GB227" s="89">
        <v>-24594.400000000001</v>
      </c>
      <c r="GC227" s="89">
        <v>-29597.7</v>
      </c>
      <c r="GD227" s="89">
        <v>5003.3</v>
      </c>
      <c r="GE227" s="89">
        <v>41274.699999999997</v>
      </c>
      <c r="GF227" s="89"/>
      <c r="GG227" s="88"/>
      <c r="GH227" s="89"/>
      <c r="GI227" s="89"/>
      <c r="GJ227" s="89"/>
      <c r="GK227" s="89"/>
      <c r="GL227" s="89"/>
      <c r="GM227" s="88">
        <v>176471.28156609999</v>
      </c>
      <c r="GN227" s="89">
        <v>17411.43862605</v>
      </c>
      <c r="GO227" s="89">
        <v>16762.010531579999</v>
      </c>
      <c r="GP227" s="89">
        <v>649.42809446999991</v>
      </c>
      <c r="GQ227" s="89">
        <v>126699.33324219999</v>
      </c>
      <c r="GR227" s="89">
        <v>32360.509697850004</v>
      </c>
    </row>
    <row r="228" spans="1:200">
      <c r="A228" s="69"/>
      <c r="B228" s="93" t="s">
        <v>497</v>
      </c>
      <c r="C228" s="88">
        <v>2555.0207599999999</v>
      </c>
      <c r="D228" s="87">
        <v>59.936759999999992</v>
      </c>
      <c r="E228" s="87">
        <v>310.368042</v>
      </c>
      <c r="F228" s="87">
        <v>-250.43128200000001</v>
      </c>
      <c r="G228" s="87">
        <v>2495.0839999999998</v>
      </c>
      <c r="H228" s="87"/>
      <c r="I228" s="88">
        <v>181094.87800000003</v>
      </c>
      <c r="J228" s="89">
        <v>167761.24400000001</v>
      </c>
      <c r="K228" s="89"/>
      <c r="L228" s="89"/>
      <c r="M228" s="89">
        <v>137951.98300000001</v>
      </c>
      <c r="N228" s="89">
        <v>-124618.349</v>
      </c>
      <c r="O228" s="88">
        <v>7685.5</v>
      </c>
      <c r="P228" s="89">
        <v>1230.9000000000001</v>
      </c>
      <c r="Q228" s="89">
        <v>795</v>
      </c>
      <c r="R228" s="89">
        <v>435.9</v>
      </c>
      <c r="S228" s="89">
        <v>6454.6</v>
      </c>
      <c r="T228" s="89"/>
      <c r="U228" s="88">
        <v>6730.5813000000007</v>
      </c>
      <c r="V228" s="89">
        <v>1464.5823</v>
      </c>
      <c r="W228" s="89">
        <v>826.75930000000005</v>
      </c>
      <c r="X228" s="89">
        <v>637.82299999999998</v>
      </c>
      <c r="Y228" s="89">
        <v>5265.9990000000007</v>
      </c>
      <c r="Z228" s="89"/>
      <c r="AA228" s="88">
        <v>1867.97</v>
      </c>
      <c r="AB228" s="89">
        <v>177.37299999999999</v>
      </c>
      <c r="AC228" s="89">
        <v>164.602</v>
      </c>
      <c r="AD228" s="89">
        <v>12.771000000000001</v>
      </c>
      <c r="AE228" s="89">
        <v>1690.597</v>
      </c>
      <c r="AF228" s="89"/>
      <c r="AG228" s="88">
        <v>46082.550004150668</v>
      </c>
      <c r="AH228" s="89">
        <v>9359.3253097105044</v>
      </c>
      <c r="AI228" s="89">
        <v>9359.3253097105044</v>
      </c>
      <c r="AJ228" s="89"/>
      <c r="AK228" s="89">
        <v>36723.224694440163</v>
      </c>
      <c r="AL228" s="89"/>
      <c r="AM228" s="88">
        <v>2612794</v>
      </c>
      <c r="AN228" s="89">
        <v>1011822</v>
      </c>
      <c r="AO228" s="89">
        <v>992268</v>
      </c>
      <c r="AP228" s="89">
        <v>19554</v>
      </c>
      <c r="AQ228" s="89">
        <v>1334242</v>
      </c>
      <c r="AR228" s="89">
        <v>266730</v>
      </c>
      <c r="AS228" s="88">
        <v>57244000</v>
      </c>
      <c r="AT228" s="89">
        <v>-3000000</v>
      </c>
      <c r="AU228" s="89">
        <v>-3000000</v>
      </c>
      <c r="AV228" s="89"/>
      <c r="AW228" s="89">
        <v>67452000</v>
      </c>
      <c r="AX228" s="89">
        <v>-7208000</v>
      </c>
      <c r="AY228" s="88">
        <v>148915507.40934736</v>
      </c>
      <c r="AZ228" s="89">
        <f t="shared" si="16"/>
        <v>21512250.196253859</v>
      </c>
      <c r="BA228" s="89">
        <v>13360839.52448386</v>
      </c>
      <c r="BB228" s="89">
        <v>8151410.6717700008</v>
      </c>
      <c r="BC228" s="89">
        <v>127403257.2130935</v>
      </c>
      <c r="BD228" s="89"/>
      <c r="BE228" s="88">
        <v>6940460.9545230204</v>
      </c>
      <c r="BF228" s="89">
        <v>327365.01203103998</v>
      </c>
      <c r="BG228" s="89">
        <v>261630.61349049999</v>
      </c>
      <c r="BH228" s="89">
        <v>65734.398540540002</v>
      </c>
      <c r="BI228" s="89">
        <v>7381189.6239248496</v>
      </c>
      <c r="BJ228" s="89">
        <v>-768093.68143286998</v>
      </c>
      <c r="BK228" s="88">
        <v>429.91342399999996</v>
      </c>
      <c r="BL228" s="89">
        <v>-157.58157600000001</v>
      </c>
      <c r="BM228" s="89">
        <v>-68.23657200000001</v>
      </c>
      <c r="BN228" s="89">
        <v>-89.345004000000003</v>
      </c>
      <c r="BO228" s="89">
        <v>587.495</v>
      </c>
      <c r="BP228" s="89"/>
      <c r="BQ228" s="88">
        <v>7201.9762309999987</v>
      </c>
      <c r="BR228" s="89">
        <v>-6245.6101519999993</v>
      </c>
      <c r="BS228" s="89">
        <v>-3126.9905719999997</v>
      </c>
      <c r="BT228" s="89">
        <v>-3118.61958</v>
      </c>
      <c r="BU228" s="89">
        <v>13447.586382999998</v>
      </c>
      <c r="BV228" s="89"/>
      <c r="BW228" s="88">
        <v>11635.342591261904</v>
      </c>
      <c r="BX228" s="89">
        <v>3922.6067059719044</v>
      </c>
      <c r="BY228" s="89">
        <v>3750.5355712619044</v>
      </c>
      <c r="BZ228" s="89">
        <v>172.07113471000002</v>
      </c>
      <c r="CA228" s="89">
        <v>9257.1497034799995</v>
      </c>
      <c r="CB228" s="89">
        <v>-1544.4138181899998</v>
      </c>
      <c r="CC228" s="88">
        <v>1528.541162</v>
      </c>
      <c r="CD228" s="89">
        <v>0.30216200000003823</v>
      </c>
      <c r="CE228" s="89">
        <v>121.91027000000003</v>
      </c>
      <c r="CF228" s="89">
        <v>-121.60810799999999</v>
      </c>
      <c r="CG228" s="89">
        <v>1528.239</v>
      </c>
      <c r="CH228" s="89"/>
      <c r="CI228" s="88">
        <v>91708.1</v>
      </c>
      <c r="CJ228" s="89">
        <v>24553.200000000001</v>
      </c>
      <c r="CK228" s="89">
        <v>11771.2</v>
      </c>
      <c r="CL228" s="89">
        <v>12782</v>
      </c>
      <c r="CM228" s="89">
        <v>76244.5</v>
      </c>
      <c r="CN228" s="89">
        <v>-9089.7999999999993</v>
      </c>
      <c r="CO228" s="88">
        <v>56514.6</v>
      </c>
      <c r="CP228" s="89">
        <v>-15785.6</v>
      </c>
      <c r="CQ228" s="89">
        <v>6224.6</v>
      </c>
      <c r="CR228" s="89">
        <v>-22010.2</v>
      </c>
      <c r="CS228" s="89">
        <v>82154.600000000006</v>
      </c>
      <c r="CT228" s="89">
        <v>-9854.4</v>
      </c>
      <c r="CU228" s="88">
        <v>49980.345231034298</v>
      </c>
      <c r="CV228" s="89">
        <v>12483.938410524195</v>
      </c>
      <c r="CW228" s="89">
        <v>12436.962568014234</v>
      </c>
      <c r="CX228" s="89">
        <v>46.975842509960728</v>
      </c>
      <c r="CY228" s="89">
        <v>37496.406820510107</v>
      </c>
      <c r="CZ228" s="89"/>
      <c r="DA228" s="88">
        <v>85864.921707804198</v>
      </c>
      <c r="DB228" s="89">
        <v>-6101.8670331866178</v>
      </c>
      <c r="DC228" s="89">
        <v>-9245.9954897274783</v>
      </c>
      <c r="DD228" s="89">
        <v>3144.12845654086</v>
      </c>
      <c r="DE228" s="89">
        <v>137681.25106230387</v>
      </c>
      <c r="DF228" s="89">
        <v>-45714.462321313033</v>
      </c>
      <c r="DG228" s="88">
        <v>312211.15213</v>
      </c>
      <c r="DH228" s="89">
        <v>125160.01513</v>
      </c>
      <c r="DI228" s="89"/>
      <c r="DJ228" s="89"/>
      <c r="DK228" s="89">
        <v>195945.32500000001</v>
      </c>
      <c r="DL228" s="89">
        <v>-8894.1880000000001</v>
      </c>
      <c r="DM228" s="88">
        <v>4298351.9523057202</v>
      </c>
      <c r="DN228" s="89">
        <v>1632923.0520000001</v>
      </c>
      <c r="DO228" s="89">
        <v>1461529.2520000001</v>
      </c>
      <c r="DP228" s="89">
        <v>171393.8</v>
      </c>
      <c r="DQ228" s="89">
        <v>2665428.9</v>
      </c>
      <c r="DR228" s="89"/>
      <c r="DS228" s="88">
        <v>70694.811553722451</v>
      </c>
      <c r="DT228" s="89">
        <v>37718.11259687454</v>
      </c>
      <c r="DU228" s="89">
        <v>36843.352886514826</v>
      </c>
      <c r="DV228" s="89">
        <v>874.75971035971588</v>
      </c>
      <c r="DW228" s="89">
        <v>51865.606105386032</v>
      </c>
      <c r="DX228" s="89">
        <v>-18888.90714853811</v>
      </c>
      <c r="DY228" s="88">
        <v>10740.086263000001</v>
      </c>
      <c r="DZ228" s="89">
        <f t="shared" si="15"/>
        <v>-156.62086499999987</v>
      </c>
      <c r="EA228" s="89">
        <v>1101.0110070000001</v>
      </c>
      <c r="EB228" s="89">
        <v>-1257.6318719999999</v>
      </c>
      <c r="EC228" s="89">
        <v>10896.707128</v>
      </c>
      <c r="ED228" s="89"/>
      <c r="EE228" s="88">
        <v>14484.061505405623</v>
      </c>
      <c r="EF228" s="89">
        <v>-1452.2811313012994</v>
      </c>
      <c r="EG228" s="89">
        <v>-1454.9778558912994</v>
      </c>
      <c r="EH228" s="89">
        <v>2.6967245900000001</v>
      </c>
      <c r="EI228" s="89">
        <v>20655.595474450001</v>
      </c>
      <c r="EJ228" s="89">
        <v>-4719.2528377430808</v>
      </c>
      <c r="EK228" s="88">
        <v>11347415.081353795</v>
      </c>
      <c r="EL228" s="89">
        <v>-3377362.2340146499</v>
      </c>
      <c r="EM228" s="89">
        <v>-2643867.3867865396</v>
      </c>
      <c r="EN228" s="89">
        <v>-733494.84722811007</v>
      </c>
      <c r="EO228" s="89">
        <v>14920779.470384143</v>
      </c>
      <c r="EP228" s="89">
        <v>-196002.15501570003</v>
      </c>
      <c r="EQ228" s="88">
        <v>59321.967170359989</v>
      </c>
      <c r="ER228" s="89">
        <v>-24411.40506528</v>
      </c>
      <c r="ES228" s="89"/>
      <c r="ET228" s="89"/>
      <c r="EU228" s="89">
        <v>118511.36907439999</v>
      </c>
      <c r="EV228" s="89">
        <v>-34777.996838760009</v>
      </c>
      <c r="EW228" s="88">
        <v>605101.33119314199</v>
      </c>
      <c r="EX228" s="89">
        <f t="shared" si="17"/>
        <v>303841.45200273395</v>
      </c>
      <c r="EY228" s="89">
        <v>291205.00682669395</v>
      </c>
      <c r="EZ228" s="89">
        <v>12636.445176039999</v>
      </c>
      <c r="FA228" s="89">
        <v>338669.42193346005</v>
      </c>
      <c r="FB228" s="89">
        <v>-37409.542743051985</v>
      </c>
      <c r="FC228" s="88">
        <v>1549.8868020000002</v>
      </c>
      <c r="FD228" s="89">
        <v>357.66780199999999</v>
      </c>
      <c r="FE228" s="89">
        <v>679.36310000000003</v>
      </c>
      <c r="FF228" s="89">
        <v>-321.69529800000004</v>
      </c>
      <c r="FG228" s="89">
        <v>1192.2190000000001</v>
      </c>
      <c r="FH228" s="89"/>
      <c r="FI228" s="88">
        <v>907.28473100000008</v>
      </c>
      <c r="FJ228" s="89">
        <v>-1.6172689999999932</v>
      </c>
      <c r="FK228" s="89">
        <v>59.381692000000008</v>
      </c>
      <c r="FL228" s="89">
        <v>-60.998961000000001</v>
      </c>
      <c r="FM228" s="89">
        <v>908.90200000000004</v>
      </c>
      <c r="FN228" s="89"/>
      <c r="FO228" s="88">
        <v>3336.0403850000002</v>
      </c>
      <c r="FP228" s="89">
        <v>-236.18761500000005</v>
      </c>
      <c r="FQ228" s="89">
        <v>24.069261999999988</v>
      </c>
      <c r="FR228" s="89">
        <v>-260.25687700000003</v>
      </c>
      <c r="FS228" s="89">
        <v>3572.2280000000001</v>
      </c>
      <c r="FT228" s="89"/>
      <c r="FU228" s="88">
        <v>2229.3000000000002</v>
      </c>
      <c r="FV228" s="89">
        <v>-24.1</v>
      </c>
      <c r="FW228" s="89">
        <v>-55.2</v>
      </c>
      <c r="FX228" s="89">
        <v>31.1</v>
      </c>
      <c r="FY228" s="89">
        <v>2223</v>
      </c>
      <c r="FZ228" s="89">
        <v>30.4</v>
      </c>
      <c r="GA228" s="88">
        <v>14242.3</v>
      </c>
      <c r="GB228" s="89">
        <v>-27506.2</v>
      </c>
      <c r="GC228" s="89">
        <v>-32509.5</v>
      </c>
      <c r="GD228" s="89">
        <v>5003.3</v>
      </c>
      <c r="GE228" s="89">
        <v>41748.5</v>
      </c>
      <c r="GF228" s="89"/>
      <c r="GG228" s="88"/>
      <c r="GH228" s="89"/>
      <c r="GI228" s="89"/>
      <c r="GJ228" s="89"/>
      <c r="GK228" s="89"/>
      <c r="GL228" s="89"/>
      <c r="GM228" s="88">
        <v>186152.253578</v>
      </c>
      <c r="GN228" s="89">
        <v>17429.002750379997</v>
      </c>
      <c r="GO228" s="89">
        <v>16791.347901499998</v>
      </c>
      <c r="GP228" s="89">
        <v>637.65484888000037</v>
      </c>
      <c r="GQ228" s="89">
        <v>130110.92093286</v>
      </c>
      <c r="GR228" s="89">
        <v>38612.329894760005</v>
      </c>
    </row>
    <row r="229" spans="1:200">
      <c r="A229" s="69"/>
      <c r="B229" s="93" t="s">
        <v>498</v>
      </c>
      <c r="C229" s="88">
        <v>2596.9614220000003</v>
      </c>
      <c r="D229" s="87">
        <v>67.340422000000018</v>
      </c>
      <c r="E229" s="87">
        <v>311.60437300000001</v>
      </c>
      <c r="F229" s="87">
        <v>-244.26395099999999</v>
      </c>
      <c r="G229" s="87">
        <v>2529.6210000000001</v>
      </c>
      <c r="H229" s="87"/>
      <c r="I229" s="88">
        <v>169797.13799999998</v>
      </c>
      <c r="J229" s="89">
        <v>153621.087</v>
      </c>
      <c r="K229" s="89"/>
      <c r="L229" s="89"/>
      <c r="M229" s="89">
        <v>141074.34299999999</v>
      </c>
      <c r="N229" s="89">
        <v>-124898.292</v>
      </c>
      <c r="O229" s="88">
        <v>7767.3</v>
      </c>
      <c r="P229" s="89"/>
      <c r="Q229" s="89"/>
      <c r="R229" s="89"/>
      <c r="S229" s="89"/>
      <c r="T229" s="89"/>
      <c r="U229" s="88">
        <v>6811.82377</v>
      </c>
      <c r="V229" s="89">
        <v>1457.50377</v>
      </c>
      <c r="W229" s="89">
        <v>805.40076999999997</v>
      </c>
      <c r="X229" s="89">
        <v>652.10300000000007</v>
      </c>
      <c r="Y229" s="89">
        <v>5354.32</v>
      </c>
      <c r="Z229" s="89"/>
      <c r="AA229" s="88">
        <v>1886.328</v>
      </c>
      <c r="AB229" s="89">
        <v>173.84100000000001</v>
      </c>
      <c r="AC229" s="89">
        <v>160.739</v>
      </c>
      <c r="AD229" s="89">
        <v>13.102</v>
      </c>
      <c r="AE229" s="89">
        <v>1712.4870000000001</v>
      </c>
      <c r="AF229" s="89"/>
      <c r="AG229" s="88">
        <v>46699.719201541317</v>
      </c>
      <c r="AH229" s="89">
        <v>9690.2148116493026</v>
      </c>
      <c r="AI229" s="89">
        <v>9690.2148116493026</v>
      </c>
      <c r="AJ229" s="89"/>
      <c r="AK229" s="89">
        <v>37009.504389892012</v>
      </c>
      <c r="AL229" s="89"/>
      <c r="AM229" s="88">
        <v>2575009</v>
      </c>
      <c r="AN229" s="89">
        <v>961739</v>
      </c>
      <c r="AO229" s="89">
        <v>942630</v>
      </c>
      <c r="AP229" s="89">
        <v>19109</v>
      </c>
      <c r="AQ229" s="89">
        <v>1359921</v>
      </c>
      <c r="AR229" s="89">
        <v>253349</v>
      </c>
      <c r="AS229" s="88">
        <v>56796000</v>
      </c>
      <c r="AT229" s="89">
        <v>-4416000</v>
      </c>
      <c r="AU229" s="89">
        <v>-4416000</v>
      </c>
      <c r="AV229" s="89"/>
      <c r="AW229" s="89">
        <v>70083000</v>
      </c>
      <c r="AX229" s="89">
        <v>-8871000</v>
      </c>
      <c r="AY229" s="88">
        <v>152213390.36392748</v>
      </c>
      <c r="AZ229" s="89">
        <f t="shared" si="16"/>
        <v>21871966.848129958</v>
      </c>
      <c r="BA229" s="89">
        <v>13921632.826159958</v>
      </c>
      <c r="BB229" s="89">
        <v>7950334.0219699992</v>
      </c>
      <c r="BC229" s="89">
        <v>130341423.51579756</v>
      </c>
      <c r="BD229" s="89"/>
      <c r="BE229" s="88">
        <v>6975948.2462289203</v>
      </c>
      <c r="BF229" s="89">
        <v>279440.52713932999</v>
      </c>
      <c r="BG229" s="89">
        <v>209326.03091085001</v>
      </c>
      <c r="BH229" s="89">
        <v>70114.496228479999</v>
      </c>
      <c r="BI229" s="89">
        <v>7489310.67858727</v>
      </c>
      <c r="BJ229" s="89">
        <v>-792802.95949767996</v>
      </c>
      <c r="BK229" s="88">
        <v>444.62863299999998</v>
      </c>
      <c r="BL229" s="89">
        <v>-159.69136700000001</v>
      </c>
      <c r="BM229" s="89">
        <v>-72.367482999999993</v>
      </c>
      <c r="BN229" s="89">
        <v>-87.323884000000007</v>
      </c>
      <c r="BO229" s="89">
        <v>604.32000000000005</v>
      </c>
      <c r="BP229" s="89"/>
      <c r="BQ229" s="88">
        <v>7833.4691909999992</v>
      </c>
      <c r="BR229" s="89">
        <v>-5942.4906149999997</v>
      </c>
      <c r="BS229" s="89">
        <v>-2824.2624020000003</v>
      </c>
      <c r="BT229" s="89">
        <v>-3118.2282129999994</v>
      </c>
      <c r="BU229" s="89">
        <v>13775.959805999999</v>
      </c>
      <c r="BV229" s="89"/>
      <c r="BW229" s="88">
        <v>11625.203549605361</v>
      </c>
      <c r="BX229" s="89">
        <v>3949.2761278153598</v>
      </c>
      <c r="BY229" s="89">
        <v>3769.84781227536</v>
      </c>
      <c r="BZ229" s="89">
        <v>179.42831554</v>
      </c>
      <c r="CA229" s="89">
        <v>9261.8173556600013</v>
      </c>
      <c r="CB229" s="89">
        <v>-1585.8899338699996</v>
      </c>
      <c r="CC229" s="88">
        <v>1530.498274</v>
      </c>
      <c r="CD229" s="89">
        <v>-4.1447260000000057</v>
      </c>
      <c r="CE229" s="89">
        <v>119.96538199999999</v>
      </c>
      <c r="CF229" s="89">
        <v>-124.110108</v>
      </c>
      <c r="CG229" s="89">
        <v>1534.643</v>
      </c>
      <c r="CH229" s="89"/>
      <c r="CI229" s="88">
        <v>91582</v>
      </c>
      <c r="CJ229" s="89">
        <v>24527.3</v>
      </c>
      <c r="CK229" s="89">
        <v>11668.4</v>
      </c>
      <c r="CL229" s="89">
        <v>12858.9</v>
      </c>
      <c r="CM229" s="89">
        <v>77300.3</v>
      </c>
      <c r="CN229" s="89">
        <v>-10245.6</v>
      </c>
      <c r="CO229" s="88">
        <v>55543.6</v>
      </c>
      <c r="CP229" s="89">
        <v>-19340.400000000001</v>
      </c>
      <c r="CQ229" s="89">
        <v>3432.3</v>
      </c>
      <c r="CR229" s="89">
        <v>-22772.7</v>
      </c>
      <c r="CS229" s="89">
        <v>84621.5</v>
      </c>
      <c r="CT229" s="89">
        <v>-9737.5</v>
      </c>
      <c r="CU229" s="88">
        <v>51773.855814931267</v>
      </c>
      <c r="CV229" s="89">
        <v>14919.928815383573</v>
      </c>
      <c r="CW229" s="89">
        <v>15011.215669397428</v>
      </c>
      <c r="CX229" s="89">
        <v>-91.28685401385502</v>
      </c>
      <c r="CY229" s="89">
        <v>36853.926999547693</v>
      </c>
      <c r="CZ229" s="89"/>
      <c r="DA229" s="88">
        <v>86043.689572351417</v>
      </c>
      <c r="DB229" s="89">
        <v>-4270.3901804481084</v>
      </c>
      <c r="DC229" s="89">
        <v>-7446.9212746238281</v>
      </c>
      <c r="DD229" s="89">
        <v>3176.5310941757193</v>
      </c>
      <c r="DE229" s="89">
        <v>137241.89041797197</v>
      </c>
      <c r="DF229" s="89">
        <v>-46927.810665172452</v>
      </c>
      <c r="DG229" s="88">
        <v>320888.84837999998</v>
      </c>
      <c r="DH229" s="89">
        <v>134726.60037999999</v>
      </c>
      <c r="DI229" s="89"/>
      <c r="DJ229" s="89"/>
      <c r="DK229" s="89">
        <v>200329.397</v>
      </c>
      <c r="DL229" s="89">
        <v>-14167.148999999999</v>
      </c>
      <c r="DM229" s="88">
        <v>4457183.2765123202</v>
      </c>
      <c r="DN229" s="89">
        <v>1733120.355</v>
      </c>
      <c r="DO229" s="89">
        <v>1552685.571</v>
      </c>
      <c r="DP229" s="89">
        <v>180434.78399999999</v>
      </c>
      <c r="DQ229" s="89">
        <v>2724062.9219999998</v>
      </c>
      <c r="DR229" s="89"/>
      <c r="DS229" s="88">
        <v>70374.15390048064</v>
      </c>
      <c r="DT229" s="89">
        <v>37550.747128879957</v>
      </c>
      <c r="DU229" s="89">
        <v>36684.533963527516</v>
      </c>
      <c r="DV229" s="89">
        <v>866.21316535244409</v>
      </c>
      <c r="DW229" s="89">
        <v>51810.933362615135</v>
      </c>
      <c r="DX229" s="89">
        <v>-18987.526591014452</v>
      </c>
      <c r="DY229" s="88">
        <v>10971.024835999999</v>
      </c>
      <c r="DZ229" s="89">
        <f t="shared" si="15"/>
        <v>-93.971267999999782</v>
      </c>
      <c r="EA229" s="89">
        <v>1130.5266280000001</v>
      </c>
      <c r="EB229" s="89">
        <v>-1224.4978959999999</v>
      </c>
      <c r="EC229" s="89">
        <v>11064.996104</v>
      </c>
      <c r="ED229" s="89"/>
      <c r="EE229" s="88">
        <v>15156.707343320802</v>
      </c>
      <c r="EF229" s="89">
        <v>-1182.2040342099999</v>
      </c>
      <c r="EG229" s="89">
        <v>-1184.5436857499999</v>
      </c>
      <c r="EH229" s="89">
        <v>2.3396515399999998</v>
      </c>
      <c r="EI229" s="89">
        <v>20972.741698110003</v>
      </c>
      <c r="EJ229" s="89">
        <v>-4633.830320579199</v>
      </c>
      <c r="EK229" s="88">
        <v>12216856.365813386</v>
      </c>
      <c r="EL229" s="89">
        <v>-3492258.3061867198</v>
      </c>
      <c r="EM229" s="89">
        <v>-2748857.5006972998</v>
      </c>
      <c r="EN229" s="89">
        <v>-743400.80548941996</v>
      </c>
      <c r="EO229" s="89">
        <v>15923884.466310106</v>
      </c>
      <c r="EP229" s="89">
        <v>-214769.79430999997</v>
      </c>
      <c r="EQ229" s="88">
        <v>58105.310618780008</v>
      </c>
      <c r="ER229" s="89">
        <v>-23366.232611109997</v>
      </c>
      <c r="ES229" s="89"/>
      <c r="ET229" s="89"/>
      <c r="EU229" s="89">
        <v>118511.89926919999</v>
      </c>
      <c r="EV229" s="89">
        <v>-37040.356039309991</v>
      </c>
      <c r="EW229" s="88">
        <v>612998.88116491842</v>
      </c>
      <c r="EX229" s="89">
        <f t="shared" si="17"/>
        <v>302599.07791101403</v>
      </c>
      <c r="EY229" s="89">
        <v>290443.273879254</v>
      </c>
      <c r="EZ229" s="89">
        <v>12155.804031760001</v>
      </c>
      <c r="FA229" s="89">
        <v>341213.33872152003</v>
      </c>
      <c r="FB229" s="89">
        <v>-30813.535467615562</v>
      </c>
      <c r="FC229" s="88">
        <v>1578.3028860000002</v>
      </c>
      <c r="FD229" s="89">
        <v>365.54788599999995</v>
      </c>
      <c r="FE229" s="89">
        <v>682.64765699999998</v>
      </c>
      <c r="FF229" s="89">
        <v>-317.09977100000003</v>
      </c>
      <c r="FG229" s="89">
        <v>1212.7550000000001</v>
      </c>
      <c r="FH229" s="89"/>
      <c r="FI229" s="88">
        <v>922.24489500000004</v>
      </c>
      <c r="FJ229" s="89">
        <v>6.5628949999999691</v>
      </c>
      <c r="FK229" s="89">
        <v>44.090857999999976</v>
      </c>
      <c r="FL229" s="89">
        <v>-37.527963000000007</v>
      </c>
      <c r="FM229" s="89">
        <v>915.68200000000002</v>
      </c>
      <c r="FN229" s="89"/>
      <c r="FO229" s="88">
        <v>3400.6216899999999</v>
      </c>
      <c r="FP229" s="89">
        <v>-206.36131000000006</v>
      </c>
      <c r="FQ229" s="89">
        <v>53.929566999999977</v>
      </c>
      <c r="FR229" s="89">
        <v>-260.29087700000002</v>
      </c>
      <c r="FS229" s="89">
        <v>3606.9830000000002</v>
      </c>
      <c r="FT229" s="89"/>
      <c r="FU229" s="88">
        <v>2300.1000000000004</v>
      </c>
      <c r="FV229" s="89">
        <v>22.799999999999997</v>
      </c>
      <c r="FW229" s="89">
        <v>-8.6</v>
      </c>
      <c r="FX229" s="89">
        <v>31.4</v>
      </c>
      <c r="FY229" s="89">
        <v>2240.3000000000002</v>
      </c>
      <c r="FZ229" s="89">
        <v>37</v>
      </c>
      <c r="GA229" s="88">
        <v>14471.5</v>
      </c>
      <c r="GB229" s="89">
        <v>-27479.799999999996</v>
      </c>
      <c r="GC229" s="89">
        <v>-33206.699999999997</v>
      </c>
      <c r="GD229" s="89">
        <v>5726.9</v>
      </c>
      <c r="GE229" s="89">
        <v>41951.3</v>
      </c>
      <c r="GF229" s="89"/>
      <c r="GG229" s="88"/>
      <c r="GH229" s="89"/>
      <c r="GI229" s="89"/>
      <c r="GJ229" s="89"/>
      <c r="GK229" s="89"/>
      <c r="GL229" s="89"/>
      <c r="GM229" s="88">
        <v>190916.85683689005</v>
      </c>
      <c r="GN229" s="89">
        <v>17882.008698679994</v>
      </c>
      <c r="GO229" s="89">
        <v>17117.954624199996</v>
      </c>
      <c r="GP229" s="89">
        <v>764.05407447999721</v>
      </c>
      <c r="GQ229" s="89">
        <v>134607.49130849005</v>
      </c>
      <c r="GR229" s="89">
        <v>38427.356829720004</v>
      </c>
    </row>
    <row r="230" spans="1:200">
      <c r="A230" s="69"/>
      <c r="B230" s="93" t="s">
        <v>499</v>
      </c>
      <c r="C230" s="88">
        <v>2650.0146910000003</v>
      </c>
      <c r="D230" s="87">
        <v>68.719690999999983</v>
      </c>
      <c r="E230" s="87">
        <v>320.22864199999998</v>
      </c>
      <c r="F230" s="87">
        <v>-251.508951</v>
      </c>
      <c r="G230" s="87">
        <v>2581.2950000000001</v>
      </c>
      <c r="H230" s="87"/>
      <c r="I230" s="88">
        <v>168395.51</v>
      </c>
      <c r="J230" s="89">
        <v>160486.035</v>
      </c>
      <c r="K230" s="89"/>
      <c r="L230" s="89"/>
      <c r="M230" s="89">
        <v>141050.66500000001</v>
      </c>
      <c r="N230" s="89">
        <v>-133141.19</v>
      </c>
      <c r="O230" s="88">
        <v>7867.2</v>
      </c>
      <c r="P230" s="89"/>
      <c r="Q230" s="89"/>
      <c r="R230" s="89"/>
      <c r="S230" s="89"/>
      <c r="T230" s="89"/>
      <c r="U230" s="88">
        <v>6856.44895</v>
      </c>
      <c r="V230" s="89">
        <v>1431.5209500000001</v>
      </c>
      <c r="W230" s="89">
        <v>791.75194999999997</v>
      </c>
      <c r="X230" s="89">
        <v>639.76900000000001</v>
      </c>
      <c r="Y230" s="89">
        <v>5424.9279999999999</v>
      </c>
      <c r="Z230" s="89"/>
      <c r="AA230" s="88">
        <v>1915.65</v>
      </c>
      <c r="AB230" s="89">
        <v>184.03</v>
      </c>
      <c r="AC230" s="89">
        <v>171.02199999999999</v>
      </c>
      <c r="AD230" s="89">
        <v>13.007999999999999</v>
      </c>
      <c r="AE230" s="89">
        <v>1731.62</v>
      </c>
      <c r="AF230" s="89"/>
      <c r="AG230" s="88">
        <v>47049.779452818329</v>
      </c>
      <c r="AH230" s="89">
        <v>9808.2564600878522</v>
      </c>
      <c r="AI230" s="89">
        <v>9808.2564600878522</v>
      </c>
      <c r="AJ230" s="89"/>
      <c r="AK230" s="89">
        <v>37241.522992730475</v>
      </c>
      <c r="AL230" s="89"/>
      <c r="AM230" s="88">
        <v>2629566</v>
      </c>
      <c r="AN230" s="89">
        <v>936185</v>
      </c>
      <c r="AO230" s="89">
        <v>914131</v>
      </c>
      <c r="AP230" s="89">
        <v>22054</v>
      </c>
      <c r="AQ230" s="89">
        <v>1414372</v>
      </c>
      <c r="AR230" s="89">
        <v>279010</v>
      </c>
      <c r="AS230" s="88">
        <v>57944000</v>
      </c>
      <c r="AT230" s="89">
        <v>-5522000</v>
      </c>
      <c r="AU230" s="89">
        <v>-5522000</v>
      </c>
      <c r="AV230" s="89"/>
      <c r="AW230" s="89">
        <v>71086000</v>
      </c>
      <c r="AX230" s="89">
        <v>-7620000</v>
      </c>
      <c r="AY230" s="88">
        <v>158402631.65766209</v>
      </c>
      <c r="AZ230" s="89">
        <f t="shared" si="16"/>
        <v>25702451.000005271</v>
      </c>
      <c r="BA230" s="89">
        <v>17743469.548235271</v>
      </c>
      <c r="BB230" s="89">
        <v>7958981.4517700011</v>
      </c>
      <c r="BC230" s="89">
        <v>132700180.65765683</v>
      </c>
      <c r="BD230" s="89"/>
      <c r="BE230" s="88">
        <v>7046616.2152576903</v>
      </c>
      <c r="BF230" s="89">
        <v>291606.34083666001</v>
      </c>
      <c r="BG230" s="89">
        <v>231183.4320462</v>
      </c>
      <c r="BH230" s="89">
        <v>60422.908790460002</v>
      </c>
      <c r="BI230" s="89">
        <v>7472779.1240411196</v>
      </c>
      <c r="BJ230" s="89">
        <v>-717769.24962009001</v>
      </c>
      <c r="BK230" s="88">
        <v>444.22680700000001</v>
      </c>
      <c r="BL230" s="89">
        <v>-162.76619299999999</v>
      </c>
      <c r="BM230" s="89">
        <v>-71.874384000000006</v>
      </c>
      <c r="BN230" s="89">
        <v>-90.891808999999995</v>
      </c>
      <c r="BO230" s="89">
        <v>606.99300000000005</v>
      </c>
      <c r="BP230" s="89"/>
      <c r="BQ230" s="88">
        <v>8634.3395569999993</v>
      </c>
      <c r="BR230" s="89">
        <v>-5492.9526999999998</v>
      </c>
      <c r="BS230" s="89">
        <v>-2420.4405969999998</v>
      </c>
      <c r="BT230" s="89">
        <v>-3072.5120830000001</v>
      </c>
      <c r="BU230" s="89">
        <v>14127.292237</v>
      </c>
      <c r="BV230" s="89"/>
      <c r="BW230" s="88">
        <v>11625.819010847183</v>
      </c>
      <c r="BX230" s="89">
        <v>3960.768118187184</v>
      </c>
      <c r="BY230" s="89">
        <v>3795.9531649971841</v>
      </c>
      <c r="BZ230" s="89">
        <v>164.81495319000001</v>
      </c>
      <c r="CA230" s="89">
        <v>9264.9832485199986</v>
      </c>
      <c r="CB230" s="89">
        <v>-1599.9323558599999</v>
      </c>
      <c r="CC230" s="88">
        <v>1572.8992900000001</v>
      </c>
      <c r="CD230" s="89">
        <v>-14.288709999999995</v>
      </c>
      <c r="CE230" s="89">
        <v>115.39439800000001</v>
      </c>
      <c r="CF230" s="89">
        <v>-129.683108</v>
      </c>
      <c r="CG230" s="89">
        <v>1587.1880000000001</v>
      </c>
      <c r="CH230" s="89"/>
      <c r="CI230" s="88">
        <v>93714</v>
      </c>
      <c r="CJ230" s="89">
        <v>25630.699999999997</v>
      </c>
      <c r="CK230" s="89">
        <v>12707.1</v>
      </c>
      <c r="CL230" s="89">
        <v>12923.599999999999</v>
      </c>
      <c r="CM230" s="89">
        <v>78505</v>
      </c>
      <c r="CN230" s="89">
        <v>-10421.700000000001</v>
      </c>
      <c r="CO230" s="88">
        <v>60672.2</v>
      </c>
      <c r="CP230" s="89">
        <v>-16541.7</v>
      </c>
      <c r="CQ230" s="89">
        <v>6407.8</v>
      </c>
      <c r="CR230" s="89">
        <v>-22949.5</v>
      </c>
      <c r="CS230" s="89">
        <v>86817.1</v>
      </c>
      <c r="CT230" s="89">
        <v>-9603.2000000000007</v>
      </c>
      <c r="CU230" s="88">
        <v>52994.172985672572</v>
      </c>
      <c r="CV230" s="89">
        <v>15417.019727166791</v>
      </c>
      <c r="CW230" s="89">
        <v>15606.394566701487</v>
      </c>
      <c r="CX230" s="89">
        <v>-189.37483953469612</v>
      </c>
      <c r="CY230" s="89">
        <v>37577.153258505779</v>
      </c>
      <c r="CZ230" s="89"/>
      <c r="DA230" s="88">
        <v>86590.154727233254</v>
      </c>
      <c r="DB230" s="89">
        <v>-3535.1098537823227</v>
      </c>
      <c r="DC230" s="89">
        <v>-6718.3820479023234</v>
      </c>
      <c r="DD230" s="89">
        <v>3183.2721941200007</v>
      </c>
      <c r="DE230" s="89">
        <v>137927.79092766304</v>
      </c>
      <c r="DF230" s="89">
        <v>-47802.526346647479</v>
      </c>
      <c r="DG230" s="88">
        <v>327073.49850000005</v>
      </c>
      <c r="DH230" s="89">
        <v>136726.26449999999</v>
      </c>
      <c r="DI230" s="89"/>
      <c r="DJ230" s="89"/>
      <c r="DK230" s="89">
        <v>203379.87700000001</v>
      </c>
      <c r="DL230" s="89">
        <v>-13032.643</v>
      </c>
      <c r="DM230" s="88">
        <v>4455895.3750413898</v>
      </c>
      <c r="DN230" s="89">
        <v>1737908.682</v>
      </c>
      <c r="DO230" s="89">
        <v>1561901.625</v>
      </c>
      <c r="DP230" s="89">
        <v>176007.057</v>
      </c>
      <c r="DQ230" s="89">
        <v>2737986.693</v>
      </c>
      <c r="DR230" s="89"/>
      <c r="DS230" s="88">
        <v>71415.654468036169</v>
      </c>
      <c r="DT230" s="89">
        <v>38082.403421140509</v>
      </c>
      <c r="DU230" s="89">
        <v>37215.52637461861</v>
      </c>
      <c r="DV230" s="89">
        <v>866.87704652189609</v>
      </c>
      <c r="DW230" s="89">
        <v>52303.83686932327</v>
      </c>
      <c r="DX230" s="89">
        <v>-18970.585822427609</v>
      </c>
      <c r="DY230" s="88">
        <v>11151.257364000001</v>
      </c>
      <c r="DZ230" s="89">
        <f t="shared" si="15"/>
        <v>-60.978464000000031</v>
      </c>
      <c r="EA230" s="89">
        <v>1181.078708</v>
      </c>
      <c r="EB230" s="89">
        <v>-1242.057172</v>
      </c>
      <c r="EC230" s="89">
        <v>11212.235827999999</v>
      </c>
      <c r="ED230" s="89"/>
      <c r="EE230" s="88">
        <v>14793.086742999029</v>
      </c>
      <c r="EF230" s="89">
        <v>-1580.7466203069996</v>
      </c>
      <c r="EG230" s="89">
        <v>-1582.9024766069997</v>
      </c>
      <c r="EH230" s="89">
        <v>2.1558562999999999</v>
      </c>
      <c r="EI230" s="89">
        <v>21109.257474528997</v>
      </c>
      <c r="EJ230" s="89">
        <v>-4735.4241112229683</v>
      </c>
      <c r="EK230" s="88">
        <v>12392469.37437444</v>
      </c>
      <c r="EL230" s="89">
        <v>-3835186.7724492913</v>
      </c>
      <c r="EM230" s="89">
        <v>-3098892.031013371</v>
      </c>
      <c r="EN230" s="89">
        <v>-736294.74143592012</v>
      </c>
      <c r="EO230" s="89">
        <v>16449965.26813853</v>
      </c>
      <c r="EP230" s="89">
        <v>-222309.12131480002</v>
      </c>
      <c r="EQ230" s="88">
        <v>61064.786001699991</v>
      </c>
      <c r="ER230" s="89">
        <v>-22407.284589400002</v>
      </c>
      <c r="ES230" s="89"/>
      <c r="ET230" s="89"/>
      <c r="EU230" s="89">
        <v>121953.69861680001</v>
      </c>
      <c r="EV230" s="89">
        <v>-38481.628025700018</v>
      </c>
      <c r="EW230" s="88">
        <v>615812.34181390726</v>
      </c>
      <c r="EX230" s="89">
        <f t="shared" si="17"/>
        <v>303938.44415870402</v>
      </c>
      <c r="EY230" s="89">
        <v>288744.05624011403</v>
      </c>
      <c r="EZ230" s="89">
        <v>15194.387918589999</v>
      </c>
      <c r="FA230" s="89">
        <v>344393.17003894004</v>
      </c>
      <c r="FB230" s="89">
        <v>-32519.272383736738</v>
      </c>
      <c r="FC230" s="88">
        <v>1592.2680070000001</v>
      </c>
      <c r="FD230" s="89">
        <v>361.80500700000005</v>
      </c>
      <c r="FE230" s="89">
        <v>680.92477900000006</v>
      </c>
      <c r="FF230" s="89">
        <v>-319.11977200000001</v>
      </c>
      <c r="FG230" s="89">
        <v>1230.463</v>
      </c>
      <c r="FH230" s="89"/>
      <c r="FI230" s="88">
        <v>980.4848320000001</v>
      </c>
      <c r="FJ230" s="89">
        <v>54.704832000000025</v>
      </c>
      <c r="FK230" s="89">
        <v>83.155145000000019</v>
      </c>
      <c r="FL230" s="89">
        <v>-28.450312999999998</v>
      </c>
      <c r="FM230" s="89">
        <v>925.78</v>
      </c>
      <c r="FN230" s="89"/>
      <c r="FO230" s="88">
        <v>3431.5223919999999</v>
      </c>
      <c r="FP230" s="89">
        <v>-213.26160800000002</v>
      </c>
      <c r="FQ230" s="89">
        <v>55.054268999999969</v>
      </c>
      <c r="FR230" s="89">
        <v>-268.315877</v>
      </c>
      <c r="FS230" s="89">
        <v>3644.7840000000001</v>
      </c>
      <c r="FT230" s="89"/>
      <c r="FU230" s="88">
        <v>2315.5</v>
      </c>
      <c r="FV230" s="89">
        <v>-0.60000000000000142</v>
      </c>
      <c r="FW230" s="89">
        <v>-32</v>
      </c>
      <c r="FX230" s="89">
        <v>31.4</v>
      </c>
      <c r="FY230" s="89">
        <v>2279.6</v>
      </c>
      <c r="FZ230" s="89">
        <v>36.5</v>
      </c>
      <c r="GA230" s="88">
        <v>16785.8</v>
      </c>
      <c r="GB230" s="89">
        <v>-26209.7</v>
      </c>
      <c r="GC230" s="89">
        <v>-31506</v>
      </c>
      <c r="GD230" s="89">
        <v>5296.3</v>
      </c>
      <c r="GE230" s="89">
        <v>42995.5</v>
      </c>
      <c r="GF230" s="89"/>
      <c r="GG230" s="88"/>
      <c r="GH230" s="89"/>
      <c r="GI230" s="89"/>
      <c r="GJ230" s="89"/>
      <c r="GK230" s="89"/>
      <c r="GL230" s="89"/>
      <c r="GM230" s="88">
        <v>191273.84274520999</v>
      </c>
      <c r="GN230" s="89">
        <v>16451.233002230001</v>
      </c>
      <c r="GO230" s="89">
        <v>15531.897259649999</v>
      </c>
      <c r="GP230" s="89">
        <v>919.33574258000033</v>
      </c>
      <c r="GQ230" s="89">
        <v>137867.73882939</v>
      </c>
      <c r="GR230" s="89">
        <v>36951.870913589999</v>
      </c>
    </row>
    <row r="231" spans="1:200" ht="12" thickBot="1">
      <c r="A231" s="102"/>
      <c r="B231" s="126" t="s">
        <v>500</v>
      </c>
      <c r="C231" s="104">
        <v>2735.1442459999998</v>
      </c>
      <c r="D231" s="105">
        <v>175.37824599999999</v>
      </c>
      <c r="E231" s="105">
        <v>464.38882100000001</v>
      </c>
      <c r="F231" s="105">
        <v>-289.01057500000002</v>
      </c>
      <c r="G231" s="105">
        <v>2559.7660000000001</v>
      </c>
      <c r="H231" s="105"/>
      <c r="I231" s="104">
        <v>162968.834</v>
      </c>
      <c r="J231" s="105">
        <v>157694.97500000001</v>
      </c>
      <c r="K231" s="105"/>
      <c r="L231" s="105"/>
      <c r="M231" s="105">
        <v>141566.807</v>
      </c>
      <c r="N231" s="105">
        <v>-136292.948</v>
      </c>
      <c r="O231" s="104">
        <v>7909.1</v>
      </c>
      <c r="P231" s="105">
        <v>1372.3</v>
      </c>
      <c r="Q231" s="105">
        <v>924</v>
      </c>
      <c r="R231" s="105">
        <v>448.3</v>
      </c>
      <c r="S231" s="105">
        <v>6536.8</v>
      </c>
      <c r="T231" s="105"/>
      <c r="U231" s="104">
        <v>6852.5994599999995</v>
      </c>
      <c r="V231" s="105">
        <v>1349.75468</v>
      </c>
      <c r="W231" s="105">
        <v>695.98944999999992</v>
      </c>
      <c r="X231" s="105">
        <v>653.76522999999997</v>
      </c>
      <c r="Y231" s="105">
        <v>5502.8447799999994</v>
      </c>
      <c r="Z231" s="105"/>
      <c r="AA231" s="104">
        <v>1931.8620000000001</v>
      </c>
      <c r="AB231" s="105">
        <v>203.37799999999999</v>
      </c>
      <c r="AC231" s="105">
        <v>190.46899999999999</v>
      </c>
      <c r="AD231" s="105">
        <v>12.909000000000001</v>
      </c>
      <c r="AE231" s="105">
        <v>1728.4839999999999</v>
      </c>
      <c r="AF231" s="105"/>
      <c r="AG231" s="104">
        <v>47579.186104579814</v>
      </c>
      <c r="AH231" s="105">
        <v>10050.224114186765</v>
      </c>
      <c r="AI231" s="105">
        <v>10050.224114186765</v>
      </c>
      <c r="AJ231" s="105"/>
      <c r="AK231" s="105">
        <v>37528.961990393051</v>
      </c>
      <c r="AL231" s="105"/>
      <c r="AM231" s="104">
        <v>2671594</v>
      </c>
      <c r="AN231" s="105">
        <v>1000229</v>
      </c>
      <c r="AO231" s="105">
        <v>974713</v>
      </c>
      <c r="AP231" s="105">
        <v>25516</v>
      </c>
      <c r="AQ231" s="105">
        <v>1423738</v>
      </c>
      <c r="AR231" s="105">
        <v>247626</v>
      </c>
      <c r="AS231" s="104">
        <v>57936000</v>
      </c>
      <c r="AT231" s="105">
        <v>-3186000</v>
      </c>
      <c r="AU231" s="105">
        <v>-3186000</v>
      </c>
      <c r="AV231" s="105"/>
      <c r="AW231" s="105">
        <v>70827000</v>
      </c>
      <c r="AX231" s="105">
        <v>-9705000</v>
      </c>
      <c r="AY231" s="104">
        <v>161795495.39493862</v>
      </c>
      <c r="AZ231" s="105">
        <f t="shared" si="16"/>
        <v>30281662.184723929</v>
      </c>
      <c r="BA231" s="105">
        <v>22087818.453453928</v>
      </c>
      <c r="BB231" s="105">
        <v>8193843.7312699985</v>
      </c>
      <c r="BC231" s="105">
        <v>131513833.21021467</v>
      </c>
      <c r="BD231" s="105"/>
      <c r="BE231" s="104">
        <v>7503350.4917246904</v>
      </c>
      <c r="BF231" s="105">
        <v>401444.02931789</v>
      </c>
      <c r="BG231" s="105">
        <v>335901.61553462001</v>
      </c>
      <c r="BH231" s="105">
        <v>65542.413783270007</v>
      </c>
      <c r="BI231" s="105">
        <v>7925155.6765602194</v>
      </c>
      <c r="BJ231" s="108">
        <v>-823249.21415341995</v>
      </c>
      <c r="BK231" s="109">
        <v>470.25041199999998</v>
      </c>
      <c r="BL231" s="108">
        <v>-141.62158800000003</v>
      </c>
      <c r="BM231" s="108">
        <v>-57.583613000000014</v>
      </c>
      <c r="BN231" s="108">
        <v>-84.037975000000003</v>
      </c>
      <c r="BO231" s="108">
        <v>611.87199999999996</v>
      </c>
      <c r="BP231" s="108"/>
      <c r="BQ231" s="109">
        <v>9442.3522140000023</v>
      </c>
      <c r="BR231" s="108">
        <v>-4858.0501060000006</v>
      </c>
      <c r="BS231" s="108">
        <v>-2585.0093539999998</v>
      </c>
      <c r="BT231" s="108">
        <v>-2273.0407520000003</v>
      </c>
      <c r="BU231" s="108">
        <v>14300.402320000001</v>
      </c>
      <c r="BV231" s="108"/>
      <c r="BW231" s="109">
        <v>11677.376256341739</v>
      </c>
      <c r="BX231" s="105">
        <v>3908.2269602417364</v>
      </c>
      <c r="BY231" s="105">
        <v>3735.0522952217361</v>
      </c>
      <c r="BZ231" s="105">
        <v>173.17466502000002</v>
      </c>
      <c r="CA231" s="105">
        <v>9215.0968982200011</v>
      </c>
      <c r="CB231" s="105">
        <v>-1445.9476021199987</v>
      </c>
      <c r="CC231" s="104">
        <v>1601.091064</v>
      </c>
      <c r="CD231" s="105">
        <v>4.4140639999999962</v>
      </c>
      <c r="CE231" s="105">
        <v>122.93162</v>
      </c>
      <c r="CF231" s="105">
        <v>-118.517556</v>
      </c>
      <c r="CG231" s="105">
        <v>1596.6769999999999</v>
      </c>
      <c r="CH231" s="105"/>
      <c r="CI231" s="104">
        <v>97301.9</v>
      </c>
      <c r="CJ231" s="105">
        <v>28367.9</v>
      </c>
      <c r="CK231" s="105">
        <v>15469.9</v>
      </c>
      <c r="CL231" s="105">
        <v>12898</v>
      </c>
      <c r="CM231" s="105">
        <v>80810.399999999994</v>
      </c>
      <c r="CN231" s="105">
        <v>-11876.3</v>
      </c>
      <c r="CO231" s="104">
        <v>59775.5</v>
      </c>
      <c r="CP231" s="105">
        <v>-18546.5</v>
      </c>
      <c r="CQ231" s="105">
        <v>5843.6</v>
      </c>
      <c r="CR231" s="105">
        <v>-24390.1</v>
      </c>
      <c r="CS231" s="108">
        <v>89334.6</v>
      </c>
      <c r="CT231" s="108">
        <v>-11012.6</v>
      </c>
      <c r="CU231" s="109">
        <v>53738.604457466332</v>
      </c>
      <c r="CV231" s="108">
        <v>16513.277494352667</v>
      </c>
      <c r="CW231" s="108">
        <v>16797.29550087787</v>
      </c>
      <c r="CX231" s="108">
        <v>-284.01800652519995</v>
      </c>
      <c r="CY231" s="108">
        <v>37225.326963113665</v>
      </c>
      <c r="CZ231" s="108"/>
      <c r="DA231" s="109">
        <v>86839.106577499624</v>
      </c>
      <c r="DB231" s="108">
        <v>-2880.1403632610686</v>
      </c>
      <c r="DC231" s="108">
        <v>-6094.2282700910691</v>
      </c>
      <c r="DD231" s="108">
        <v>3213.9396805200004</v>
      </c>
      <c r="DE231" s="108">
        <v>138130.32876623166</v>
      </c>
      <c r="DF231" s="108">
        <v>-48410.933599160955</v>
      </c>
      <c r="DG231" s="109">
        <v>343196.30551999999</v>
      </c>
      <c r="DH231" s="108">
        <v>144230.03751999998</v>
      </c>
      <c r="DI231" s="108"/>
      <c r="DJ231" s="108"/>
      <c r="DK231" s="108">
        <v>207599.58499999999</v>
      </c>
      <c r="DL231" s="108">
        <v>-8633.3169999999991</v>
      </c>
      <c r="DM231" s="109">
        <v>4536928.0126884403</v>
      </c>
      <c r="DN231" s="108">
        <v>1983000.25</v>
      </c>
      <c r="DO231" s="108">
        <v>1805256.3489999999</v>
      </c>
      <c r="DP231" s="108">
        <v>177743.90100000001</v>
      </c>
      <c r="DQ231" s="108">
        <v>2553927.7629999998</v>
      </c>
      <c r="DR231" s="108"/>
      <c r="DS231" s="109">
        <v>70948.269952180824</v>
      </c>
      <c r="DT231" s="108">
        <v>38628.021525426957</v>
      </c>
      <c r="DU231" s="108">
        <v>37779.538761659271</v>
      </c>
      <c r="DV231" s="108">
        <v>848.48276376768411</v>
      </c>
      <c r="DW231" s="108">
        <v>51669.446160073479</v>
      </c>
      <c r="DX231" s="108">
        <v>-19349.197733319594</v>
      </c>
      <c r="DY231" s="109">
        <v>11221.357339</v>
      </c>
      <c r="DZ231" s="108">
        <f t="shared" si="15"/>
        <v>78.600586000000021</v>
      </c>
      <c r="EA231" s="108">
        <v>1389.4508330000001</v>
      </c>
      <c r="EB231" s="108">
        <v>-1310.8502470000001</v>
      </c>
      <c r="EC231" s="108">
        <v>11142.756753</v>
      </c>
      <c r="ED231" s="108"/>
      <c r="EE231" s="109">
        <v>14263.175656292731</v>
      </c>
      <c r="EF231" s="108">
        <v>-2074.7256377369999</v>
      </c>
      <c r="EG231" s="108">
        <v>-2076.7379386869998</v>
      </c>
      <c r="EH231" s="108">
        <v>2.0123009499999998</v>
      </c>
      <c r="EI231" s="108">
        <v>20720.890336935001</v>
      </c>
      <c r="EJ231" s="108">
        <v>-4382.9890429052703</v>
      </c>
      <c r="EK231" s="109">
        <v>13292630.395411847</v>
      </c>
      <c r="EL231" s="108">
        <v>-3315097.7852084199</v>
      </c>
      <c r="EM231" s="108">
        <v>-2590201.5407332997</v>
      </c>
      <c r="EN231" s="108">
        <v>-724896.24447511998</v>
      </c>
      <c r="EO231" s="108">
        <v>16853088.496901967</v>
      </c>
      <c r="EP231" s="108">
        <v>-245360.31628169998</v>
      </c>
      <c r="EQ231" s="109">
        <v>59935.602852640019</v>
      </c>
      <c r="ER231" s="108">
        <v>-21616.62427566</v>
      </c>
      <c r="ES231" s="108"/>
      <c r="ET231" s="108"/>
      <c r="EU231" s="108">
        <v>124065.78349642</v>
      </c>
      <c r="EV231" s="105">
        <v>-42513.556368119986</v>
      </c>
      <c r="EW231" s="104">
        <v>626527.82831952011</v>
      </c>
      <c r="EX231" s="105">
        <f t="shared" si="17"/>
        <v>312494.45024371595</v>
      </c>
      <c r="EY231" s="105">
        <v>297871.43745980598</v>
      </c>
      <c r="EZ231" s="105">
        <v>14623.012783910001</v>
      </c>
      <c r="FA231" s="105">
        <v>344403.3547872199</v>
      </c>
      <c r="FB231" s="105">
        <v>-30369.976711415824</v>
      </c>
      <c r="FC231" s="104">
        <v>1608.8774470000001</v>
      </c>
      <c r="FD231" s="105">
        <v>366.13144700000009</v>
      </c>
      <c r="FE231" s="105">
        <v>685.56857500000012</v>
      </c>
      <c r="FF231" s="105">
        <v>-319.43712800000003</v>
      </c>
      <c r="FG231" s="105">
        <v>1242.7460000000001</v>
      </c>
      <c r="FH231" s="105"/>
      <c r="FI231" s="104">
        <v>985.52305300000012</v>
      </c>
      <c r="FJ231" s="105">
        <v>59.083053</v>
      </c>
      <c r="FK231" s="105">
        <v>108.285753</v>
      </c>
      <c r="FL231" s="105">
        <v>-49.2027</v>
      </c>
      <c r="FM231" s="105">
        <v>926.44</v>
      </c>
      <c r="FN231" s="105"/>
      <c r="FO231" s="104">
        <v>3453.2925150000001</v>
      </c>
      <c r="FP231" s="105">
        <v>-227.31948499999999</v>
      </c>
      <c r="FQ231" s="105">
        <v>68.971391999999994</v>
      </c>
      <c r="FR231" s="105">
        <v>-296.29087699999997</v>
      </c>
      <c r="FS231" s="105">
        <v>3680.6120000000001</v>
      </c>
      <c r="FT231" s="105"/>
      <c r="FU231" s="104">
        <v>2339.5</v>
      </c>
      <c r="FV231" s="105">
        <v>-43.999999999999993</v>
      </c>
      <c r="FW231" s="105">
        <v>-73.099999999999994</v>
      </c>
      <c r="FX231" s="105">
        <v>29.1</v>
      </c>
      <c r="FY231" s="105">
        <v>2343.4</v>
      </c>
      <c r="FZ231" s="105">
        <v>40.1</v>
      </c>
      <c r="GA231" s="104">
        <v>16254.5</v>
      </c>
      <c r="GB231" s="105">
        <v>-26849.3</v>
      </c>
      <c r="GC231" s="105">
        <v>-31889.8</v>
      </c>
      <c r="GD231" s="105">
        <v>5040.5</v>
      </c>
      <c r="GE231" s="105">
        <v>43103.8</v>
      </c>
      <c r="GF231" s="105"/>
      <c r="GG231" s="104"/>
      <c r="GH231" s="105"/>
      <c r="GI231" s="105"/>
      <c r="GJ231" s="105"/>
      <c r="GK231" s="105"/>
      <c r="GL231" s="105"/>
      <c r="GM231" s="104">
        <v>194020.41849962002</v>
      </c>
      <c r="GN231" s="105">
        <v>16243.244219939997</v>
      </c>
      <c r="GO231" s="105">
        <v>15435.457501139999</v>
      </c>
      <c r="GP231" s="105">
        <v>807.78671879999899</v>
      </c>
      <c r="GQ231" s="105">
        <v>141273.93617435999</v>
      </c>
      <c r="GR231" s="103">
        <v>36505.238105320001</v>
      </c>
    </row>
    <row r="232" spans="1:200">
      <c r="A232" s="86">
        <v>2009</v>
      </c>
      <c r="B232" s="93" t="s">
        <v>489</v>
      </c>
      <c r="C232" s="88">
        <v>2751.2475999999997</v>
      </c>
      <c r="D232" s="87">
        <v>201.27759999999989</v>
      </c>
      <c r="E232" s="87">
        <v>445.35517499999992</v>
      </c>
      <c r="F232" s="87">
        <v>-244.07757500000002</v>
      </c>
      <c r="G232" s="87">
        <v>2549.9699999999998</v>
      </c>
      <c r="H232" s="87"/>
      <c r="I232" s="88">
        <v>157239.59499622</v>
      </c>
      <c r="J232" s="89">
        <v>161073.59899999999</v>
      </c>
      <c r="K232" s="89"/>
      <c r="L232" s="89"/>
      <c r="M232" s="89">
        <v>141129.617</v>
      </c>
      <c r="N232" s="89">
        <v>-144963.62100378002</v>
      </c>
      <c r="O232" s="88">
        <v>7863.6</v>
      </c>
      <c r="P232" s="89">
        <v>1351.3</v>
      </c>
      <c r="Q232" s="89">
        <v>905.6</v>
      </c>
      <c r="R232" s="89">
        <v>445.7</v>
      </c>
      <c r="S232" s="89">
        <v>6512.3</v>
      </c>
      <c r="T232" s="89"/>
      <c r="U232" s="88">
        <v>6821.8637900000012</v>
      </c>
      <c r="V232" s="89">
        <v>1347.7963500000001</v>
      </c>
      <c r="W232" s="89">
        <v>686.6798</v>
      </c>
      <c r="X232" s="89">
        <v>661.11655000000007</v>
      </c>
      <c r="Y232" s="89">
        <v>5474.0674400000007</v>
      </c>
      <c r="Z232" s="89"/>
      <c r="AA232" s="88">
        <v>1918.54</v>
      </c>
      <c r="AB232" s="89">
        <v>184.75300000000001</v>
      </c>
      <c r="AC232" s="89">
        <v>173.02</v>
      </c>
      <c r="AD232" s="89">
        <v>11.733000000000001</v>
      </c>
      <c r="AE232" s="89">
        <v>1733.787</v>
      </c>
      <c r="AF232" s="89"/>
      <c r="AG232" s="88">
        <v>47453.921578722693</v>
      </c>
      <c r="AH232" s="89">
        <v>10229.587447229647</v>
      </c>
      <c r="AI232" s="89">
        <v>10229.587447229647</v>
      </c>
      <c r="AJ232" s="89"/>
      <c r="AK232" s="89">
        <v>37224.334131493044</v>
      </c>
      <c r="AL232" s="89"/>
      <c r="AM232" s="88">
        <v>2702057</v>
      </c>
      <c r="AN232" s="89">
        <v>1030953</v>
      </c>
      <c r="AO232" s="89">
        <v>1009193</v>
      </c>
      <c r="AP232" s="89">
        <v>21760</v>
      </c>
      <c r="AQ232" s="89">
        <v>1410934</v>
      </c>
      <c r="AR232" s="89">
        <v>260169</v>
      </c>
      <c r="AS232" s="88">
        <v>57626000</v>
      </c>
      <c r="AT232" s="89">
        <v>-3711000</v>
      </c>
      <c r="AU232" s="89">
        <v>-3711000</v>
      </c>
      <c r="AV232" s="89"/>
      <c r="AW232" s="89">
        <v>70325000</v>
      </c>
      <c r="AX232" s="89">
        <v>-8988000</v>
      </c>
      <c r="AY232" s="88">
        <v>162647105.96986932</v>
      </c>
      <c r="AZ232" s="89">
        <f t="shared" si="16"/>
        <v>30565521.395373829</v>
      </c>
      <c r="BA232" s="89">
        <v>22550916.754953831</v>
      </c>
      <c r="BB232" s="89">
        <v>8014604.6404199991</v>
      </c>
      <c r="BC232" s="89">
        <v>132081584.57449549</v>
      </c>
      <c r="BD232" s="89"/>
      <c r="BE232" s="88">
        <v>7632018.3694782704</v>
      </c>
      <c r="BF232" s="89">
        <v>419261.46964284999</v>
      </c>
      <c r="BG232" s="89">
        <v>353174.31427432998</v>
      </c>
      <c r="BH232" s="89">
        <v>66087.155368520005</v>
      </c>
      <c r="BI232" s="89">
        <v>7928285.4119046293</v>
      </c>
      <c r="BJ232" s="89">
        <v>-715528.51206920994</v>
      </c>
      <c r="BK232" s="88">
        <v>478.57966500000003</v>
      </c>
      <c r="BL232" s="89">
        <v>-137.43633499999999</v>
      </c>
      <c r="BM232" s="89">
        <v>-50.519937999999996</v>
      </c>
      <c r="BN232" s="89">
        <v>-86.916397000000003</v>
      </c>
      <c r="BO232" s="89">
        <v>616.01599999999996</v>
      </c>
      <c r="BP232" s="89"/>
      <c r="BQ232" s="88">
        <v>8975.0262570000014</v>
      </c>
      <c r="BR232" s="89">
        <v>-5273.9740540000003</v>
      </c>
      <c r="BS232" s="89">
        <v>-2907.2117029999999</v>
      </c>
      <c r="BT232" s="89">
        <v>-2364.7623509999999</v>
      </c>
      <c r="BU232" s="89">
        <v>14247.000311</v>
      </c>
      <c r="BV232" s="89"/>
      <c r="BW232" s="88">
        <v>11684.448167858864</v>
      </c>
      <c r="BX232" s="89">
        <v>4034.1626855788627</v>
      </c>
      <c r="BY232" s="89">
        <v>3858.7099060688624</v>
      </c>
      <c r="BZ232" s="89">
        <v>175.45277951000003</v>
      </c>
      <c r="CA232" s="89">
        <v>9259.9531297199992</v>
      </c>
      <c r="CB232" s="89">
        <v>-1609.6676474399965</v>
      </c>
      <c r="CC232" s="88">
        <v>1598.1232519999999</v>
      </c>
      <c r="CD232" s="89">
        <v>-6.8527480000000338</v>
      </c>
      <c r="CE232" s="89">
        <v>120.30980899999997</v>
      </c>
      <c r="CF232" s="89">
        <v>-127.16255700000001</v>
      </c>
      <c r="CG232" s="89">
        <v>1604.9760000000001</v>
      </c>
      <c r="CH232" s="89"/>
      <c r="CI232" s="88">
        <v>95494.2</v>
      </c>
      <c r="CJ232" s="89">
        <v>27763</v>
      </c>
      <c r="CK232" s="89">
        <v>14897.2</v>
      </c>
      <c r="CL232" s="89">
        <v>12865.8</v>
      </c>
      <c r="CM232" s="89">
        <v>78469.899999999994</v>
      </c>
      <c r="CN232" s="89">
        <v>-10738.7</v>
      </c>
      <c r="CO232" s="88">
        <v>59839.8</v>
      </c>
      <c r="CP232" s="89">
        <v>-17624.7</v>
      </c>
      <c r="CQ232" s="89">
        <v>7226.9</v>
      </c>
      <c r="CR232" s="89">
        <v>-24851.599999999999</v>
      </c>
      <c r="CS232" s="89">
        <v>89116.9</v>
      </c>
      <c r="CT232" s="89">
        <v>-11652.4</v>
      </c>
      <c r="CU232" s="88">
        <v>55450.05187080655</v>
      </c>
      <c r="CV232" s="89">
        <v>18197.503648198548</v>
      </c>
      <c r="CW232" s="89">
        <v>18582.583993687724</v>
      </c>
      <c r="CX232" s="89">
        <v>-385.08034548917612</v>
      </c>
      <c r="CY232" s="89">
        <v>37252.548222607998</v>
      </c>
      <c r="CZ232" s="89"/>
      <c r="DA232" s="88">
        <v>86384.161514522595</v>
      </c>
      <c r="DB232" s="89">
        <v>-4930.3222074897385</v>
      </c>
      <c r="DC232" s="89">
        <v>-8098.6260657590974</v>
      </c>
      <c r="DD232" s="89">
        <v>3168.1610550393602</v>
      </c>
      <c r="DE232" s="89">
        <v>139231.74946051522</v>
      </c>
      <c r="DF232" s="89">
        <v>-47917.122935272891</v>
      </c>
      <c r="DG232" s="88">
        <v>345292.10682999995</v>
      </c>
      <c r="DH232" s="89">
        <v>141950.00682999997</v>
      </c>
      <c r="DI232" s="89"/>
      <c r="DJ232" s="89"/>
      <c r="DK232" s="89">
        <v>214480.73499999999</v>
      </c>
      <c r="DL232" s="89">
        <v>-11138.635</v>
      </c>
      <c r="DM232" s="88">
        <v>4866524.1061119996</v>
      </c>
      <c r="DN232" s="89">
        <v>2112895.3011119999</v>
      </c>
      <c r="DO232" s="89">
        <v>1930579.0851119999</v>
      </c>
      <c r="DP232" s="89">
        <v>182316.21600000001</v>
      </c>
      <c r="DQ232" s="89">
        <v>2753628.8050000002</v>
      </c>
      <c r="DR232" s="89"/>
      <c r="DS232" s="88">
        <v>71178.339552077232</v>
      </c>
      <c r="DT232" s="89">
        <v>40374.550788451656</v>
      </c>
      <c r="DU232" s="89">
        <v>39535.009311989605</v>
      </c>
      <c r="DV232" s="89">
        <v>839.54147646204979</v>
      </c>
      <c r="DW232" s="89">
        <v>51126.666319680349</v>
      </c>
      <c r="DX232" s="89">
        <v>-20322.877556054773</v>
      </c>
      <c r="DY232" s="88">
        <v>11263.668378</v>
      </c>
      <c r="DZ232" s="89">
        <f t="shared" si="15"/>
        <v>124.22666099999969</v>
      </c>
      <c r="EA232" s="89">
        <v>1455.7719439999998</v>
      </c>
      <c r="EB232" s="89">
        <v>-1331.5452830000002</v>
      </c>
      <c r="EC232" s="89">
        <v>11139.441717</v>
      </c>
      <c r="ED232" s="89"/>
      <c r="EE232" s="88">
        <v>14149.053826890038</v>
      </c>
      <c r="EF232" s="89">
        <v>-1860.8826354899991</v>
      </c>
      <c r="EG232" s="89">
        <v>-1863.2080354399991</v>
      </c>
      <c r="EH232" s="89">
        <v>2.3253999499999995</v>
      </c>
      <c r="EI232" s="89">
        <v>20944.378267755998</v>
      </c>
      <c r="EJ232" s="89">
        <v>-4934.4418053759609</v>
      </c>
      <c r="EK232" s="88">
        <v>12713610.891180178</v>
      </c>
      <c r="EL232" s="89">
        <v>-3736997.7627802491</v>
      </c>
      <c r="EM232" s="89">
        <v>-2940834.6529510189</v>
      </c>
      <c r="EN232" s="89">
        <v>-796163.10982923012</v>
      </c>
      <c r="EO232" s="89">
        <v>16948825.558396928</v>
      </c>
      <c r="EP232" s="89">
        <v>-498216.90443650004</v>
      </c>
      <c r="EQ232" s="88">
        <v>60663.193406819984</v>
      </c>
      <c r="ER232" s="89">
        <v>-23293.987272139999</v>
      </c>
      <c r="ES232" s="89"/>
      <c r="ET232" s="89"/>
      <c r="EU232" s="89">
        <v>125314.68449944</v>
      </c>
      <c r="EV232" s="89">
        <v>-41357.503820480022</v>
      </c>
      <c r="EW232" s="88">
        <v>629122.93147812516</v>
      </c>
      <c r="EX232" s="89">
        <f t="shared" si="17"/>
        <v>315944.280585006</v>
      </c>
      <c r="EY232" s="89">
        <v>303509.72902891599</v>
      </c>
      <c r="EZ232" s="89">
        <v>12434.551556090002</v>
      </c>
      <c r="FA232" s="89">
        <v>339126.56697969005</v>
      </c>
      <c r="FB232" s="89">
        <v>-25947.916086570978</v>
      </c>
      <c r="FC232" s="88">
        <v>1645.3682209999999</v>
      </c>
      <c r="FD232" s="89">
        <v>408.19122099999993</v>
      </c>
      <c r="FE232" s="89">
        <v>747.94634899999994</v>
      </c>
      <c r="FF232" s="89">
        <v>-339.75512800000001</v>
      </c>
      <c r="FG232" s="89">
        <v>1237.1769999999999</v>
      </c>
      <c r="FH232" s="89"/>
      <c r="FI232" s="88">
        <v>985.9648820000001</v>
      </c>
      <c r="FJ232" s="89">
        <v>50.966882000000005</v>
      </c>
      <c r="FK232" s="89">
        <v>98.482195000000004</v>
      </c>
      <c r="FL232" s="89">
        <v>-47.515312999999999</v>
      </c>
      <c r="FM232" s="89">
        <v>934.99800000000005</v>
      </c>
      <c r="FN232" s="89"/>
      <c r="FO232" s="88">
        <v>3476.4877080000001</v>
      </c>
      <c r="FP232" s="89">
        <v>-229.20929199999995</v>
      </c>
      <c r="FQ232" s="89">
        <v>97.221585000000019</v>
      </c>
      <c r="FR232" s="89">
        <v>-326.43087699999995</v>
      </c>
      <c r="FS232" s="89">
        <v>3705.6970000000001</v>
      </c>
      <c r="FT232" s="89"/>
      <c r="FU232" s="88">
        <v>2380.6999999999998</v>
      </c>
      <c r="FV232" s="89">
        <v>5.1000000000000014</v>
      </c>
      <c r="FW232" s="89">
        <v>-23.4</v>
      </c>
      <c r="FX232" s="89">
        <v>28.5</v>
      </c>
      <c r="FY232" s="89">
        <v>2337.6</v>
      </c>
      <c r="FZ232" s="89">
        <v>38</v>
      </c>
      <c r="GA232" s="88">
        <v>15712.1</v>
      </c>
      <c r="GB232" s="89">
        <v>-27429</v>
      </c>
      <c r="GC232" s="89">
        <v>-32290.400000000001</v>
      </c>
      <c r="GD232" s="89">
        <v>4861.3999999999996</v>
      </c>
      <c r="GE232" s="89">
        <v>43141.1</v>
      </c>
      <c r="GF232" s="89"/>
      <c r="GG232" s="88"/>
      <c r="GH232" s="89"/>
      <c r="GI232" s="89"/>
      <c r="GJ232" s="89"/>
      <c r="GK232" s="89"/>
      <c r="GL232" s="89"/>
      <c r="GM232" s="88">
        <v>197281.56678066004</v>
      </c>
      <c r="GN232" s="89">
        <v>16265.757855739999</v>
      </c>
      <c r="GO232" s="89">
        <v>14791.732392649999</v>
      </c>
      <c r="GP232" s="89">
        <v>1474.0254630899999</v>
      </c>
      <c r="GQ232" s="89">
        <v>138785.92313165002</v>
      </c>
      <c r="GR232" s="89">
        <v>42229.849768570006</v>
      </c>
    </row>
    <row r="233" spans="1:200">
      <c r="A233" s="69"/>
      <c r="B233" s="93" t="s">
        <v>490</v>
      </c>
      <c r="C233" s="88">
        <v>2958.1896139999994</v>
      </c>
      <c r="D233" s="87">
        <v>422.55861399999998</v>
      </c>
      <c r="E233" s="87">
        <v>470.23818899999998</v>
      </c>
      <c r="F233" s="87">
        <v>-47.679575</v>
      </c>
      <c r="G233" s="87">
        <v>2535.6309999999999</v>
      </c>
      <c r="H233" s="87"/>
      <c r="I233" s="88">
        <v>156769.33862087</v>
      </c>
      <c r="J233" s="89">
        <v>157577.09400000001</v>
      </c>
      <c r="K233" s="89"/>
      <c r="L233" s="89"/>
      <c r="M233" s="89">
        <v>143279.31899999999</v>
      </c>
      <c r="N233" s="89">
        <v>-144087.07437913</v>
      </c>
      <c r="O233" s="88">
        <v>7883.3</v>
      </c>
      <c r="P233" s="89">
        <v>1374.8</v>
      </c>
      <c r="Q233" s="89">
        <v>926.3</v>
      </c>
      <c r="R233" s="89">
        <v>448.5</v>
      </c>
      <c r="S233" s="89">
        <v>6508.5</v>
      </c>
      <c r="T233" s="89"/>
      <c r="U233" s="88">
        <v>6866.0671499999989</v>
      </c>
      <c r="V233" s="89">
        <v>1399.5627399999998</v>
      </c>
      <c r="W233" s="89">
        <v>725.27715000000001</v>
      </c>
      <c r="X233" s="89">
        <v>674.28558999999996</v>
      </c>
      <c r="Y233" s="89">
        <v>5466.5044099999996</v>
      </c>
      <c r="Z233" s="89"/>
      <c r="AA233" s="88">
        <v>1950.325</v>
      </c>
      <c r="AB233" s="89">
        <v>218.46100000000001</v>
      </c>
      <c r="AC233" s="89">
        <v>208.149</v>
      </c>
      <c r="AD233" s="89">
        <v>10.311999999999999</v>
      </c>
      <c r="AE233" s="89">
        <v>1731.864</v>
      </c>
      <c r="AF233" s="89"/>
      <c r="AG233" s="88">
        <v>47398.095273042003</v>
      </c>
      <c r="AH233" s="89">
        <v>10263.518260052786</v>
      </c>
      <c r="AI233" s="89">
        <v>10263.518260052786</v>
      </c>
      <c r="AJ233" s="89"/>
      <c r="AK233" s="89">
        <v>37134.577009989225</v>
      </c>
      <c r="AL233" s="89"/>
      <c r="AM233" s="88">
        <v>2702440</v>
      </c>
      <c r="AN233" s="89">
        <v>1033878</v>
      </c>
      <c r="AO233" s="89">
        <v>1012732</v>
      </c>
      <c r="AP233" s="89">
        <v>21146</v>
      </c>
      <c r="AQ233" s="89">
        <v>1400345</v>
      </c>
      <c r="AR233" s="89">
        <v>268217</v>
      </c>
      <c r="AS233" s="88">
        <v>60218000</v>
      </c>
      <c r="AT233" s="89">
        <v>-4224000</v>
      </c>
      <c r="AU233" s="89">
        <v>-4224000</v>
      </c>
      <c r="AV233" s="89"/>
      <c r="AW233" s="89">
        <v>69490000</v>
      </c>
      <c r="AX233" s="89">
        <v>-5048000</v>
      </c>
      <c r="AY233" s="88">
        <v>162541093.14081457</v>
      </c>
      <c r="AZ233" s="89">
        <f t="shared" si="16"/>
        <v>30059159.096763551</v>
      </c>
      <c r="BA233" s="89">
        <v>22077065.769083552</v>
      </c>
      <c r="BB233" s="89">
        <v>7982093.3276800001</v>
      </c>
      <c r="BC233" s="89">
        <v>132481934.04405101</v>
      </c>
      <c r="BD233" s="89"/>
      <c r="BE233" s="88">
        <v>7505162.5725159496</v>
      </c>
      <c r="BF233" s="89">
        <v>354351.17542218004</v>
      </c>
      <c r="BG233" s="89">
        <v>285102.46771549003</v>
      </c>
      <c r="BH233" s="89">
        <v>69248.707706689995</v>
      </c>
      <c r="BI233" s="89">
        <v>7969722.5053501893</v>
      </c>
      <c r="BJ233" s="89">
        <v>-818911.10825642</v>
      </c>
      <c r="BK233" s="88">
        <v>486.54107700000003</v>
      </c>
      <c r="BL233" s="89">
        <v>-135.25192300000001</v>
      </c>
      <c r="BM233" s="89">
        <v>-45.92334000000001</v>
      </c>
      <c r="BN233" s="89">
        <v>-89.328582999999995</v>
      </c>
      <c r="BO233" s="89">
        <v>621.79300000000001</v>
      </c>
      <c r="BP233" s="89"/>
      <c r="BQ233" s="88">
        <v>9308.2441060000019</v>
      </c>
      <c r="BR233" s="89">
        <v>-4893.5547420000003</v>
      </c>
      <c r="BS233" s="89">
        <v>-3089.738488</v>
      </c>
      <c r="BT233" s="89">
        <v>-1803.8162539999998</v>
      </c>
      <c r="BU233" s="89">
        <v>14201.798848000002</v>
      </c>
      <c r="BV233" s="89"/>
      <c r="BW233" s="88">
        <v>11761.484892589049</v>
      </c>
      <c r="BX233" s="89">
        <v>4088.1995131290514</v>
      </c>
      <c r="BY233" s="89">
        <v>3923.9198971690512</v>
      </c>
      <c r="BZ233" s="89">
        <v>164.27961596</v>
      </c>
      <c r="CA233" s="89">
        <v>9206.4368843099983</v>
      </c>
      <c r="CB233" s="89">
        <v>-1533.1515048500014</v>
      </c>
      <c r="CC233" s="88">
        <v>1586.0757449999999</v>
      </c>
      <c r="CD233" s="89">
        <v>-7.2232550000000231</v>
      </c>
      <c r="CE233" s="89">
        <v>128.40230099999999</v>
      </c>
      <c r="CF233" s="89">
        <v>-135.62555600000002</v>
      </c>
      <c r="CG233" s="89">
        <v>1593.299</v>
      </c>
      <c r="CH233" s="89"/>
      <c r="CI233" s="88">
        <v>95226.7</v>
      </c>
      <c r="CJ233" s="89">
        <v>28031.200000000001</v>
      </c>
      <c r="CK233" s="89">
        <v>15206.1</v>
      </c>
      <c r="CL233" s="89">
        <v>12825.1</v>
      </c>
      <c r="CM233" s="89">
        <v>78277.299999999988</v>
      </c>
      <c r="CN233" s="89">
        <v>-11081.8</v>
      </c>
      <c r="CO233" s="88">
        <v>60170.400000000001</v>
      </c>
      <c r="CP233" s="89">
        <v>-18109.099999999999</v>
      </c>
      <c r="CQ233" s="89">
        <v>7643.1</v>
      </c>
      <c r="CR233" s="89">
        <v>-25752.199999999997</v>
      </c>
      <c r="CS233" s="89">
        <v>89403</v>
      </c>
      <c r="CT233" s="89">
        <v>-11123.6</v>
      </c>
      <c r="CU233" s="88">
        <v>55676.951920201464</v>
      </c>
      <c r="CV233" s="89">
        <v>18269.150435175481</v>
      </c>
      <c r="CW233" s="89">
        <v>18673.550331567592</v>
      </c>
      <c r="CX233" s="89">
        <v>-404.39989639210808</v>
      </c>
      <c r="CY233" s="89">
        <v>37407.801485025979</v>
      </c>
      <c r="CZ233" s="89"/>
      <c r="DA233" s="88">
        <v>87008.073520333084</v>
      </c>
      <c r="DB233" s="89">
        <v>-4354.4910820429941</v>
      </c>
      <c r="DC233" s="89">
        <v>-7461.948047252994</v>
      </c>
      <c r="DD233" s="89">
        <v>3107.2680690199995</v>
      </c>
      <c r="DE233" s="89">
        <v>139453.4011111203</v>
      </c>
      <c r="DF233" s="89">
        <v>-48090.647612554239</v>
      </c>
      <c r="DG233" s="88">
        <v>337267.18118000001</v>
      </c>
      <c r="DH233" s="89">
        <v>137283.08718</v>
      </c>
      <c r="DI233" s="89"/>
      <c r="DJ233" s="89"/>
      <c r="DK233" s="89">
        <v>214521.62700000001</v>
      </c>
      <c r="DL233" s="89">
        <v>-14537.532999999999</v>
      </c>
      <c r="DM233" s="88">
        <v>4827924.33454582</v>
      </c>
      <c r="DN233" s="89">
        <v>2104803.0855458202</v>
      </c>
      <c r="DO233" s="89">
        <v>1921784.6705458201</v>
      </c>
      <c r="DP233" s="89">
        <v>183018.41500000001</v>
      </c>
      <c r="DQ233" s="89">
        <v>2723121.2489999998</v>
      </c>
      <c r="DR233" s="89"/>
      <c r="DS233" s="88">
        <v>71643.65641228309</v>
      </c>
      <c r="DT233" s="89">
        <v>40602.4256211662</v>
      </c>
      <c r="DU233" s="89">
        <v>39769.805857506202</v>
      </c>
      <c r="DV233" s="89">
        <v>832.61976365999999</v>
      </c>
      <c r="DW233" s="89">
        <v>50851.592509381939</v>
      </c>
      <c r="DX233" s="89">
        <v>-19810.361718265049</v>
      </c>
      <c r="DY233" s="88">
        <v>11663.159997999999</v>
      </c>
      <c r="DZ233" s="89">
        <f t="shared" si="15"/>
        <v>353.14851200000021</v>
      </c>
      <c r="EA233" s="89">
        <v>1494.1190260000001</v>
      </c>
      <c r="EB233" s="89">
        <v>-1140.9705139999999</v>
      </c>
      <c r="EC233" s="89">
        <v>11310.011485999999</v>
      </c>
      <c r="ED233" s="89"/>
      <c r="EE233" s="88">
        <v>13152.220354930238</v>
      </c>
      <c r="EF233" s="89">
        <v>-1767.78131904</v>
      </c>
      <c r="EG233" s="89">
        <v>-1770.1851591</v>
      </c>
      <c r="EH233" s="89">
        <v>2.4038400599999998</v>
      </c>
      <c r="EI233" s="89">
        <v>21006.852859709998</v>
      </c>
      <c r="EJ233" s="89">
        <v>-6086.8511857397589</v>
      </c>
      <c r="EK233" s="88">
        <v>13007883.699981449</v>
      </c>
      <c r="EL233" s="89">
        <v>-3547415.0830876408</v>
      </c>
      <c r="EM233" s="89">
        <v>-2598444.7914494709</v>
      </c>
      <c r="EN233" s="89">
        <v>-948970.2916381699</v>
      </c>
      <c r="EO233" s="89">
        <v>17058425.171936791</v>
      </c>
      <c r="EP233" s="89">
        <v>-503126.38886769989</v>
      </c>
      <c r="EQ233" s="88">
        <v>61550.563630000004</v>
      </c>
      <c r="ER233" s="89">
        <v>-21089.1418395</v>
      </c>
      <c r="ES233" s="89"/>
      <c r="ET233" s="89"/>
      <c r="EU233" s="89">
        <v>126822.30175550001</v>
      </c>
      <c r="EV233" s="89">
        <v>-44182.596286</v>
      </c>
      <c r="EW233" s="88">
        <v>627517.32739309815</v>
      </c>
      <c r="EX233" s="89">
        <f t="shared" si="17"/>
        <v>316317.59832244605</v>
      </c>
      <c r="EY233" s="89">
        <v>304138.74214933603</v>
      </c>
      <c r="EZ233" s="89">
        <v>12178.856173110002</v>
      </c>
      <c r="FA233" s="89">
        <v>338074.93116355001</v>
      </c>
      <c r="FB233" s="89">
        <v>-26875.202092897845</v>
      </c>
      <c r="FC233" s="88">
        <v>1662.2265749999999</v>
      </c>
      <c r="FD233" s="89">
        <v>430.39657499999998</v>
      </c>
      <c r="FE233" s="89">
        <v>746.60870299999999</v>
      </c>
      <c r="FF233" s="89">
        <v>-316.21212800000001</v>
      </c>
      <c r="FG233" s="89">
        <v>1231.83</v>
      </c>
      <c r="FH233" s="89"/>
      <c r="FI233" s="88">
        <v>997.89524699999993</v>
      </c>
      <c r="FJ233" s="89">
        <v>54.148247000000005</v>
      </c>
      <c r="FK233" s="89">
        <v>107.276606</v>
      </c>
      <c r="FL233" s="89">
        <v>-53.128358999999996</v>
      </c>
      <c r="FM233" s="89">
        <v>943.74699999999996</v>
      </c>
      <c r="FN233" s="89"/>
      <c r="FO233" s="88">
        <v>3446.8176669999998</v>
      </c>
      <c r="FP233" s="89">
        <v>-244.62733299999996</v>
      </c>
      <c r="FQ233" s="89">
        <v>91.86354399999999</v>
      </c>
      <c r="FR233" s="89">
        <v>-336.49087699999995</v>
      </c>
      <c r="FS233" s="89">
        <v>3691.4450000000002</v>
      </c>
      <c r="FT233" s="89"/>
      <c r="FU233" s="88">
        <v>2413.1</v>
      </c>
      <c r="FV233" s="89">
        <v>17.400000000000002</v>
      </c>
      <c r="FW233" s="89">
        <v>-19.8</v>
      </c>
      <c r="FX233" s="89">
        <v>37.200000000000003</v>
      </c>
      <c r="FY233" s="89">
        <v>2356.1</v>
      </c>
      <c r="FZ233" s="89">
        <v>39.6</v>
      </c>
      <c r="GA233" s="88">
        <v>18016.2</v>
      </c>
      <c r="GB233" s="89">
        <v>-24884.6</v>
      </c>
      <c r="GC233" s="89">
        <v>-29602.2</v>
      </c>
      <c r="GD233" s="89">
        <v>4717.6000000000004</v>
      </c>
      <c r="GE233" s="89">
        <v>42900.800000000003</v>
      </c>
      <c r="GF233" s="89"/>
      <c r="GG233" s="88"/>
      <c r="GH233" s="89"/>
      <c r="GI233" s="89"/>
      <c r="GJ233" s="89"/>
      <c r="GK233" s="89"/>
      <c r="GL233" s="89"/>
      <c r="GM233" s="88">
        <v>198446.56156135999</v>
      </c>
      <c r="GN233" s="89">
        <v>17604.631959970004</v>
      </c>
      <c r="GO233" s="89">
        <v>15737.220663190003</v>
      </c>
      <c r="GP233" s="89">
        <v>1867.4112967799997</v>
      </c>
      <c r="GQ233" s="89">
        <v>139341.23201875002</v>
      </c>
      <c r="GR233" s="89">
        <v>41500.658519719997</v>
      </c>
    </row>
    <row r="234" spans="1:200">
      <c r="A234" s="69"/>
      <c r="B234" s="93" t="s">
        <v>491</v>
      </c>
      <c r="C234" s="88">
        <v>3044.1571959999997</v>
      </c>
      <c r="D234" s="87">
        <v>519.77119599999992</v>
      </c>
      <c r="E234" s="87">
        <v>548.93077099999994</v>
      </c>
      <c r="F234" s="87">
        <v>-29.159575</v>
      </c>
      <c r="G234" s="87">
        <v>2524.386</v>
      </c>
      <c r="H234" s="87"/>
      <c r="I234" s="88">
        <v>153016.38548794994</v>
      </c>
      <c r="J234" s="89">
        <v>162394.56899999999</v>
      </c>
      <c r="K234" s="89"/>
      <c r="L234" s="89"/>
      <c r="M234" s="89">
        <v>144880.32699999999</v>
      </c>
      <c r="N234" s="89">
        <v>-154258.51051205001</v>
      </c>
      <c r="O234" s="88">
        <v>7933.8</v>
      </c>
      <c r="P234" s="89">
        <v>1450</v>
      </c>
      <c r="Q234" s="89">
        <v>1042.9000000000001</v>
      </c>
      <c r="R234" s="89">
        <v>407.1</v>
      </c>
      <c r="S234" s="89">
        <v>6483.8</v>
      </c>
      <c r="T234" s="89"/>
      <c r="U234" s="88">
        <v>6850.7815200000005</v>
      </c>
      <c r="V234" s="89">
        <v>1380.4541199999999</v>
      </c>
      <c r="W234" s="89">
        <v>710.95852000000002</v>
      </c>
      <c r="X234" s="89">
        <v>669.49559999999997</v>
      </c>
      <c r="Y234" s="89">
        <v>5470.3274000000001</v>
      </c>
      <c r="Z234" s="89"/>
      <c r="AA234" s="88">
        <v>1959.6990000000001</v>
      </c>
      <c r="AB234" s="89">
        <v>240.334</v>
      </c>
      <c r="AC234" s="89">
        <v>230.09800000000001</v>
      </c>
      <c r="AD234" s="89">
        <v>10.236000000000001</v>
      </c>
      <c r="AE234" s="89">
        <v>1719.365</v>
      </c>
      <c r="AF234" s="89"/>
      <c r="AG234" s="88">
        <v>47762.823151177574</v>
      </c>
      <c r="AH234" s="89">
        <v>10549.313273657899</v>
      </c>
      <c r="AI234" s="89">
        <v>10549.313273657899</v>
      </c>
      <c r="AJ234" s="89"/>
      <c r="AK234" s="89">
        <v>37213.509882519647</v>
      </c>
      <c r="AL234" s="89"/>
      <c r="AM234" s="88">
        <v>2720332</v>
      </c>
      <c r="AN234" s="89">
        <v>1049380</v>
      </c>
      <c r="AO234" s="89">
        <v>1027696</v>
      </c>
      <c r="AP234" s="89">
        <v>21684</v>
      </c>
      <c r="AQ234" s="89">
        <v>1407926</v>
      </c>
      <c r="AR234" s="89">
        <v>263027</v>
      </c>
      <c r="AS234" s="88">
        <v>59469000</v>
      </c>
      <c r="AT234" s="89">
        <v>-2257000</v>
      </c>
      <c r="AU234" s="89">
        <v>-2257000</v>
      </c>
      <c r="AV234" s="89"/>
      <c r="AW234" s="89">
        <v>68601000</v>
      </c>
      <c r="AX234" s="89">
        <v>-6875000</v>
      </c>
      <c r="AY234" s="88">
        <v>160864946.58967927</v>
      </c>
      <c r="AZ234" s="89">
        <f t="shared" si="16"/>
        <v>28711690.102530729</v>
      </c>
      <c r="BA234" s="89">
        <v>20519384.598300729</v>
      </c>
      <c r="BB234" s="89">
        <v>8192305.5042300001</v>
      </c>
      <c r="BC234" s="89">
        <v>132153256.48714855</v>
      </c>
      <c r="BD234" s="89"/>
      <c r="BE234" s="88">
        <v>7668206.5259609697</v>
      </c>
      <c r="BF234" s="89">
        <v>372931.02350044</v>
      </c>
      <c r="BG234" s="89">
        <v>304425.10625702998</v>
      </c>
      <c r="BH234" s="89">
        <v>68505.917243410004</v>
      </c>
      <c r="BI234" s="89">
        <v>7971865.7566014398</v>
      </c>
      <c r="BJ234" s="89">
        <v>-676590.25414090999</v>
      </c>
      <c r="BK234" s="88">
        <v>453.82020400000005</v>
      </c>
      <c r="BL234" s="89">
        <v>-151.903796</v>
      </c>
      <c r="BM234" s="89">
        <v>-75.577748999999983</v>
      </c>
      <c r="BN234" s="89">
        <v>-76.326047000000003</v>
      </c>
      <c r="BO234" s="89">
        <v>605.72400000000005</v>
      </c>
      <c r="BP234" s="89"/>
      <c r="BQ234" s="88">
        <v>9401.6474710000002</v>
      </c>
      <c r="BR234" s="89">
        <v>-4520.0685670000003</v>
      </c>
      <c r="BS234" s="89">
        <v>-2809.4542020000008</v>
      </c>
      <c r="BT234" s="89">
        <v>-1710.6143649999997</v>
      </c>
      <c r="BU234" s="89">
        <v>13921.716038000002</v>
      </c>
      <c r="BV234" s="89"/>
      <c r="BW234" s="88">
        <v>11629.264623766037</v>
      </c>
      <c r="BX234" s="89">
        <v>4046.6533782460406</v>
      </c>
      <c r="BY234" s="89">
        <v>3874.8950461060404</v>
      </c>
      <c r="BZ234" s="89">
        <v>171.75833214000002</v>
      </c>
      <c r="CA234" s="89">
        <v>9268.0239104799984</v>
      </c>
      <c r="CB234" s="89">
        <v>-1685.4126649600003</v>
      </c>
      <c r="CC234" s="88">
        <v>1583.3130299999998</v>
      </c>
      <c r="CD234" s="89">
        <v>-12.838970000000032</v>
      </c>
      <c r="CE234" s="89">
        <v>126.47686299999999</v>
      </c>
      <c r="CF234" s="89">
        <v>-139.31583300000003</v>
      </c>
      <c r="CG234" s="89">
        <v>1596.152</v>
      </c>
      <c r="CH234" s="89"/>
      <c r="CI234" s="88">
        <v>93141.1</v>
      </c>
      <c r="CJ234" s="89">
        <v>26151.599999999999</v>
      </c>
      <c r="CK234" s="89">
        <v>13364.2</v>
      </c>
      <c r="CL234" s="89">
        <v>12787.4</v>
      </c>
      <c r="CM234" s="89">
        <v>78422</v>
      </c>
      <c r="CN234" s="89">
        <v>-11432.5</v>
      </c>
      <c r="CO234" s="88">
        <v>56546.2</v>
      </c>
      <c r="CP234" s="89">
        <v>-20830.599999999999</v>
      </c>
      <c r="CQ234" s="89">
        <v>5343.4</v>
      </c>
      <c r="CR234" s="89">
        <v>-26174</v>
      </c>
      <c r="CS234" s="89">
        <v>88910.6</v>
      </c>
      <c r="CT234" s="89">
        <v>-11533.8</v>
      </c>
      <c r="CU234" s="88">
        <v>54874.95940322442</v>
      </c>
      <c r="CV234" s="89">
        <v>17647.592096474724</v>
      </c>
      <c r="CW234" s="89">
        <v>18184.335567274422</v>
      </c>
      <c r="CX234" s="89">
        <v>-536.74347079969994</v>
      </c>
      <c r="CY234" s="89">
        <v>37227.367306749693</v>
      </c>
      <c r="CZ234" s="89"/>
      <c r="DA234" s="88">
        <v>85271.845621314395</v>
      </c>
      <c r="DB234" s="89">
        <v>-5434.2120329821028</v>
      </c>
      <c r="DC234" s="89">
        <v>-8431.0504427521046</v>
      </c>
      <c r="DD234" s="89">
        <v>2996.7355267799999</v>
      </c>
      <c r="DE234" s="89">
        <v>139399.65674664508</v>
      </c>
      <c r="DF234" s="89">
        <v>-48693.496209358593</v>
      </c>
      <c r="DG234" s="88">
        <v>344805.26695999998</v>
      </c>
      <c r="DH234" s="89">
        <v>140600.21795999998</v>
      </c>
      <c r="DI234" s="89"/>
      <c r="DJ234" s="89"/>
      <c r="DK234" s="89">
        <v>213999.31299999999</v>
      </c>
      <c r="DL234" s="89">
        <v>-9794.2639999999992</v>
      </c>
      <c r="DM234" s="88">
        <v>4987578.7659549695</v>
      </c>
      <c r="DN234" s="89">
        <v>2268180.3779549696</v>
      </c>
      <c r="DO234" s="89">
        <v>2084824.0539549699</v>
      </c>
      <c r="DP234" s="89">
        <v>183356.32399999999</v>
      </c>
      <c r="DQ234" s="89">
        <v>2719398.3879999998</v>
      </c>
      <c r="DR234" s="89"/>
      <c r="DS234" s="88">
        <v>71579.749873436172</v>
      </c>
      <c r="DT234" s="89">
        <v>41031.692347798322</v>
      </c>
      <c r="DU234" s="89">
        <v>40180.292890430523</v>
      </c>
      <c r="DV234" s="89">
        <v>851.39945736780078</v>
      </c>
      <c r="DW234" s="89">
        <v>50559.365083034769</v>
      </c>
      <c r="DX234" s="89">
        <v>-20011.307557396904</v>
      </c>
      <c r="DY234" s="88">
        <v>11668.875614</v>
      </c>
      <c r="DZ234" s="89">
        <f t="shared" si="15"/>
        <v>375.20409099999983</v>
      </c>
      <c r="EA234" s="89">
        <v>1481.2435679999999</v>
      </c>
      <c r="EB234" s="89">
        <v>-1106.039477</v>
      </c>
      <c r="EC234" s="89">
        <v>11293.671523000001</v>
      </c>
      <c r="ED234" s="89"/>
      <c r="EE234" s="88">
        <v>13930.197122244881</v>
      </c>
      <c r="EF234" s="89">
        <v>-2260.46195038</v>
      </c>
      <c r="EG234" s="89">
        <v>-2262.5626979099998</v>
      </c>
      <c r="EH234" s="89">
        <v>2.10074753</v>
      </c>
      <c r="EI234" s="89">
        <v>21070.951613509998</v>
      </c>
      <c r="EJ234" s="89">
        <v>-4880.2925408851197</v>
      </c>
      <c r="EK234" s="88">
        <v>12825378.01363931</v>
      </c>
      <c r="EL234" s="89">
        <v>-3748559.3706151894</v>
      </c>
      <c r="EM234" s="89">
        <v>-2739035.2157060895</v>
      </c>
      <c r="EN234" s="89">
        <v>-1009524.1549090999</v>
      </c>
      <c r="EO234" s="89">
        <v>17010585.656282499</v>
      </c>
      <c r="EP234" s="89">
        <v>-436648.27202799998</v>
      </c>
      <c r="EQ234" s="88">
        <v>61182.485570039986</v>
      </c>
      <c r="ER234" s="89">
        <v>-23041.498727999999</v>
      </c>
      <c r="ES234" s="89"/>
      <c r="ET234" s="89"/>
      <c r="EU234" s="89">
        <v>127294.69278404</v>
      </c>
      <c r="EV234" s="89">
        <v>-43070.708486000018</v>
      </c>
      <c r="EW234" s="88">
        <v>636648.33914751397</v>
      </c>
      <c r="EX234" s="89">
        <f t="shared" si="17"/>
        <v>321962.51807607</v>
      </c>
      <c r="EY234" s="89">
        <v>309224.89865185</v>
      </c>
      <c r="EZ234" s="89">
        <v>12737.619424220002</v>
      </c>
      <c r="FA234" s="89">
        <v>336444.80986852001</v>
      </c>
      <c r="FB234" s="89">
        <v>-21758.988797075996</v>
      </c>
      <c r="FC234" s="88">
        <v>1633.9237060000003</v>
      </c>
      <c r="FD234" s="89">
        <v>394.59270600000002</v>
      </c>
      <c r="FE234" s="89">
        <v>735.05983300000003</v>
      </c>
      <c r="FF234" s="89">
        <v>-340.467127</v>
      </c>
      <c r="FG234" s="89">
        <v>1239.3309999999999</v>
      </c>
      <c r="FH234" s="89"/>
      <c r="FI234" s="88">
        <v>990.01653599999997</v>
      </c>
      <c r="FJ234" s="89">
        <v>63.564535999999983</v>
      </c>
      <c r="FK234" s="89">
        <v>117.23411599999999</v>
      </c>
      <c r="FL234" s="89">
        <v>-53.669580000000003</v>
      </c>
      <c r="FM234" s="89">
        <v>926.452</v>
      </c>
      <c r="FN234" s="89"/>
      <c r="FO234" s="88">
        <v>3387.720163</v>
      </c>
      <c r="FP234" s="89">
        <v>-266.9468369999999</v>
      </c>
      <c r="FQ234" s="89">
        <v>38.549040000000041</v>
      </c>
      <c r="FR234" s="89">
        <v>-305.49587699999995</v>
      </c>
      <c r="FS234" s="89">
        <v>3654.6669999999999</v>
      </c>
      <c r="FT234" s="89"/>
      <c r="FU234" s="88">
        <v>2515.6</v>
      </c>
      <c r="FV234" s="89">
        <v>95.699999999999989</v>
      </c>
      <c r="FW234" s="89">
        <v>59.3</v>
      </c>
      <c r="FX234" s="89">
        <v>36.4</v>
      </c>
      <c r="FY234" s="89">
        <v>2377.3000000000002</v>
      </c>
      <c r="FZ234" s="89">
        <v>42.6</v>
      </c>
      <c r="GA234" s="88">
        <v>20422.2</v>
      </c>
      <c r="GB234" s="89">
        <v>-22631.5</v>
      </c>
      <c r="GC234" s="89">
        <v>-28146</v>
      </c>
      <c r="GD234" s="89">
        <v>5514.5</v>
      </c>
      <c r="GE234" s="89">
        <v>43053.599999999999</v>
      </c>
      <c r="GF234" s="89"/>
      <c r="GG234" s="88"/>
      <c r="GH234" s="89"/>
      <c r="GI234" s="89"/>
      <c r="GJ234" s="89"/>
      <c r="GK234" s="89"/>
      <c r="GL234" s="89"/>
      <c r="GM234" s="88">
        <v>207190.41011088999</v>
      </c>
      <c r="GN234" s="89">
        <v>18470.687502599998</v>
      </c>
      <c r="GO234" s="89">
        <v>16776.491927349998</v>
      </c>
      <c r="GP234" s="89">
        <v>1694.1955752500003</v>
      </c>
      <c r="GQ234" s="89">
        <v>141282.70548069</v>
      </c>
      <c r="GR234" s="89">
        <v>47436.980292450004</v>
      </c>
    </row>
    <row r="235" spans="1:200">
      <c r="A235" s="69"/>
      <c r="B235" s="93" t="s">
        <v>492</v>
      </c>
      <c r="C235" s="88">
        <v>3029.2786840000003</v>
      </c>
      <c r="D235" s="87">
        <v>510.17168399999991</v>
      </c>
      <c r="E235" s="87">
        <v>561.75292699999989</v>
      </c>
      <c r="F235" s="87">
        <v>-51.581243000000001</v>
      </c>
      <c r="G235" s="87">
        <v>2519.107</v>
      </c>
      <c r="H235" s="87"/>
      <c r="I235" s="88">
        <v>159113.07631109998</v>
      </c>
      <c r="J235" s="89">
        <v>168449.74600000001</v>
      </c>
      <c r="K235" s="89"/>
      <c r="L235" s="89"/>
      <c r="M235" s="89">
        <v>145446.07199999999</v>
      </c>
      <c r="N235" s="89">
        <v>-154782.74168889999</v>
      </c>
      <c r="O235" s="88">
        <v>7906.3</v>
      </c>
      <c r="P235" s="89">
        <v>1411.9</v>
      </c>
      <c r="Q235" s="89">
        <v>999.2</v>
      </c>
      <c r="R235" s="89">
        <v>412.7</v>
      </c>
      <c r="S235" s="89">
        <v>6494.4</v>
      </c>
      <c r="T235" s="89"/>
      <c r="U235" s="88">
        <v>6908.1705899999997</v>
      </c>
      <c r="V235" s="89">
        <v>1440.3657000000001</v>
      </c>
      <c r="W235" s="89">
        <v>762.09591</v>
      </c>
      <c r="X235" s="89">
        <v>678.26979000000006</v>
      </c>
      <c r="Y235" s="89">
        <v>5467.8048899999994</v>
      </c>
      <c r="Z235" s="89"/>
      <c r="AA235" s="88">
        <v>1944.7159999999999</v>
      </c>
      <c r="AB235" s="89">
        <v>213.011</v>
      </c>
      <c r="AC235" s="89">
        <v>203.11799999999999</v>
      </c>
      <c r="AD235" s="89">
        <v>9.8930000000000007</v>
      </c>
      <c r="AE235" s="89">
        <v>1731.7049999999999</v>
      </c>
      <c r="AF235" s="89"/>
      <c r="AG235" s="88">
        <v>48537.916289034467</v>
      </c>
      <c r="AH235" s="89">
        <v>10813.55685186852</v>
      </c>
      <c r="AI235" s="89">
        <v>10813.55685186852</v>
      </c>
      <c r="AJ235" s="89"/>
      <c r="AK235" s="89">
        <v>37724.359437165949</v>
      </c>
      <c r="AL235" s="89"/>
      <c r="AM235" s="88">
        <v>2763801</v>
      </c>
      <c r="AN235" s="89">
        <v>1078293</v>
      </c>
      <c r="AO235" s="89">
        <v>1056831</v>
      </c>
      <c r="AP235" s="89">
        <v>21462</v>
      </c>
      <c r="AQ235" s="89">
        <v>1415492</v>
      </c>
      <c r="AR235" s="89">
        <v>270016</v>
      </c>
      <c r="AS235" s="88">
        <v>58902000</v>
      </c>
      <c r="AT235" s="89">
        <v>-2395000</v>
      </c>
      <c r="AU235" s="89">
        <v>-2395000</v>
      </c>
      <c r="AV235" s="89"/>
      <c r="AW235" s="89">
        <v>68686000</v>
      </c>
      <c r="AX235" s="89">
        <v>-7389000</v>
      </c>
      <c r="AY235" s="88">
        <v>158740063.60765091</v>
      </c>
      <c r="AZ235" s="89">
        <f t="shared" si="16"/>
        <v>26369253.255530901</v>
      </c>
      <c r="BA235" s="89">
        <v>17907164.1423609</v>
      </c>
      <c r="BB235" s="89">
        <v>8462089.1131699998</v>
      </c>
      <c r="BC235" s="89">
        <v>132370810.35212</v>
      </c>
      <c r="BD235" s="89"/>
      <c r="BE235" s="88">
        <v>7734515.4733006703</v>
      </c>
      <c r="BF235" s="89">
        <v>310860.95420601999</v>
      </c>
      <c r="BG235" s="89">
        <v>246869.74063237</v>
      </c>
      <c r="BH235" s="89">
        <v>63991.213573649999</v>
      </c>
      <c r="BI235" s="89">
        <v>8055310.6000670195</v>
      </c>
      <c r="BJ235" s="89">
        <v>-631656.08097236999</v>
      </c>
      <c r="BK235" s="88">
        <v>464.25600900000001</v>
      </c>
      <c r="BL235" s="89">
        <v>-149.61099100000001</v>
      </c>
      <c r="BM235" s="89">
        <v>-73.441000000000003</v>
      </c>
      <c r="BN235" s="89">
        <v>-76.169990999999996</v>
      </c>
      <c r="BO235" s="89">
        <v>613.86699999999996</v>
      </c>
      <c r="BP235" s="89"/>
      <c r="BQ235" s="88">
        <v>9147.0149090000014</v>
      </c>
      <c r="BR235" s="89">
        <v>-4565.2736430000004</v>
      </c>
      <c r="BS235" s="89">
        <v>-2637.3966919999998</v>
      </c>
      <c r="BT235" s="89">
        <v>-1927.8719509999999</v>
      </c>
      <c r="BU235" s="89">
        <v>13712.283552000001</v>
      </c>
      <c r="BV235" s="89"/>
      <c r="BW235" s="88">
        <v>11526.628121493679</v>
      </c>
      <c r="BX235" s="89">
        <v>4026.0021160336755</v>
      </c>
      <c r="BY235" s="89">
        <v>3846.2411525636758</v>
      </c>
      <c r="BZ235" s="89">
        <v>179.76096346999998</v>
      </c>
      <c r="CA235" s="89">
        <v>9199.3615054200018</v>
      </c>
      <c r="CB235" s="89">
        <v>-1698.7354999599993</v>
      </c>
      <c r="CC235" s="88">
        <v>1602.9707980000001</v>
      </c>
      <c r="CD235" s="89">
        <v>0.4057979999999759</v>
      </c>
      <c r="CE235" s="89">
        <v>132.333631</v>
      </c>
      <c r="CF235" s="89">
        <v>-131.92783300000002</v>
      </c>
      <c r="CG235" s="89">
        <v>1602.5650000000001</v>
      </c>
      <c r="CH235" s="89"/>
      <c r="CI235" s="88">
        <v>93636.7</v>
      </c>
      <c r="CJ235" s="89">
        <v>27195.1</v>
      </c>
      <c r="CK235" s="89">
        <v>14456</v>
      </c>
      <c r="CL235" s="89">
        <v>12739.1</v>
      </c>
      <c r="CM235" s="89">
        <v>77972.100000000006</v>
      </c>
      <c r="CN235" s="89">
        <v>-11530.5</v>
      </c>
      <c r="CO235" s="88">
        <v>55716.9</v>
      </c>
      <c r="CP235" s="89">
        <v>-22201.5</v>
      </c>
      <c r="CQ235" s="89">
        <v>3382.1</v>
      </c>
      <c r="CR235" s="89">
        <v>-25583.599999999999</v>
      </c>
      <c r="CS235" s="89">
        <v>89464.1</v>
      </c>
      <c r="CT235" s="89">
        <v>-11545.7</v>
      </c>
      <c r="CU235" s="88">
        <v>55722.683862224207</v>
      </c>
      <c r="CV235" s="89">
        <v>17933.282333951247</v>
      </c>
      <c r="CW235" s="89">
        <v>18574.107161737345</v>
      </c>
      <c r="CX235" s="89">
        <v>-640.82482778610142</v>
      </c>
      <c r="CY235" s="89">
        <v>37789.40152827296</v>
      </c>
      <c r="CZ235" s="89"/>
      <c r="DA235" s="88">
        <v>83904.076974249736</v>
      </c>
      <c r="DB235" s="89">
        <v>-7278.7260172967872</v>
      </c>
      <c r="DC235" s="89">
        <v>-10291.044210282926</v>
      </c>
      <c r="DD235" s="89">
        <v>3012.168256366137</v>
      </c>
      <c r="DE235" s="89">
        <v>139220.64030339973</v>
      </c>
      <c r="DF235" s="89">
        <v>-48037.68737523321</v>
      </c>
      <c r="DG235" s="88">
        <v>344637.53200000001</v>
      </c>
      <c r="DH235" s="89">
        <v>147254.10500000001</v>
      </c>
      <c r="DI235" s="89"/>
      <c r="DJ235" s="89"/>
      <c r="DK235" s="89">
        <v>214252.98</v>
      </c>
      <c r="DL235" s="89">
        <v>-16869.553</v>
      </c>
      <c r="DM235" s="88">
        <v>4894015.1533276904</v>
      </c>
      <c r="DN235" s="89">
        <v>2184969.9333276898</v>
      </c>
      <c r="DO235" s="89">
        <v>1996081.95032769</v>
      </c>
      <c r="DP235" s="89">
        <v>188887.98300000001</v>
      </c>
      <c r="DQ235" s="89">
        <v>2709045.22</v>
      </c>
      <c r="DR235" s="89"/>
      <c r="DS235" s="88">
        <v>70854.327338353745</v>
      </c>
      <c r="DT235" s="89">
        <v>41066.988291532129</v>
      </c>
      <c r="DU235" s="89">
        <v>40234.35674302213</v>
      </c>
      <c r="DV235" s="89">
        <v>832.63154851000002</v>
      </c>
      <c r="DW235" s="89">
        <v>49593.573551937698</v>
      </c>
      <c r="DX235" s="89">
        <v>-19806.234505116081</v>
      </c>
      <c r="DY235" s="88">
        <v>11627.787594000001</v>
      </c>
      <c r="DZ235" s="89">
        <f t="shared" si="15"/>
        <v>337.46194300000002</v>
      </c>
      <c r="EA235" s="89">
        <v>1468.1842919999999</v>
      </c>
      <c r="EB235" s="89">
        <v>-1130.7223489999999</v>
      </c>
      <c r="EC235" s="89">
        <v>11290.325651000001</v>
      </c>
      <c r="ED235" s="89"/>
      <c r="EE235" s="88">
        <v>13976.990827538901</v>
      </c>
      <c r="EF235" s="89">
        <v>-2111.6436104899999</v>
      </c>
      <c r="EG235" s="89">
        <v>-2113.74835007</v>
      </c>
      <c r="EH235" s="89">
        <v>2.1047395799999999</v>
      </c>
      <c r="EI235" s="89">
        <v>21080.335074941999</v>
      </c>
      <c r="EJ235" s="89">
        <v>-4991.7006369130959</v>
      </c>
      <c r="EK235" s="88">
        <v>12128300.578803761</v>
      </c>
      <c r="EL235" s="89">
        <v>-4296974.4905653195</v>
      </c>
      <c r="EM235" s="89">
        <v>-3223981.3409491698</v>
      </c>
      <c r="EN235" s="89">
        <v>-1072993.14961615</v>
      </c>
      <c r="EO235" s="89">
        <v>16887419.067362279</v>
      </c>
      <c r="EP235" s="89">
        <v>-462143.99799319997</v>
      </c>
      <c r="EQ235" s="88">
        <v>64852.08141585</v>
      </c>
      <c r="ER235" s="89">
        <v>-21349.625805979998</v>
      </c>
      <c r="ES235" s="89"/>
      <c r="ET235" s="89"/>
      <c r="EU235" s="89">
        <v>125839.0305756</v>
      </c>
      <c r="EV235" s="89">
        <v>-39637.32335377</v>
      </c>
      <c r="EW235" s="88">
        <v>639199.8474947213</v>
      </c>
      <c r="EX235" s="89">
        <f t="shared" si="17"/>
        <v>322413.62350241002</v>
      </c>
      <c r="EY235" s="89">
        <v>313346.26610092999</v>
      </c>
      <c r="EZ235" s="89">
        <v>9067.3574014799997</v>
      </c>
      <c r="FA235" s="89">
        <v>338408.36054025998</v>
      </c>
      <c r="FB235" s="89">
        <v>-21622.136547948532</v>
      </c>
      <c r="FC235" s="88">
        <v>1609.6702949999999</v>
      </c>
      <c r="FD235" s="89">
        <v>355.92829499999993</v>
      </c>
      <c r="FE235" s="89">
        <v>706.96558499999992</v>
      </c>
      <c r="FF235" s="89">
        <v>-351.03728999999998</v>
      </c>
      <c r="FG235" s="89">
        <v>1253.742</v>
      </c>
      <c r="FH235" s="89"/>
      <c r="FI235" s="88">
        <v>992.31801299999995</v>
      </c>
      <c r="FJ235" s="89">
        <v>73.005012999999991</v>
      </c>
      <c r="FK235" s="89">
        <v>123.60269</v>
      </c>
      <c r="FL235" s="89">
        <v>-50.597677000000004</v>
      </c>
      <c r="FM235" s="89">
        <v>919.31299999999999</v>
      </c>
      <c r="FN235" s="89"/>
      <c r="FO235" s="88">
        <v>3384.335247</v>
      </c>
      <c r="FP235" s="89">
        <v>-268.02975299999997</v>
      </c>
      <c r="FQ235" s="89">
        <v>37.71212400000001</v>
      </c>
      <c r="FR235" s="89">
        <v>-305.74187699999999</v>
      </c>
      <c r="FS235" s="89">
        <v>3652.3649999999998</v>
      </c>
      <c r="FT235" s="89"/>
      <c r="FU235" s="88">
        <v>2209</v>
      </c>
      <c r="FV235" s="89">
        <v>-211</v>
      </c>
      <c r="FW235" s="89">
        <v>-252.3</v>
      </c>
      <c r="FX235" s="89">
        <v>41.3</v>
      </c>
      <c r="FY235" s="89">
        <v>2376.4</v>
      </c>
      <c r="FZ235" s="89">
        <v>43.6</v>
      </c>
      <c r="GA235" s="88">
        <v>19803</v>
      </c>
      <c r="GB235" s="89">
        <v>-23678.6</v>
      </c>
      <c r="GC235" s="89">
        <v>-29528.6</v>
      </c>
      <c r="GD235" s="89">
        <v>5850</v>
      </c>
      <c r="GE235" s="89">
        <v>43481.599999999999</v>
      </c>
      <c r="GF235" s="89"/>
      <c r="GG235" s="88"/>
      <c r="GH235" s="89"/>
      <c r="GI235" s="89"/>
      <c r="GJ235" s="89"/>
      <c r="GK235" s="89"/>
      <c r="GL235" s="89"/>
      <c r="GM235" s="88">
        <v>207903.26595794005</v>
      </c>
      <c r="GN235" s="89">
        <v>23186.229425869999</v>
      </c>
      <c r="GO235" s="89">
        <v>21936.029849459999</v>
      </c>
      <c r="GP235" s="89">
        <v>1250.1995764100002</v>
      </c>
      <c r="GQ235" s="89">
        <v>142087.76866764002</v>
      </c>
      <c r="GR235" s="89">
        <v>42629.139066869997</v>
      </c>
    </row>
    <row r="236" spans="1:200">
      <c r="A236" s="69"/>
      <c r="B236" s="93" t="s">
        <v>493</v>
      </c>
      <c r="C236" s="88">
        <v>2996.7811000000002</v>
      </c>
      <c r="D236" s="87">
        <v>485.83409999999992</v>
      </c>
      <c r="E236" s="87">
        <v>582.61534299999994</v>
      </c>
      <c r="F236" s="87">
        <v>-96.781243000000003</v>
      </c>
      <c r="G236" s="87">
        <v>2510.9470000000001</v>
      </c>
      <c r="H236" s="87"/>
      <c r="I236" s="88">
        <v>164156.92658522</v>
      </c>
      <c r="J236" s="89">
        <v>177044.878</v>
      </c>
      <c r="K236" s="89"/>
      <c r="L236" s="89"/>
      <c r="M236" s="89">
        <v>147425.21400000001</v>
      </c>
      <c r="N236" s="89">
        <v>-160313.16541478</v>
      </c>
      <c r="O236" s="88">
        <v>7911</v>
      </c>
      <c r="P236" s="89">
        <v>1397</v>
      </c>
      <c r="Q236" s="89">
        <v>993.5</v>
      </c>
      <c r="R236" s="89">
        <v>403.5</v>
      </c>
      <c r="S236" s="89">
        <v>6514</v>
      </c>
      <c r="T236" s="89"/>
      <c r="U236" s="88">
        <v>7020.0580800000007</v>
      </c>
      <c r="V236" s="89">
        <v>1518.4051800000002</v>
      </c>
      <c r="W236" s="89">
        <v>842.72961999999995</v>
      </c>
      <c r="X236" s="89">
        <v>675.67556000000013</v>
      </c>
      <c r="Y236" s="89">
        <v>5501.6529</v>
      </c>
      <c r="Z236" s="89"/>
      <c r="AA236" s="88">
        <v>1965.7339999999999</v>
      </c>
      <c r="AB236" s="89">
        <v>214.66299999999998</v>
      </c>
      <c r="AC236" s="89">
        <v>204.62799999999999</v>
      </c>
      <c r="AD236" s="89">
        <v>10.035</v>
      </c>
      <c r="AE236" s="89">
        <v>1751.0709999999999</v>
      </c>
      <c r="AF236" s="89"/>
      <c r="AG236" s="88">
        <v>49018.354397774914</v>
      </c>
      <c r="AH236" s="89">
        <v>10984.659838309499</v>
      </c>
      <c r="AI236" s="89">
        <v>10984.659838309499</v>
      </c>
      <c r="AJ236" s="89"/>
      <c r="AK236" s="89">
        <v>38033.694559465417</v>
      </c>
      <c r="AL236" s="89"/>
      <c r="AM236" s="88">
        <v>2816112</v>
      </c>
      <c r="AN236" s="89">
        <v>1136736</v>
      </c>
      <c r="AO236" s="89">
        <v>1114937</v>
      </c>
      <c r="AP236" s="89">
        <v>21799</v>
      </c>
      <c r="AQ236" s="89">
        <v>1423201</v>
      </c>
      <c r="AR236" s="89">
        <v>256176</v>
      </c>
      <c r="AS236" s="88">
        <v>59333000</v>
      </c>
      <c r="AT236" s="89">
        <v>-2445000</v>
      </c>
      <c r="AU236" s="89">
        <v>-2445000</v>
      </c>
      <c r="AV236" s="89"/>
      <c r="AW236" s="89">
        <v>68193000</v>
      </c>
      <c r="AX236" s="89">
        <v>-6415000</v>
      </c>
      <c r="AY236" s="88">
        <v>161412587.63209987</v>
      </c>
      <c r="AZ236" s="89">
        <f t="shared" si="16"/>
        <v>28651504.473539084</v>
      </c>
      <c r="BA236" s="89">
        <v>18367148.704039082</v>
      </c>
      <c r="BB236" s="89">
        <v>10284355.7695</v>
      </c>
      <c r="BC236" s="89">
        <v>132761083.15856077</v>
      </c>
      <c r="BD236" s="89"/>
      <c r="BE236" s="88">
        <v>7975352.6551680705</v>
      </c>
      <c r="BF236" s="89">
        <v>497386.27691858</v>
      </c>
      <c r="BG236" s="89">
        <v>433148.92935679998</v>
      </c>
      <c r="BH236" s="89">
        <v>64237.34756178</v>
      </c>
      <c r="BI236" s="89">
        <v>8087399.74733241</v>
      </c>
      <c r="BJ236" s="89">
        <v>-609433.36908292002</v>
      </c>
      <c r="BK236" s="88">
        <v>455.594133</v>
      </c>
      <c r="BL236" s="89">
        <v>-163.08486699999997</v>
      </c>
      <c r="BM236" s="89">
        <v>-84.344576999999987</v>
      </c>
      <c r="BN236" s="89">
        <v>-78.740289999999987</v>
      </c>
      <c r="BO236" s="89">
        <v>618.67899999999997</v>
      </c>
      <c r="BP236" s="89"/>
      <c r="BQ236" s="88">
        <v>9476.5533639999994</v>
      </c>
      <c r="BR236" s="89">
        <v>-4155.9542030000002</v>
      </c>
      <c r="BS236" s="89">
        <v>-2234.77061</v>
      </c>
      <c r="BT236" s="89">
        <v>-1921.1835930000002</v>
      </c>
      <c r="BU236" s="89">
        <v>13632.507567000001</v>
      </c>
      <c r="BV236" s="89"/>
      <c r="BW236" s="88">
        <v>11594.623364759998</v>
      </c>
      <c r="BX236" s="89">
        <v>4065.1827129600006</v>
      </c>
      <c r="BY236" s="89">
        <v>3905.3642144600008</v>
      </c>
      <c r="BZ236" s="89">
        <v>159.8184985</v>
      </c>
      <c r="CA236" s="89">
        <v>9066.2457976799997</v>
      </c>
      <c r="CB236" s="89">
        <v>-1536.805145880003</v>
      </c>
      <c r="CC236" s="88">
        <v>1618.5505059999998</v>
      </c>
      <c r="CD236" s="89">
        <v>6.6955059999999946</v>
      </c>
      <c r="CE236" s="89">
        <v>139.40833900000001</v>
      </c>
      <c r="CF236" s="89">
        <v>-132.71283300000002</v>
      </c>
      <c r="CG236" s="89">
        <v>1611.855</v>
      </c>
      <c r="CH236" s="89"/>
      <c r="CI236" s="88">
        <v>94249.4</v>
      </c>
      <c r="CJ236" s="89">
        <v>28195.1</v>
      </c>
      <c r="CK236" s="89">
        <v>15338.9</v>
      </c>
      <c r="CL236" s="89">
        <v>12856.199999999999</v>
      </c>
      <c r="CM236" s="89">
        <v>77544.700000000012</v>
      </c>
      <c r="CN236" s="89">
        <v>-11490.3</v>
      </c>
      <c r="CO236" s="88">
        <v>57982</v>
      </c>
      <c r="CP236" s="89">
        <v>-20426.599999999999</v>
      </c>
      <c r="CQ236" s="89">
        <v>3119.8</v>
      </c>
      <c r="CR236" s="89">
        <v>-23546.399999999998</v>
      </c>
      <c r="CS236" s="89">
        <v>89571.9</v>
      </c>
      <c r="CT236" s="89">
        <v>-11163.3</v>
      </c>
      <c r="CU236" s="88">
        <v>55076.946203218766</v>
      </c>
      <c r="CV236" s="89">
        <v>17072.973079642841</v>
      </c>
      <c r="CW236" s="89">
        <v>17805.3040966273</v>
      </c>
      <c r="CX236" s="89">
        <v>-732.33101698446148</v>
      </c>
      <c r="CY236" s="89">
        <v>38003.973123575925</v>
      </c>
      <c r="CZ236" s="89"/>
      <c r="DA236" s="88">
        <v>84693.972913644902</v>
      </c>
      <c r="DB236" s="89">
        <v>-6309.0737484116089</v>
      </c>
      <c r="DC236" s="89">
        <v>-9275.5913377561919</v>
      </c>
      <c r="DD236" s="89">
        <v>2966.3552028245804</v>
      </c>
      <c r="DE236" s="89">
        <v>139113.94152930431</v>
      </c>
      <c r="DF236" s="89">
        <v>-48110.73248072782</v>
      </c>
      <c r="DG236" s="88">
        <v>350048.96609</v>
      </c>
      <c r="DH236" s="89">
        <v>152046.12509000002</v>
      </c>
      <c r="DI236" s="89"/>
      <c r="DJ236" s="89"/>
      <c r="DK236" s="89">
        <v>213178.375</v>
      </c>
      <c r="DL236" s="89">
        <v>-15175.534</v>
      </c>
      <c r="DM236" s="88">
        <v>4957757.5661602598</v>
      </c>
      <c r="DN236" s="89">
        <v>2223765.2231602604</v>
      </c>
      <c r="DO236" s="89">
        <v>2026539.7571602601</v>
      </c>
      <c r="DP236" s="89">
        <v>197225.46600000001</v>
      </c>
      <c r="DQ236" s="89">
        <v>2733992.3429999999</v>
      </c>
      <c r="DR236" s="89"/>
      <c r="DS236" s="88">
        <v>67653.470000974688</v>
      </c>
      <c r="DT236" s="89">
        <v>41386.498480283357</v>
      </c>
      <c r="DU236" s="89">
        <v>40556.945982313358</v>
      </c>
      <c r="DV236" s="89">
        <v>829.55249796999988</v>
      </c>
      <c r="DW236" s="89">
        <v>49274.826202158802</v>
      </c>
      <c r="DX236" s="89">
        <v>-23007.854681467474</v>
      </c>
      <c r="DY236" s="88">
        <v>11579.784445000001</v>
      </c>
      <c r="DZ236" s="89">
        <f t="shared" si="15"/>
        <v>277.58228899999995</v>
      </c>
      <c r="EA236" s="89">
        <v>1462.424133</v>
      </c>
      <c r="EB236" s="89">
        <v>-1184.841844</v>
      </c>
      <c r="EC236" s="89">
        <v>11302.202155999999</v>
      </c>
      <c r="ED236" s="89"/>
      <c r="EE236" s="88">
        <v>13747.136304491947</v>
      </c>
      <c r="EF236" s="89">
        <v>-1926.8402138499998</v>
      </c>
      <c r="EG236" s="89">
        <v>-1928.6028124899999</v>
      </c>
      <c r="EH236" s="89">
        <v>1.76259864</v>
      </c>
      <c r="EI236" s="89">
        <v>21127.186654354999</v>
      </c>
      <c r="EJ236" s="89">
        <v>-5453.2101360130491</v>
      </c>
      <c r="EK236" s="88">
        <v>11713927.599476688</v>
      </c>
      <c r="EL236" s="89">
        <v>-4664645.9159260094</v>
      </c>
      <c r="EM236" s="89">
        <v>-3329181.2241551597</v>
      </c>
      <c r="EN236" s="89">
        <v>-1335464.6917708502</v>
      </c>
      <c r="EO236" s="89">
        <v>16830809.091584697</v>
      </c>
      <c r="EP236" s="89">
        <v>-452235.57618199999</v>
      </c>
      <c r="EQ236" s="88">
        <v>66316.077807950001</v>
      </c>
      <c r="ER236" s="89">
        <v>-22248.808700370006</v>
      </c>
      <c r="ES236" s="89"/>
      <c r="ET236" s="89"/>
      <c r="EU236" s="89">
        <v>129185.71947333</v>
      </c>
      <c r="EV236" s="89">
        <v>-40620.832965009991</v>
      </c>
      <c r="EW236" s="88">
        <v>645294.57134487492</v>
      </c>
      <c r="EX236" s="89">
        <f t="shared" si="17"/>
        <v>343547.78604524996</v>
      </c>
      <c r="EY236" s="89">
        <v>333724.72503388993</v>
      </c>
      <c r="EZ236" s="89">
        <v>9823.0610113600014</v>
      </c>
      <c r="FA236" s="89">
        <v>343971.38499255001</v>
      </c>
      <c r="FB236" s="89">
        <v>-42224.599692925032</v>
      </c>
      <c r="FC236" s="88">
        <v>1621.886403</v>
      </c>
      <c r="FD236" s="89">
        <v>367.74240299999997</v>
      </c>
      <c r="FE236" s="89">
        <v>715.63469299999997</v>
      </c>
      <c r="FF236" s="89">
        <v>-347.89229</v>
      </c>
      <c r="FG236" s="89">
        <v>1254.144</v>
      </c>
      <c r="FH236" s="89"/>
      <c r="FI236" s="88">
        <v>962.74452999999994</v>
      </c>
      <c r="FJ236" s="89">
        <v>37.670529999999992</v>
      </c>
      <c r="FK236" s="89">
        <v>87.965402999999995</v>
      </c>
      <c r="FL236" s="89">
        <v>-50.294873000000003</v>
      </c>
      <c r="FM236" s="89">
        <v>925.07399999999996</v>
      </c>
      <c r="FN236" s="89"/>
      <c r="FO236" s="88">
        <v>3394.2607160000002</v>
      </c>
      <c r="FP236" s="89">
        <v>-274.19328400000001</v>
      </c>
      <c r="FQ236" s="89">
        <v>38.887592999999995</v>
      </c>
      <c r="FR236" s="89">
        <v>-313.08087699999999</v>
      </c>
      <c r="FS236" s="89">
        <v>3668.4540000000002</v>
      </c>
      <c r="FT236" s="89"/>
      <c r="FU236" s="88">
        <v>2324.8000000000002</v>
      </c>
      <c r="FV236" s="89">
        <v>-146.69999999999999</v>
      </c>
      <c r="FW236" s="89">
        <v>-188.1</v>
      </c>
      <c r="FX236" s="89">
        <v>41.4</v>
      </c>
      <c r="FY236" s="89">
        <v>2426.9</v>
      </c>
      <c r="FZ236" s="89">
        <v>44.6</v>
      </c>
      <c r="GA236" s="88">
        <v>22258.400000000001</v>
      </c>
      <c r="GB236" s="89">
        <v>-21475.1</v>
      </c>
      <c r="GC236" s="89">
        <v>-27502.799999999999</v>
      </c>
      <c r="GD236" s="89">
        <v>6027.7</v>
      </c>
      <c r="GE236" s="89">
        <v>43733.5</v>
      </c>
      <c r="GF236" s="89"/>
      <c r="GG236" s="88"/>
      <c r="GH236" s="89"/>
      <c r="GI236" s="89"/>
      <c r="GJ236" s="89"/>
      <c r="GK236" s="89"/>
      <c r="GL236" s="89"/>
      <c r="GM236" s="88">
        <v>215692.25966965995</v>
      </c>
      <c r="GN236" s="89">
        <v>28542.397831039994</v>
      </c>
      <c r="GO236" s="89">
        <v>26857.529546509995</v>
      </c>
      <c r="GP236" s="89">
        <v>1684.8682845300002</v>
      </c>
      <c r="GQ236" s="89">
        <v>143777.94735174996</v>
      </c>
      <c r="GR236" s="89">
        <v>43371.878793359996</v>
      </c>
    </row>
    <row r="237" spans="1:200">
      <c r="A237" s="69"/>
      <c r="B237" s="93" t="s">
        <v>494</v>
      </c>
      <c r="C237" s="88">
        <v>3010.2293220000001</v>
      </c>
      <c r="D237" s="87">
        <v>480.5133219999999</v>
      </c>
      <c r="E237" s="87">
        <v>571.89956499999994</v>
      </c>
      <c r="F237" s="87">
        <v>-91.386243000000007</v>
      </c>
      <c r="G237" s="87">
        <v>2529.7159999999999</v>
      </c>
      <c r="H237" s="87"/>
      <c r="I237" s="88">
        <v>171081.75773309998</v>
      </c>
      <c r="J237" s="89">
        <v>181148.37100000001</v>
      </c>
      <c r="K237" s="89"/>
      <c r="L237" s="89"/>
      <c r="M237" s="89">
        <v>148283.359</v>
      </c>
      <c r="N237" s="89">
        <v>-158349.9722669</v>
      </c>
      <c r="O237" s="88">
        <v>7964.2</v>
      </c>
      <c r="P237" s="89">
        <v>1447.4</v>
      </c>
      <c r="Q237" s="89">
        <v>1041.8</v>
      </c>
      <c r="R237" s="89">
        <v>405.6</v>
      </c>
      <c r="S237" s="89">
        <v>6516.8</v>
      </c>
      <c r="T237" s="89"/>
      <c r="U237" s="88">
        <v>7032.9551199999996</v>
      </c>
      <c r="V237" s="89">
        <v>1514.5623599999999</v>
      </c>
      <c r="W237" s="89">
        <v>848.40158999999994</v>
      </c>
      <c r="X237" s="89">
        <v>666.16077000000007</v>
      </c>
      <c r="Y237" s="89">
        <v>5518.3927599999997</v>
      </c>
      <c r="Z237" s="89"/>
      <c r="AA237" s="88">
        <v>1959.2270000000001</v>
      </c>
      <c r="AB237" s="89">
        <v>209.756</v>
      </c>
      <c r="AC237" s="89">
        <v>199.96100000000001</v>
      </c>
      <c r="AD237" s="89">
        <v>9.7949999999999999</v>
      </c>
      <c r="AE237" s="89">
        <v>1749.471</v>
      </c>
      <c r="AF237" s="89"/>
      <c r="AG237" s="88">
        <v>49509.249616618123</v>
      </c>
      <c r="AH237" s="89">
        <v>10962.488462460158</v>
      </c>
      <c r="AI237" s="89">
        <v>10962.488462460158</v>
      </c>
      <c r="AJ237" s="89"/>
      <c r="AK237" s="89">
        <v>38546.761154157968</v>
      </c>
      <c r="AL237" s="89"/>
      <c r="AM237" s="88">
        <v>2747846</v>
      </c>
      <c r="AN237" s="89">
        <v>1061251</v>
      </c>
      <c r="AO237" s="89">
        <v>1039124</v>
      </c>
      <c r="AP237" s="89">
        <v>22127</v>
      </c>
      <c r="AQ237" s="89">
        <v>1438479</v>
      </c>
      <c r="AR237" s="89">
        <v>248117</v>
      </c>
      <c r="AS237" s="88">
        <v>59345000</v>
      </c>
      <c r="AT237" s="89">
        <v>-2455000</v>
      </c>
      <c r="AU237" s="89">
        <v>-2455000</v>
      </c>
      <c r="AV237" s="89"/>
      <c r="AW237" s="89">
        <v>67587000</v>
      </c>
      <c r="AX237" s="89">
        <v>-5787000</v>
      </c>
      <c r="AY237" s="88">
        <v>161291032.99907923</v>
      </c>
      <c r="AZ237" s="89">
        <f t="shared" si="16"/>
        <v>29344584.721801743</v>
      </c>
      <c r="BA237" s="89">
        <v>18750571.614021741</v>
      </c>
      <c r="BB237" s="89">
        <v>10594013.10778</v>
      </c>
      <c r="BC237" s="89">
        <v>131946448.2772775</v>
      </c>
      <c r="BD237" s="89"/>
      <c r="BE237" s="88">
        <v>7972545.2778792102</v>
      </c>
      <c r="BF237" s="89">
        <v>495489.55988171999</v>
      </c>
      <c r="BG237" s="89">
        <v>431426.91992064001</v>
      </c>
      <c r="BH237" s="89">
        <v>64062.63996108</v>
      </c>
      <c r="BI237" s="89">
        <v>8073314.4349388797</v>
      </c>
      <c r="BJ237" s="89">
        <v>-596258.71694138995</v>
      </c>
      <c r="BK237" s="88">
        <v>468.99281300000001</v>
      </c>
      <c r="BL237" s="89">
        <v>-147.15118700000002</v>
      </c>
      <c r="BM237" s="89">
        <v>-67.820615000000018</v>
      </c>
      <c r="BN237" s="89">
        <v>-79.330572000000004</v>
      </c>
      <c r="BO237" s="89">
        <v>616.14400000000001</v>
      </c>
      <c r="BP237" s="89"/>
      <c r="BQ237" s="88">
        <v>9854.9501760000003</v>
      </c>
      <c r="BR237" s="89">
        <v>-3778.5237319999997</v>
      </c>
      <c r="BS237" s="89">
        <v>-1862.8060559999999</v>
      </c>
      <c r="BT237" s="89">
        <v>-1915.717676</v>
      </c>
      <c r="BU237" s="89">
        <v>13633.473908</v>
      </c>
      <c r="BV237" s="89"/>
      <c r="BW237" s="88">
        <v>11662.58088361</v>
      </c>
      <c r="BX237" s="89">
        <v>4264.0362682700006</v>
      </c>
      <c r="BY237" s="89">
        <v>4099.0206951400005</v>
      </c>
      <c r="BZ237" s="89">
        <v>165.01557313000001</v>
      </c>
      <c r="CA237" s="89">
        <v>8923.2500435599995</v>
      </c>
      <c r="CB237" s="89">
        <v>-1524.7054282200002</v>
      </c>
      <c r="CC237" s="88">
        <v>1622.9773599999999</v>
      </c>
      <c r="CD237" s="89">
        <v>-1.3576399999999751</v>
      </c>
      <c r="CE237" s="89">
        <v>132.02119300000004</v>
      </c>
      <c r="CF237" s="89">
        <v>-133.37883300000001</v>
      </c>
      <c r="CG237" s="89">
        <v>1624.335</v>
      </c>
      <c r="CH237" s="89"/>
      <c r="CI237" s="88">
        <v>93934.8</v>
      </c>
      <c r="CJ237" s="89">
        <v>28598.6</v>
      </c>
      <c r="CK237" s="89">
        <v>15667.9</v>
      </c>
      <c r="CL237" s="89">
        <v>12930.699999999999</v>
      </c>
      <c r="CM237" s="89">
        <v>77681.700000000012</v>
      </c>
      <c r="CN237" s="89">
        <v>-12345.5</v>
      </c>
      <c r="CO237" s="88">
        <v>53016.2</v>
      </c>
      <c r="CP237" s="89">
        <v>-24620.1</v>
      </c>
      <c r="CQ237" s="89">
        <v>1325.4</v>
      </c>
      <c r="CR237" s="89">
        <v>-25945.5</v>
      </c>
      <c r="CS237" s="89">
        <v>89351.5</v>
      </c>
      <c r="CT237" s="89">
        <v>-11715.3</v>
      </c>
      <c r="CU237" s="88">
        <v>56527.065560503703</v>
      </c>
      <c r="CV237" s="89">
        <v>17526.344701490973</v>
      </c>
      <c r="CW237" s="89">
        <v>18256.299467411114</v>
      </c>
      <c r="CX237" s="89">
        <v>-729.95476592014472</v>
      </c>
      <c r="CY237" s="89">
        <v>39000.720859012727</v>
      </c>
      <c r="CZ237" s="89"/>
      <c r="DA237" s="88">
        <v>85257.040421862941</v>
      </c>
      <c r="DB237" s="89">
        <v>-5127.3152456941971</v>
      </c>
      <c r="DC237" s="89">
        <v>-8131.3143015876121</v>
      </c>
      <c r="DD237" s="89">
        <v>3003.8207666234125</v>
      </c>
      <c r="DE237" s="89">
        <v>139065.27821983807</v>
      </c>
      <c r="DF237" s="89">
        <v>-48680.744263010944</v>
      </c>
      <c r="DG237" s="88">
        <v>353635.48184999992</v>
      </c>
      <c r="DH237" s="89">
        <v>152634.00884999998</v>
      </c>
      <c r="DI237" s="89"/>
      <c r="DJ237" s="89"/>
      <c r="DK237" s="89">
        <v>213700.90599999999</v>
      </c>
      <c r="DL237" s="89">
        <v>-12699.433000000001</v>
      </c>
      <c r="DM237" s="88">
        <v>5040491.0318814693</v>
      </c>
      <c r="DN237" s="89">
        <v>2300758.5408814698</v>
      </c>
      <c r="DO237" s="89">
        <v>2094544.6138814699</v>
      </c>
      <c r="DP237" s="89">
        <v>206213.927</v>
      </c>
      <c r="DQ237" s="89">
        <v>2739732.4909999999</v>
      </c>
      <c r="DR237" s="89"/>
      <c r="DS237" s="88">
        <v>66221.351037765402</v>
      </c>
      <c r="DT237" s="89">
        <v>41897.278793970974</v>
      </c>
      <c r="DU237" s="89">
        <v>41062.450028820975</v>
      </c>
      <c r="DV237" s="89">
        <v>834.82876515000009</v>
      </c>
      <c r="DW237" s="89">
        <v>48756.844152718128</v>
      </c>
      <c r="DX237" s="89">
        <v>-24432.771908923703</v>
      </c>
      <c r="DY237" s="88">
        <v>11614.577288</v>
      </c>
      <c r="DZ237" s="89">
        <f t="shared" si="15"/>
        <v>249.71704399999999</v>
      </c>
      <c r="EA237" s="89">
        <v>1429.2988</v>
      </c>
      <c r="EB237" s="89">
        <v>-1179.581756</v>
      </c>
      <c r="EC237" s="89">
        <v>11364.860244000001</v>
      </c>
      <c r="ED237" s="89"/>
      <c r="EE237" s="88">
        <v>14146.020075129771</v>
      </c>
      <c r="EF237" s="89">
        <v>-2002.7553509299994</v>
      </c>
      <c r="EG237" s="89">
        <v>-2004.5163796699994</v>
      </c>
      <c r="EH237" s="89">
        <v>1.76102874</v>
      </c>
      <c r="EI237" s="89">
        <v>21134.857543922997</v>
      </c>
      <c r="EJ237" s="89">
        <v>-4986.0821178632286</v>
      </c>
      <c r="EK237" s="88">
        <v>11775657.100477347</v>
      </c>
      <c r="EL237" s="89">
        <v>-4825538.1765002497</v>
      </c>
      <c r="EM237" s="89">
        <v>-3384504.2942281598</v>
      </c>
      <c r="EN237" s="89">
        <v>-1441033.8822720901</v>
      </c>
      <c r="EO237" s="89">
        <v>17056876.517400596</v>
      </c>
      <c r="EP237" s="89">
        <v>-455681.24042299995</v>
      </c>
      <c r="EQ237" s="88">
        <v>68586.518081180009</v>
      </c>
      <c r="ER237" s="89">
        <v>-21640.720851949998</v>
      </c>
      <c r="ES237" s="89"/>
      <c r="ET237" s="89"/>
      <c r="EU237" s="89">
        <v>130539.92322942</v>
      </c>
      <c r="EV237" s="89">
        <v>-40312.684296289997</v>
      </c>
      <c r="EW237" s="88">
        <v>660377.66861232463</v>
      </c>
      <c r="EX237" s="89">
        <f t="shared" si="17"/>
        <v>349553.73858712002</v>
      </c>
      <c r="EY237" s="89">
        <v>340198.32915789</v>
      </c>
      <c r="EZ237" s="89">
        <v>9355.4094292300015</v>
      </c>
      <c r="FA237" s="89">
        <v>350186.69512902992</v>
      </c>
      <c r="FB237" s="89">
        <v>-39362.765103825244</v>
      </c>
      <c r="FC237" s="88">
        <v>1581.3636959999999</v>
      </c>
      <c r="FD237" s="89">
        <v>335.40269599999993</v>
      </c>
      <c r="FE237" s="89">
        <v>684.97161599999993</v>
      </c>
      <c r="FF237" s="89">
        <v>-349.56891999999999</v>
      </c>
      <c r="FG237" s="89">
        <v>1245.961</v>
      </c>
      <c r="FH237" s="89"/>
      <c r="FI237" s="88">
        <v>956.10307899999998</v>
      </c>
      <c r="FJ237" s="89">
        <v>27.043078999999985</v>
      </c>
      <c r="FK237" s="89">
        <v>78.399951999999985</v>
      </c>
      <c r="FL237" s="89">
        <v>-51.356873</v>
      </c>
      <c r="FM237" s="89">
        <v>929.06</v>
      </c>
      <c r="FN237" s="89"/>
      <c r="FO237" s="88">
        <v>3410.941671</v>
      </c>
      <c r="FP237" s="89">
        <v>-269.92532899999998</v>
      </c>
      <c r="FQ237" s="89">
        <v>38.039548000000011</v>
      </c>
      <c r="FR237" s="89">
        <v>-307.964877</v>
      </c>
      <c r="FS237" s="89">
        <v>3680.8670000000002</v>
      </c>
      <c r="FT237" s="89"/>
      <c r="FU237" s="88">
        <v>2363.5</v>
      </c>
      <c r="FV237" s="89">
        <v>-121.79999999999998</v>
      </c>
      <c r="FW237" s="89">
        <v>-163.19999999999999</v>
      </c>
      <c r="FX237" s="89">
        <v>41.4</v>
      </c>
      <c r="FY237" s="89">
        <v>2440</v>
      </c>
      <c r="FZ237" s="89">
        <v>45.3</v>
      </c>
      <c r="GA237" s="88">
        <v>20607.099999999999</v>
      </c>
      <c r="GB237" s="89">
        <v>-21400.5</v>
      </c>
      <c r="GC237" s="89">
        <v>-27446.400000000001</v>
      </c>
      <c r="GD237" s="89">
        <v>6045.9</v>
      </c>
      <c r="GE237" s="89">
        <v>42007.5</v>
      </c>
      <c r="GF237" s="89"/>
      <c r="GG237" s="88"/>
      <c r="GH237" s="89"/>
      <c r="GI237" s="89"/>
      <c r="GJ237" s="89"/>
      <c r="GK237" s="89"/>
      <c r="GL237" s="89"/>
      <c r="GM237" s="88">
        <v>222212.86262803001</v>
      </c>
      <c r="GN237" s="89">
        <v>30477.364535549998</v>
      </c>
      <c r="GO237" s="89">
        <v>28959.757553839998</v>
      </c>
      <c r="GP237" s="89">
        <v>1517.6069817100004</v>
      </c>
      <c r="GQ237" s="89">
        <v>145433.67351232999</v>
      </c>
      <c r="GR237" s="89">
        <v>46301.788429639993</v>
      </c>
    </row>
    <row r="238" spans="1:200">
      <c r="A238" s="69"/>
      <c r="B238" s="93" t="s">
        <v>495</v>
      </c>
      <c r="C238" s="88">
        <v>3020.969075</v>
      </c>
      <c r="D238" s="87">
        <v>500.25807499999996</v>
      </c>
      <c r="E238" s="87">
        <v>589.76212299999997</v>
      </c>
      <c r="F238" s="87">
        <v>-89.504047999999997</v>
      </c>
      <c r="G238" s="87">
        <v>2520.7109999999998</v>
      </c>
      <c r="H238" s="87"/>
      <c r="I238" s="88">
        <v>171110.27384792999</v>
      </c>
      <c r="J238" s="89">
        <v>187496.99100000001</v>
      </c>
      <c r="K238" s="89"/>
      <c r="L238" s="89"/>
      <c r="M238" s="89">
        <v>147254.93299999999</v>
      </c>
      <c r="N238" s="89">
        <v>-163641.65415207</v>
      </c>
      <c r="O238" s="88">
        <v>8082.2</v>
      </c>
      <c r="P238" s="89">
        <v>1524.3</v>
      </c>
      <c r="Q238" s="89">
        <v>1115.0999999999999</v>
      </c>
      <c r="R238" s="89">
        <v>409.2</v>
      </c>
      <c r="S238" s="89">
        <v>6557.9</v>
      </c>
      <c r="T238" s="89"/>
      <c r="U238" s="88">
        <v>7057.8674300000002</v>
      </c>
      <c r="V238" s="89">
        <v>1536.0354300000001</v>
      </c>
      <c r="W238" s="89">
        <v>869.97966000000008</v>
      </c>
      <c r="X238" s="89">
        <v>666.05577000000005</v>
      </c>
      <c r="Y238" s="89">
        <v>5521.8320000000003</v>
      </c>
      <c r="Z238" s="89"/>
      <c r="AA238" s="88">
        <v>1930.72</v>
      </c>
      <c r="AB238" s="89">
        <v>162.827</v>
      </c>
      <c r="AC238" s="89">
        <v>152.96899999999999</v>
      </c>
      <c r="AD238" s="89">
        <v>9.8580000000000005</v>
      </c>
      <c r="AE238" s="89">
        <v>1767.893</v>
      </c>
      <c r="AF238" s="89"/>
      <c r="AG238" s="88">
        <v>49684.761903429448</v>
      </c>
      <c r="AH238" s="89">
        <v>10963.20596058356</v>
      </c>
      <c r="AI238" s="89">
        <v>10963.20596058356</v>
      </c>
      <c r="AJ238" s="89"/>
      <c r="AK238" s="89">
        <v>38721.555942845887</v>
      </c>
      <c r="AL238" s="89"/>
      <c r="AM238" s="88">
        <v>2780839</v>
      </c>
      <c r="AN238" s="89">
        <v>1082429</v>
      </c>
      <c r="AO238" s="89">
        <v>1059389</v>
      </c>
      <c r="AP238" s="89">
        <v>23040</v>
      </c>
      <c r="AQ238" s="89">
        <v>1449181</v>
      </c>
      <c r="AR238" s="89">
        <v>249229</v>
      </c>
      <c r="AS238" s="88">
        <v>58868000</v>
      </c>
      <c r="AT238" s="89">
        <v>-1532000</v>
      </c>
      <c r="AU238" s="89">
        <v>-1532000</v>
      </c>
      <c r="AV238" s="89"/>
      <c r="AW238" s="89">
        <v>67970000</v>
      </c>
      <c r="AX238" s="89">
        <v>-7570000</v>
      </c>
      <c r="AY238" s="88">
        <v>165776107.21534944</v>
      </c>
      <c r="AZ238" s="89">
        <f t="shared" si="16"/>
        <v>34114063.351138204</v>
      </c>
      <c r="BA238" s="89">
        <v>22986773.821818203</v>
      </c>
      <c r="BB238" s="89">
        <v>11127289.52932</v>
      </c>
      <c r="BC238" s="89">
        <v>131662043.86421125</v>
      </c>
      <c r="BD238" s="89"/>
      <c r="BE238" s="88">
        <v>7971388.3763641696</v>
      </c>
      <c r="BF238" s="89">
        <v>441350.12705373997</v>
      </c>
      <c r="BG238" s="89">
        <v>377981.63084733998</v>
      </c>
      <c r="BH238" s="89">
        <v>63368.496206399999</v>
      </c>
      <c r="BI238" s="89">
        <v>8153179.1246781796</v>
      </c>
      <c r="BJ238" s="89">
        <v>-623140.87536774995</v>
      </c>
      <c r="BK238" s="88">
        <v>463.39486900000009</v>
      </c>
      <c r="BL238" s="89">
        <v>-157.77413100000001</v>
      </c>
      <c r="BM238" s="89">
        <v>-82.742829999999998</v>
      </c>
      <c r="BN238" s="89">
        <v>-75.031301000000013</v>
      </c>
      <c r="BO238" s="89">
        <v>621.16899999999998</v>
      </c>
      <c r="BP238" s="89"/>
      <c r="BQ238" s="88">
        <v>9630.7396729999982</v>
      </c>
      <c r="BR238" s="89">
        <v>-4086.206373</v>
      </c>
      <c r="BS238" s="89">
        <v>-2221.823288</v>
      </c>
      <c r="BT238" s="89">
        <v>-1864.3830849999997</v>
      </c>
      <c r="BU238" s="89">
        <v>13716.946045999999</v>
      </c>
      <c r="BV238" s="89"/>
      <c r="BW238" s="88">
        <v>11773.37132201</v>
      </c>
      <c r="BX238" s="89">
        <v>4445.5907803900009</v>
      </c>
      <c r="BY238" s="89">
        <v>4276.1857516200007</v>
      </c>
      <c r="BZ238" s="89">
        <v>169.40502877</v>
      </c>
      <c r="CA238" s="89">
        <v>8885.3585518999989</v>
      </c>
      <c r="CB238" s="89">
        <v>-1557.5780102799999</v>
      </c>
      <c r="CC238" s="88">
        <v>1622.3355670000001</v>
      </c>
      <c r="CD238" s="89">
        <v>-14.982432999999986</v>
      </c>
      <c r="CE238" s="89">
        <v>139.13742500000001</v>
      </c>
      <c r="CF238" s="89">
        <v>-154.11985799999999</v>
      </c>
      <c r="CG238" s="89">
        <v>1637.318</v>
      </c>
      <c r="CH238" s="89"/>
      <c r="CI238" s="88">
        <v>94417.600000000006</v>
      </c>
      <c r="CJ238" s="89">
        <v>29678.5</v>
      </c>
      <c r="CK238" s="89">
        <v>16922.599999999999</v>
      </c>
      <c r="CL238" s="89">
        <v>12755.900000000001</v>
      </c>
      <c r="CM238" s="89">
        <v>77697.899999999994</v>
      </c>
      <c r="CN238" s="89">
        <v>-12958.8</v>
      </c>
      <c r="CO238" s="88">
        <v>51273.8</v>
      </c>
      <c r="CP238" s="89">
        <v>-28356.6</v>
      </c>
      <c r="CQ238" s="89">
        <v>-684.7</v>
      </c>
      <c r="CR238" s="89">
        <v>-27671.899999999998</v>
      </c>
      <c r="CS238" s="89">
        <v>90149.7</v>
      </c>
      <c r="CT238" s="89">
        <v>-10522.3</v>
      </c>
      <c r="CU238" s="88">
        <v>56409.538305571456</v>
      </c>
      <c r="CV238" s="89">
        <v>17534.264406917224</v>
      </c>
      <c r="CW238" s="89">
        <v>18344.010841884337</v>
      </c>
      <c r="CX238" s="89">
        <v>-809.74643496711042</v>
      </c>
      <c r="CY238" s="89">
        <v>38875.273898654232</v>
      </c>
      <c r="CZ238" s="89"/>
      <c r="DA238" s="88">
        <v>87390.495301188508</v>
      </c>
      <c r="DB238" s="89">
        <v>-2998.8418048786161</v>
      </c>
      <c r="DC238" s="89">
        <v>-6160.4480267186191</v>
      </c>
      <c r="DD238" s="89">
        <v>3161.4233630900007</v>
      </c>
      <c r="DE238" s="89">
        <v>140327.53647316628</v>
      </c>
      <c r="DF238" s="89">
        <v>-49938.016508349145</v>
      </c>
      <c r="DG238" s="88">
        <v>345313.08049000002</v>
      </c>
      <c r="DH238" s="89">
        <v>149801.89049000002</v>
      </c>
      <c r="DI238" s="89"/>
      <c r="DJ238" s="89"/>
      <c r="DK238" s="89">
        <v>213363.13</v>
      </c>
      <c r="DL238" s="89">
        <v>-17851.939999999999</v>
      </c>
      <c r="DM238" s="88">
        <v>5019593.3927065097</v>
      </c>
      <c r="DN238" s="89">
        <v>2293963.2817065101</v>
      </c>
      <c r="DO238" s="89">
        <v>2076970.7757065101</v>
      </c>
      <c r="DP238" s="89">
        <v>216992.50599999999</v>
      </c>
      <c r="DQ238" s="89">
        <v>2725630.111</v>
      </c>
      <c r="DR238" s="89"/>
      <c r="DS238" s="88">
        <v>66002.651255035365</v>
      </c>
      <c r="DT238" s="89">
        <v>41935.290445979663</v>
      </c>
      <c r="DU238" s="89">
        <v>41081.378645839664</v>
      </c>
      <c r="DV238" s="89">
        <v>853.91180013999985</v>
      </c>
      <c r="DW238" s="89">
        <v>48533.566107770661</v>
      </c>
      <c r="DX238" s="89">
        <v>-24466.205298714965</v>
      </c>
      <c r="DY238" s="88">
        <v>11795.283148</v>
      </c>
      <c r="DZ238" s="89">
        <f t="shared" si="15"/>
        <v>254.78191500000003</v>
      </c>
      <c r="EA238" s="89">
        <v>1451.637682</v>
      </c>
      <c r="EB238" s="89">
        <v>-1196.855767</v>
      </c>
      <c r="EC238" s="89">
        <v>11540.501232999999</v>
      </c>
      <c r="ED238" s="89"/>
      <c r="EE238" s="88">
        <v>14431.293242667671</v>
      </c>
      <c r="EF238" s="89">
        <v>-1568.08530752</v>
      </c>
      <c r="EG238" s="89">
        <v>-1569.8683743900001</v>
      </c>
      <c r="EH238" s="89">
        <v>1.7830668699999999</v>
      </c>
      <c r="EI238" s="89">
        <v>21176.053620412</v>
      </c>
      <c r="EJ238" s="89">
        <v>-5176.6750702243289</v>
      </c>
      <c r="EK238" s="88">
        <v>11736061.814794976</v>
      </c>
      <c r="EL238" s="89">
        <v>-5173627.8823120296</v>
      </c>
      <c r="EM238" s="89">
        <v>-3659177.8933228101</v>
      </c>
      <c r="EN238" s="89">
        <v>-1514449.98898922</v>
      </c>
      <c r="EO238" s="89">
        <v>17346521.169952005</v>
      </c>
      <c r="EP238" s="89">
        <v>-436831.47284499992</v>
      </c>
      <c r="EQ238" s="88">
        <v>67598.89599455001</v>
      </c>
      <c r="ER238" s="89">
        <v>-23114.748245499999</v>
      </c>
      <c r="ES238" s="89"/>
      <c r="ET238" s="89"/>
      <c r="EU238" s="89">
        <v>131720.58620350002</v>
      </c>
      <c r="EV238" s="89">
        <v>-41006.941963450008</v>
      </c>
      <c r="EW238" s="88">
        <v>663118.9091985838</v>
      </c>
      <c r="EX238" s="89">
        <f t="shared" si="17"/>
        <v>351475.99173169996</v>
      </c>
      <c r="EY238" s="89">
        <v>342215.33195662999</v>
      </c>
      <c r="EZ238" s="89">
        <v>9260.6597750700003</v>
      </c>
      <c r="FA238" s="89">
        <v>352356.71955807996</v>
      </c>
      <c r="FB238" s="89">
        <v>-40713.80209119623</v>
      </c>
      <c r="FC238" s="88">
        <v>1747.107231</v>
      </c>
      <c r="FD238" s="89">
        <v>348.0542309999999</v>
      </c>
      <c r="FE238" s="89">
        <v>697.63152099999991</v>
      </c>
      <c r="FF238" s="89">
        <v>-349.57729</v>
      </c>
      <c r="FG238" s="89">
        <v>1399.0530000000001</v>
      </c>
      <c r="FH238" s="89"/>
      <c r="FI238" s="88">
        <v>970.60554999999999</v>
      </c>
      <c r="FJ238" s="89">
        <v>33.658550000000005</v>
      </c>
      <c r="FK238" s="89">
        <v>77.682505000000006</v>
      </c>
      <c r="FL238" s="89">
        <v>-44.023955000000001</v>
      </c>
      <c r="FM238" s="89">
        <v>936.947</v>
      </c>
      <c r="FN238" s="89"/>
      <c r="FO238" s="88">
        <v>3408.0893040000001</v>
      </c>
      <c r="FP238" s="89">
        <v>-293.565696</v>
      </c>
      <c r="FQ238" s="89">
        <v>25.496180999999982</v>
      </c>
      <c r="FR238" s="89">
        <v>-319.06187699999998</v>
      </c>
      <c r="FS238" s="89">
        <v>3701.6550000000002</v>
      </c>
      <c r="FT238" s="89"/>
      <c r="FU238" s="88">
        <v>2308.2000000000003</v>
      </c>
      <c r="FV238" s="89">
        <v>-234.1</v>
      </c>
      <c r="FW238" s="89">
        <v>-276.5</v>
      </c>
      <c r="FX238" s="89">
        <v>42.4</v>
      </c>
      <c r="FY238" s="89">
        <v>2497.8000000000002</v>
      </c>
      <c r="FZ238" s="89">
        <v>44.5</v>
      </c>
      <c r="GA238" s="88">
        <v>22098.400000000001</v>
      </c>
      <c r="GB238" s="89">
        <v>-19852.400000000001</v>
      </c>
      <c r="GC238" s="89">
        <v>-26010.9</v>
      </c>
      <c r="GD238" s="89">
        <v>6158.5</v>
      </c>
      <c r="GE238" s="89">
        <v>41950.8</v>
      </c>
      <c r="GF238" s="89"/>
      <c r="GG238" s="88"/>
      <c r="GH238" s="89"/>
      <c r="GI238" s="89"/>
      <c r="GJ238" s="89"/>
      <c r="GK238" s="89"/>
      <c r="GL238" s="89"/>
      <c r="GM238" s="88">
        <v>234865.56388520997</v>
      </c>
      <c r="GN238" s="89">
        <v>37486.463153520002</v>
      </c>
      <c r="GO238" s="89">
        <v>35927.120123280001</v>
      </c>
      <c r="GP238" s="89">
        <v>1559.34303024</v>
      </c>
      <c r="GQ238" s="89">
        <v>147258.22528410997</v>
      </c>
      <c r="GR238" s="89">
        <v>50120.875447580009</v>
      </c>
    </row>
    <row r="239" spans="1:200">
      <c r="A239" s="69"/>
      <c r="B239" s="93" t="s">
        <v>496</v>
      </c>
      <c r="C239" s="88">
        <v>2938.1371499700003</v>
      </c>
      <c r="D239" s="87">
        <v>408.66414996999993</v>
      </c>
      <c r="E239" s="87">
        <v>487.27319796999996</v>
      </c>
      <c r="F239" s="87">
        <v>-78.609048000000001</v>
      </c>
      <c r="G239" s="87">
        <v>2529.473</v>
      </c>
      <c r="H239" s="87"/>
      <c r="I239" s="88">
        <v>168497.22026519998</v>
      </c>
      <c r="J239" s="89">
        <v>186020.97500000001</v>
      </c>
      <c r="K239" s="89"/>
      <c r="L239" s="89"/>
      <c r="M239" s="89">
        <v>147226.38</v>
      </c>
      <c r="N239" s="89">
        <v>-164750.1347348</v>
      </c>
      <c r="O239" s="88">
        <v>8086.2</v>
      </c>
      <c r="P239" s="89">
        <v>1545.1</v>
      </c>
      <c r="Q239" s="89">
        <v>1135.3</v>
      </c>
      <c r="R239" s="89">
        <v>409.8</v>
      </c>
      <c r="S239" s="89">
        <v>6541.1</v>
      </c>
      <c r="T239" s="89"/>
      <c r="U239" s="88">
        <v>6829.4462899999999</v>
      </c>
      <c r="V239" s="89">
        <v>1303.03629</v>
      </c>
      <c r="W239" s="89">
        <v>691.64052000000004</v>
      </c>
      <c r="X239" s="89">
        <v>611.39577000000008</v>
      </c>
      <c r="Y239" s="89">
        <v>5526.41</v>
      </c>
      <c r="Z239" s="89"/>
      <c r="AA239" s="88">
        <v>1977.9290000000001</v>
      </c>
      <c r="AB239" s="89">
        <v>201.251</v>
      </c>
      <c r="AC239" s="89">
        <v>191.452</v>
      </c>
      <c r="AD239" s="89">
        <v>9.7989999999999995</v>
      </c>
      <c r="AE239" s="89">
        <v>1776.6780000000001</v>
      </c>
      <c r="AF239" s="89"/>
      <c r="AG239" s="88">
        <v>50262.229617387078</v>
      </c>
      <c r="AH239" s="89">
        <v>11260.274578912586</v>
      </c>
      <c r="AI239" s="89">
        <v>11260.274578912586</v>
      </c>
      <c r="AJ239" s="89"/>
      <c r="AK239" s="89">
        <v>39001.955038474494</v>
      </c>
      <c r="AL239" s="89"/>
      <c r="AM239" s="88">
        <v>2835504</v>
      </c>
      <c r="AN239" s="89">
        <v>1113090</v>
      </c>
      <c r="AO239" s="89">
        <v>1063727</v>
      </c>
      <c r="AP239" s="89">
        <v>49363</v>
      </c>
      <c r="AQ239" s="89">
        <v>1464214</v>
      </c>
      <c r="AR239" s="89">
        <v>258200</v>
      </c>
      <c r="AS239" s="88">
        <v>59014000</v>
      </c>
      <c r="AT239" s="89">
        <v>-2204000</v>
      </c>
      <c r="AU239" s="89">
        <v>-2204000</v>
      </c>
      <c r="AV239" s="89"/>
      <c r="AW239" s="89">
        <v>68197000</v>
      </c>
      <c r="AX239" s="89">
        <v>-6979000</v>
      </c>
      <c r="AY239" s="88">
        <v>162737001.29270023</v>
      </c>
      <c r="AZ239" s="89">
        <f t="shared" si="16"/>
        <v>33028855.935678795</v>
      </c>
      <c r="BA239" s="89">
        <v>21839831.979348797</v>
      </c>
      <c r="BB239" s="89">
        <v>11189023.956329999</v>
      </c>
      <c r="BC239" s="89">
        <v>129708145.35702145</v>
      </c>
      <c r="BD239" s="89"/>
      <c r="BE239" s="88">
        <v>7972819.7184399096</v>
      </c>
      <c r="BF239" s="89">
        <v>448452.58822440996</v>
      </c>
      <c r="BG239" s="89">
        <v>383487.45519991999</v>
      </c>
      <c r="BH239" s="89">
        <v>64965.133024490002</v>
      </c>
      <c r="BI239" s="89">
        <v>8203087.9328638101</v>
      </c>
      <c r="BJ239" s="89">
        <v>-678720.80264830997</v>
      </c>
      <c r="BK239" s="88">
        <v>470.27210837000001</v>
      </c>
      <c r="BL239" s="89">
        <v>-156.74089163000002</v>
      </c>
      <c r="BM239" s="89">
        <v>-77.242590630000009</v>
      </c>
      <c r="BN239" s="89">
        <v>-79.498301000000012</v>
      </c>
      <c r="BO239" s="89">
        <v>627.01300000000003</v>
      </c>
      <c r="BP239" s="89"/>
      <c r="BQ239" s="88">
        <v>8824.229711</v>
      </c>
      <c r="BR239" s="89">
        <v>-4925.4421469999997</v>
      </c>
      <c r="BS239" s="89">
        <v>-3109.8686640000001</v>
      </c>
      <c r="BT239" s="89">
        <v>-1815.5734829999999</v>
      </c>
      <c r="BU239" s="89">
        <v>13749.671858</v>
      </c>
      <c r="BV239" s="89"/>
      <c r="BW239" s="88">
        <v>11828.182326669998</v>
      </c>
      <c r="BX239" s="89">
        <v>4560.4943795299996</v>
      </c>
      <c r="BY239" s="89">
        <v>4401.83482112</v>
      </c>
      <c r="BZ239" s="89">
        <v>158.65955841000002</v>
      </c>
      <c r="CA239" s="89">
        <v>8851.2636616400014</v>
      </c>
      <c r="CB239" s="89">
        <v>-1583.5757145000034</v>
      </c>
      <c r="CC239" s="88">
        <v>1623.026024</v>
      </c>
      <c r="CD239" s="89">
        <v>-25.282976000000019</v>
      </c>
      <c r="CE239" s="89">
        <v>123.99588199999999</v>
      </c>
      <c r="CF239" s="89">
        <v>-149.27885800000001</v>
      </c>
      <c r="CG239" s="89">
        <v>1648.309</v>
      </c>
      <c r="CH239" s="89"/>
      <c r="CI239" s="88">
        <v>96051.5</v>
      </c>
      <c r="CJ239" s="89">
        <v>30343.300000000003</v>
      </c>
      <c r="CK239" s="89">
        <v>17577.400000000001</v>
      </c>
      <c r="CL239" s="89">
        <v>12765.9</v>
      </c>
      <c r="CM239" s="89">
        <v>77783.3</v>
      </c>
      <c r="CN239" s="89">
        <v>-12074.9</v>
      </c>
      <c r="CO239" s="88">
        <v>55491</v>
      </c>
      <c r="CP239" s="89">
        <v>-22323.4</v>
      </c>
      <c r="CQ239" s="89">
        <v>4689.8999999999996</v>
      </c>
      <c r="CR239" s="89">
        <v>-27313.3</v>
      </c>
      <c r="CS239" s="89">
        <v>90088.1</v>
      </c>
      <c r="CT239" s="89">
        <v>-12273.6</v>
      </c>
      <c r="CU239" s="88">
        <v>56396.006180670782</v>
      </c>
      <c r="CV239" s="89">
        <v>17494.166347961971</v>
      </c>
      <c r="CW239" s="89">
        <v>18505.684821694867</v>
      </c>
      <c r="CX239" s="89">
        <v>-1011.5184737328971</v>
      </c>
      <c r="CY239" s="89">
        <v>38901.839832708807</v>
      </c>
      <c r="CZ239" s="89"/>
      <c r="DA239" s="88">
        <v>89284.047467960161</v>
      </c>
      <c r="DB239" s="89">
        <v>-2664.0528643258831</v>
      </c>
      <c r="DC239" s="89">
        <v>-5851.1633541348856</v>
      </c>
      <c r="DD239" s="89">
        <v>3186.954518209001</v>
      </c>
      <c r="DE239" s="89">
        <v>139052.3904163994</v>
      </c>
      <c r="DF239" s="89">
        <v>-47104.134112513369</v>
      </c>
      <c r="DG239" s="88">
        <v>351268.46211000002</v>
      </c>
      <c r="DH239" s="89">
        <v>156743.47311000002</v>
      </c>
      <c r="DI239" s="89"/>
      <c r="DJ239" s="89"/>
      <c r="DK239" s="89">
        <v>213635.15100000001</v>
      </c>
      <c r="DL239" s="89">
        <v>-19110.162</v>
      </c>
      <c r="DM239" s="88">
        <v>4976770.73441152</v>
      </c>
      <c r="DN239" s="89">
        <v>2268892.5994115202</v>
      </c>
      <c r="DO239" s="89">
        <v>2040659.31441152</v>
      </c>
      <c r="DP239" s="89">
        <v>228233.28499999997</v>
      </c>
      <c r="DQ239" s="89">
        <v>2707878.1349999998</v>
      </c>
      <c r="DR239" s="89"/>
      <c r="DS239" s="88">
        <v>66047.149341075361</v>
      </c>
      <c r="DT239" s="89">
        <v>42247.457299614827</v>
      </c>
      <c r="DU239" s="89">
        <v>41381.132872054826</v>
      </c>
      <c r="DV239" s="89">
        <v>866.32442756</v>
      </c>
      <c r="DW239" s="89">
        <v>48379.964934758791</v>
      </c>
      <c r="DX239" s="89">
        <v>-24580.272893298257</v>
      </c>
      <c r="DY239" s="88">
        <v>11649.935173</v>
      </c>
      <c r="DZ239" s="89">
        <f t="shared" si="15"/>
        <v>184.160709</v>
      </c>
      <c r="EA239" s="89">
        <v>1372.2352450000001</v>
      </c>
      <c r="EB239" s="89">
        <v>-1188.0745360000001</v>
      </c>
      <c r="EC239" s="89">
        <v>11465.774464</v>
      </c>
      <c r="ED239" s="89"/>
      <c r="EE239" s="88">
        <v>14348.878006001101</v>
      </c>
      <c r="EF239" s="89">
        <v>-1614.5279974099999</v>
      </c>
      <c r="EG239" s="89">
        <v>-1616.2748637599998</v>
      </c>
      <c r="EH239" s="89">
        <v>1.7468663499999999</v>
      </c>
      <c r="EI239" s="89">
        <v>21192.031094422</v>
      </c>
      <c r="EJ239" s="89">
        <v>-5228.6250910108984</v>
      </c>
      <c r="EK239" s="88">
        <v>12219623.727797316</v>
      </c>
      <c r="EL239" s="89">
        <v>-5095702.4994615894</v>
      </c>
      <c r="EM239" s="89">
        <v>-3680771.8490827894</v>
      </c>
      <c r="EN239" s="89">
        <v>-1414930.6503788005</v>
      </c>
      <c r="EO239" s="89">
        <v>17747201.978322405</v>
      </c>
      <c r="EP239" s="89">
        <v>-431875.75106350001</v>
      </c>
      <c r="EQ239" s="88">
        <v>67955.448745400005</v>
      </c>
      <c r="ER239" s="89">
        <v>-19905.431722000001</v>
      </c>
      <c r="ES239" s="89"/>
      <c r="ET239" s="89"/>
      <c r="EU239" s="89">
        <v>131352.05271205</v>
      </c>
      <c r="EV239" s="89">
        <v>-43491.172244649992</v>
      </c>
      <c r="EW239" s="88">
        <v>675445.95724228967</v>
      </c>
      <c r="EX239" s="89">
        <f t="shared" si="17"/>
        <v>352421.03510550997</v>
      </c>
      <c r="EY239" s="89">
        <v>342827.29955785</v>
      </c>
      <c r="EZ239" s="89">
        <v>9593.7355476600005</v>
      </c>
      <c r="FA239" s="89">
        <v>352660.47211504995</v>
      </c>
      <c r="FB239" s="89">
        <v>-29635.549978270363</v>
      </c>
      <c r="FC239" s="88">
        <v>1624.9985452199999</v>
      </c>
      <c r="FD239" s="89">
        <v>364.33854522000007</v>
      </c>
      <c r="FE239" s="89">
        <v>713.02283522000005</v>
      </c>
      <c r="FF239" s="89">
        <v>-348.68428999999998</v>
      </c>
      <c r="FG239" s="89">
        <v>1260.6600000000001</v>
      </c>
      <c r="FH239" s="89"/>
      <c r="FI239" s="88">
        <v>982.48374899999999</v>
      </c>
      <c r="FJ239" s="89">
        <v>45.805748999999992</v>
      </c>
      <c r="FK239" s="89">
        <v>91.621472999999995</v>
      </c>
      <c r="FL239" s="89">
        <v>-45.815724000000003</v>
      </c>
      <c r="FM239" s="89">
        <v>936.678</v>
      </c>
      <c r="FN239" s="89"/>
      <c r="FO239" s="88">
        <v>3446.5249090000002</v>
      </c>
      <c r="FP239" s="89">
        <v>-278.971091</v>
      </c>
      <c r="FQ239" s="89">
        <v>38.380785999999993</v>
      </c>
      <c r="FR239" s="89">
        <v>-317.351877</v>
      </c>
      <c r="FS239" s="89">
        <v>3725.4960000000001</v>
      </c>
      <c r="FT239" s="89"/>
      <c r="FU239" s="88">
        <v>2600.1</v>
      </c>
      <c r="FV239" s="89">
        <v>43.2</v>
      </c>
      <c r="FW239" s="89">
        <v>0.6</v>
      </c>
      <c r="FX239" s="89">
        <v>42.6</v>
      </c>
      <c r="FY239" s="89">
        <v>2511.1</v>
      </c>
      <c r="FZ239" s="89">
        <v>45.8</v>
      </c>
      <c r="GA239" s="88">
        <v>22816.1</v>
      </c>
      <c r="GB239" s="89">
        <v>-19427.699999999997</v>
      </c>
      <c r="GC239" s="89">
        <v>-25246.3</v>
      </c>
      <c r="GD239" s="89">
        <v>5818.6</v>
      </c>
      <c r="GE239" s="89">
        <v>42243.8</v>
      </c>
      <c r="GF239" s="89"/>
      <c r="GG239" s="88"/>
      <c r="GH239" s="89"/>
      <c r="GI239" s="89"/>
      <c r="GJ239" s="89"/>
      <c r="GK239" s="89"/>
      <c r="GL239" s="89"/>
      <c r="GM239" s="88">
        <v>239400.20776511997</v>
      </c>
      <c r="GN239" s="89">
        <v>38486.500869080002</v>
      </c>
      <c r="GO239" s="89">
        <v>34518.780317860001</v>
      </c>
      <c r="GP239" s="89">
        <v>3967.7205512200003</v>
      </c>
      <c r="GQ239" s="89">
        <v>149043.01336545995</v>
      </c>
      <c r="GR239" s="89">
        <v>51870.69353058</v>
      </c>
    </row>
    <row r="240" spans="1:200">
      <c r="A240" s="69"/>
      <c r="B240" s="93" t="s">
        <v>497</v>
      </c>
      <c r="C240" s="88">
        <v>2966.6731279999999</v>
      </c>
      <c r="D240" s="87">
        <v>426.39812799999999</v>
      </c>
      <c r="E240" s="87">
        <v>506.04217599999998</v>
      </c>
      <c r="F240" s="87">
        <v>-79.644047999999998</v>
      </c>
      <c r="G240" s="87">
        <v>2540.2750000000001</v>
      </c>
      <c r="H240" s="87"/>
      <c r="I240" s="88">
        <v>174820.17246167996</v>
      </c>
      <c r="J240" s="89">
        <v>197102.948</v>
      </c>
      <c r="K240" s="89"/>
      <c r="L240" s="89"/>
      <c r="M240" s="89">
        <v>147547.31599999999</v>
      </c>
      <c r="N240" s="89">
        <v>-169830.09153832</v>
      </c>
      <c r="O240" s="88">
        <v>8174.4</v>
      </c>
      <c r="P240" s="89">
        <v>1616.7</v>
      </c>
      <c r="Q240" s="89">
        <v>1205.2</v>
      </c>
      <c r="R240" s="89">
        <v>411.5</v>
      </c>
      <c r="S240" s="89">
        <v>6557.7</v>
      </c>
      <c r="T240" s="89"/>
      <c r="U240" s="88">
        <v>6903.0101999999997</v>
      </c>
      <c r="V240" s="89">
        <v>1334.4661999999998</v>
      </c>
      <c r="W240" s="89">
        <v>739.43819999999994</v>
      </c>
      <c r="X240" s="89">
        <v>595.02800000000002</v>
      </c>
      <c r="Y240" s="89">
        <v>5568.5439999999999</v>
      </c>
      <c r="Z240" s="89"/>
      <c r="AA240" s="88">
        <v>1989.3689999999999</v>
      </c>
      <c r="AB240" s="89">
        <v>198.464</v>
      </c>
      <c r="AC240" s="89">
        <v>188.36799999999999</v>
      </c>
      <c r="AD240" s="89">
        <v>10.096</v>
      </c>
      <c r="AE240" s="89">
        <v>1790.905</v>
      </c>
      <c r="AF240" s="89"/>
      <c r="AG240" s="88">
        <v>50980.66689554591</v>
      </c>
      <c r="AH240" s="89">
        <v>11441.730250682253</v>
      </c>
      <c r="AI240" s="89">
        <v>11441.730250682253</v>
      </c>
      <c r="AJ240" s="89"/>
      <c r="AK240" s="89">
        <v>39538.936644863657</v>
      </c>
      <c r="AL240" s="89"/>
      <c r="AM240" s="88">
        <v>2927625</v>
      </c>
      <c r="AN240" s="89">
        <v>1181554</v>
      </c>
      <c r="AO240" s="89">
        <v>1133381</v>
      </c>
      <c r="AP240" s="89">
        <v>48173</v>
      </c>
      <c r="AQ240" s="89">
        <v>1492746</v>
      </c>
      <c r="AR240" s="89">
        <v>253326</v>
      </c>
      <c r="AS240" s="88">
        <v>59304000</v>
      </c>
      <c r="AT240" s="89">
        <v>-2329000</v>
      </c>
      <c r="AU240" s="89">
        <v>-2329000</v>
      </c>
      <c r="AV240" s="89"/>
      <c r="AW240" s="89">
        <v>68541000</v>
      </c>
      <c r="AX240" s="89">
        <v>-6908000</v>
      </c>
      <c r="AY240" s="88">
        <v>163777216.14573187</v>
      </c>
      <c r="AZ240" s="89">
        <f t="shared" si="16"/>
        <v>34088256.471267208</v>
      </c>
      <c r="BA240" s="89">
        <v>22768582.594517205</v>
      </c>
      <c r="BB240" s="89">
        <v>11319673.87675</v>
      </c>
      <c r="BC240" s="89">
        <v>129688959.67446464</v>
      </c>
      <c r="BD240" s="89"/>
      <c r="BE240" s="88">
        <v>8090592.5819081804</v>
      </c>
      <c r="BF240" s="89">
        <v>492927.67598594003</v>
      </c>
      <c r="BG240" s="89">
        <v>429505.26894301001</v>
      </c>
      <c r="BH240" s="89">
        <v>63422.407042929997</v>
      </c>
      <c r="BI240" s="89">
        <v>8237230.3952188902</v>
      </c>
      <c r="BJ240" s="89">
        <v>-639565.48929665005</v>
      </c>
      <c r="BK240" s="88">
        <v>480.87741399999999</v>
      </c>
      <c r="BL240" s="89">
        <v>-162.315586</v>
      </c>
      <c r="BM240" s="89">
        <v>-73.611285000000009</v>
      </c>
      <c r="BN240" s="89">
        <v>-88.704301000000001</v>
      </c>
      <c r="BO240" s="89">
        <v>643.19299999999998</v>
      </c>
      <c r="BP240" s="89"/>
      <c r="BQ240" s="88">
        <v>8506.8162649999977</v>
      </c>
      <c r="BR240" s="89">
        <v>-5394.6149249999999</v>
      </c>
      <c r="BS240" s="89">
        <v>-3327.4845660000001</v>
      </c>
      <c r="BT240" s="89">
        <v>-2067.1303590000002</v>
      </c>
      <c r="BU240" s="89">
        <v>13901.431189999999</v>
      </c>
      <c r="BV240" s="89"/>
      <c r="BW240" s="88">
        <v>11850.248007390002</v>
      </c>
      <c r="BX240" s="89">
        <v>4638.4202901899998</v>
      </c>
      <c r="BY240" s="89">
        <v>4474.0372299599994</v>
      </c>
      <c r="BZ240" s="89">
        <v>164.38306023000001</v>
      </c>
      <c r="CA240" s="89">
        <v>8791.9171926700019</v>
      </c>
      <c r="CB240" s="89">
        <v>-1580.08947547</v>
      </c>
      <c r="CC240" s="88">
        <v>1635.241663</v>
      </c>
      <c r="CD240" s="89">
        <v>-20.466337000000038</v>
      </c>
      <c r="CE240" s="89">
        <v>137.83154499999998</v>
      </c>
      <c r="CF240" s="89">
        <v>-158.29788200000002</v>
      </c>
      <c r="CG240" s="89">
        <v>1655.7080000000001</v>
      </c>
      <c r="CH240" s="89"/>
      <c r="CI240" s="88">
        <v>96520.8</v>
      </c>
      <c r="CJ240" s="89">
        <v>32491</v>
      </c>
      <c r="CK240" s="89">
        <v>19633.099999999999</v>
      </c>
      <c r="CL240" s="89">
        <v>12857.9</v>
      </c>
      <c r="CM240" s="89">
        <v>78119.8</v>
      </c>
      <c r="CN240" s="89">
        <v>-14089.9</v>
      </c>
      <c r="CO240" s="88">
        <v>50358.1</v>
      </c>
      <c r="CP240" s="89">
        <v>-27939.200000000001</v>
      </c>
      <c r="CQ240" s="89">
        <v>-906.5</v>
      </c>
      <c r="CR240" s="89">
        <v>-27332.7</v>
      </c>
      <c r="CS240" s="89">
        <v>90587.1</v>
      </c>
      <c r="CT240" s="89">
        <v>-12289.7</v>
      </c>
      <c r="CU240" s="88">
        <v>58875.097249553837</v>
      </c>
      <c r="CV240" s="89">
        <v>15873.454272975096</v>
      </c>
      <c r="CW240" s="89">
        <v>17323.528451660488</v>
      </c>
      <c r="CX240" s="89">
        <v>-1450.0741786853926</v>
      </c>
      <c r="CY240" s="89">
        <v>43001.64297657874</v>
      </c>
      <c r="CZ240" s="89"/>
      <c r="DA240" s="88">
        <v>89803.284659660276</v>
      </c>
      <c r="DB240" s="89">
        <v>-3088.815397396897</v>
      </c>
      <c r="DC240" s="89">
        <v>-6168.2946455168967</v>
      </c>
      <c r="DD240" s="89">
        <v>3079.3192235000006</v>
      </c>
      <c r="DE240" s="89">
        <v>139700.19004574549</v>
      </c>
      <c r="DF240" s="89">
        <v>-46807.929964068317</v>
      </c>
      <c r="DG240" s="88">
        <v>285417.18958521815</v>
      </c>
      <c r="DH240" s="89">
        <v>116939.66158521813</v>
      </c>
      <c r="DI240" s="89"/>
      <c r="DJ240" s="89"/>
      <c r="DK240" s="89">
        <v>170250.41500000001</v>
      </c>
      <c r="DL240" s="89">
        <v>-1772.8869999999999</v>
      </c>
      <c r="DM240" s="88">
        <v>5102735.8032999998</v>
      </c>
      <c r="DN240" s="89">
        <v>2330581.1592999999</v>
      </c>
      <c r="DO240" s="89">
        <v>2076670.1813000001</v>
      </c>
      <c r="DP240" s="89">
        <v>253910.978</v>
      </c>
      <c r="DQ240" s="89">
        <v>2772154.6439999999</v>
      </c>
      <c r="DR240" s="89"/>
      <c r="DS240" s="88">
        <v>65376.400611962701</v>
      </c>
      <c r="DT240" s="89">
        <v>42055.893774704055</v>
      </c>
      <c r="DU240" s="89">
        <v>41182.458661414057</v>
      </c>
      <c r="DV240" s="89">
        <v>873.43511329000012</v>
      </c>
      <c r="DW240" s="89">
        <v>48146.71296972342</v>
      </c>
      <c r="DX240" s="89">
        <v>-24826.206132464769</v>
      </c>
      <c r="DY240" s="88">
        <v>11733.789978000001</v>
      </c>
      <c r="DZ240" s="89">
        <f t="shared" si="15"/>
        <v>242.44514699999991</v>
      </c>
      <c r="EA240" s="89">
        <v>1433.428316</v>
      </c>
      <c r="EB240" s="89">
        <v>-1190.9831690000001</v>
      </c>
      <c r="EC240" s="89">
        <v>11491.344831</v>
      </c>
      <c r="ED240" s="89"/>
      <c r="EE240" s="88">
        <v>14257.130000741447</v>
      </c>
      <c r="EF240" s="89">
        <v>-1684.5079525899991</v>
      </c>
      <c r="EG240" s="89">
        <v>-1686.6673754599992</v>
      </c>
      <c r="EH240" s="89">
        <v>2.1594228699999998</v>
      </c>
      <c r="EI240" s="89">
        <v>21253.326489029998</v>
      </c>
      <c r="EJ240" s="89">
        <v>-5311.6885356985504</v>
      </c>
      <c r="EK240" s="88">
        <v>12154715.634438125</v>
      </c>
      <c r="EL240" s="89">
        <v>-5684197.3498793086</v>
      </c>
      <c r="EM240" s="89">
        <v>-4186917.6727644987</v>
      </c>
      <c r="EN240" s="89">
        <v>-1497279.6771148099</v>
      </c>
      <c r="EO240" s="89">
        <v>18274961.199457236</v>
      </c>
      <c r="EP240" s="89">
        <v>-436048.21513979998</v>
      </c>
      <c r="EQ240" s="88">
        <v>71488.874484009997</v>
      </c>
      <c r="ER240" s="89">
        <v>-19130.00735503</v>
      </c>
      <c r="ES240" s="89"/>
      <c r="ET240" s="89"/>
      <c r="EU240" s="89">
        <v>132924.77635210002</v>
      </c>
      <c r="EV240" s="89">
        <v>-42305.894513060019</v>
      </c>
      <c r="EW240" s="88">
        <v>679763.03873636923</v>
      </c>
      <c r="EX240" s="89">
        <f t="shared" si="17"/>
        <v>359954.08215327997</v>
      </c>
      <c r="EY240" s="89">
        <v>350134.33716214995</v>
      </c>
      <c r="EZ240" s="89">
        <v>9819.7449911299991</v>
      </c>
      <c r="FA240" s="89">
        <v>357159.01932860003</v>
      </c>
      <c r="FB240" s="89">
        <v>-37350.062745510884</v>
      </c>
      <c r="FC240" s="88">
        <v>1650.230906</v>
      </c>
      <c r="FD240" s="89">
        <v>383.97290600000008</v>
      </c>
      <c r="FE240" s="89">
        <v>727.30419600000005</v>
      </c>
      <c r="FF240" s="89">
        <v>-343.33128999999997</v>
      </c>
      <c r="FG240" s="89">
        <v>1266.258</v>
      </c>
      <c r="FH240" s="89"/>
      <c r="FI240" s="88">
        <v>984.78026699999998</v>
      </c>
      <c r="FJ240" s="89">
        <v>40.181267000000013</v>
      </c>
      <c r="FK240" s="89">
        <v>72.432600000000008</v>
      </c>
      <c r="FL240" s="89">
        <v>-32.251332999999995</v>
      </c>
      <c r="FM240" s="89">
        <v>944.59900000000005</v>
      </c>
      <c r="FN240" s="89"/>
      <c r="FO240" s="88">
        <v>3432.5989030000001</v>
      </c>
      <c r="FP240" s="89">
        <v>-263.033097</v>
      </c>
      <c r="FQ240" s="89">
        <v>52.97677999999997</v>
      </c>
      <c r="FR240" s="89">
        <v>-316.00987699999996</v>
      </c>
      <c r="FS240" s="89">
        <v>3695.6320000000001</v>
      </c>
      <c r="FT240" s="89"/>
      <c r="FU240" s="88">
        <v>2714.9</v>
      </c>
      <c r="FV240" s="89">
        <v>121</v>
      </c>
      <c r="FW240" s="89">
        <v>78</v>
      </c>
      <c r="FX240" s="89">
        <v>43</v>
      </c>
      <c r="FY240" s="89">
        <v>2546.6</v>
      </c>
      <c r="FZ240" s="89">
        <v>47.3</v>
      </c>
      <c r="GA240" s="88">
        <v>25559.200000000001</v>
      </c>
      <c r="GB240" s="89">
        <v>-15564.3</v>
      </c>
      <c r="GC240" s="89">
        <v>-21808</v>
      </c>
      <c r="GD240" s="89">
        <v>6243.7</v>
      </c>
      <c r="GE240" s="89">
        <v>41123.4</v>
      </c>
      <c r="GF240" s="89"/>
      <c r="GG240" s="88"/>
      <c r="GH240" s="89"/>
      <c r="GI240" s="89"/>
      <c r="GJ240" s="89"/>
      <c r="GK240" s="89"/>
      <c r="GL240" s="89"/>
      <c r="GM240" s="88">
        <v>242880.06785894002</v>
      </c>
      <c r="GN240" s="89">
        <v>36161.977999260002</v>
      </c>
      <c r="GO240" s="89">
        <v>33967.201377520003</v>
      </c>
      <c r="GP240" s="89">
        <v>2194.7766217399999</v>
      </c>
      <c r="GQ240" s="89">
        <v>154571.06789978</v>
      </c>
      <c r="GR240" s="89">
        <v>52147.021959899997</v>
      </c>
    </row>
    <row r="241" spans="1:200">
      <c r="A241" s="69"/>
      <c r="B241" s="93" t="s">
        <v>498</v>
      </c>
      <c r="C241" s="88">
        <v>3011.731961</v>
      </c>
      <c r="D241" s="87">
        <v>469.69396100000006</v>
      </c>
      <c r="E241" s="87">
        <v>538.33228700000006</v>
      </c>
      <c r="F241" s="87">
        <v>-68.638326000000006</v>
      </c>
      <c r="G241" s="87">
        <v>2542.038</v>
      </c>
      <c r="H241" s="87"/>
      <c r="I241" s="88">
        <v>173531.62904442</v>
      </c>
      <c r="J241" s="89">
        <v>198035.64600000001</v>
      </c>
      <c r="K241" s="89"/>
      <c r="L241" s="89"/>
      <c r="M241" s="89">
        <v>149326.96299999999</v>
      </c>
      <c r="N241" s="89">
        <v>-173830.97995558</v>
      </c>
      <c r="O241" s="88">
        <v>8216.4</v>
      </c>
      <c r="P241" s="89">
        <v>1648.8000000000002</v>
      </c>
      <c r="Q241" s="89">
        <v>1248.9000000000001</v>
      </c>
      <c r="R241" s="89">
        <v>399.9</v>
      </c>
      <c r="S241" s="89">
        <v>6567.6</v>
      </c>
      <c r="T241" s="89"/>
      <c r="U241" s="88">
        <v>7078.5405000000001</v>
      </c>
      <c r="V241" s="89">
        <v>1474.2425000000001</v>
      </c>
      <c r="W241" s="89">
        <v>822.16650000000004</v>
      </c>
      <c r="X241" s="89">
        <v>652.07600000000002</v>
      </c>
      <c r="Y241" s="89">
        <v>5604.2979999999998</v>
      </c>
      <c r="Z241" s="89"/>
      <c r="AA241" s="88">
        <v>2010.0119999999999</v>
      </c>
      <c r="AB241" s="89">
        <v>205.16200000000001</v>
      </c>
      <c r="AC241" s="89">
        <v>194.43899999999999</v>
      </c>
      <c r="AD241" s="89">
        <v>10.723000000000001</v>
      </c>
      <c r="AE241" s="89">
        <v>1804.85</v>
      </c>
      <c r="AF241" s="89"/>
      <c r="AG241" s="88">
        <v>51513.894223315394</v>
      </c>
      <c r="AH241" s="89">
        <v>11372.50137168258</v>
      </c>
      <c r="AI241" s="89">
        <v>11372.50137168258</v>
      </c>
      <c r="AJ241" s="89"/>
      <c r="AK241" s="89">
        <v>40141.392851632816</v>
      </c>
      <c r="AL241" s="89"/>
      <c r="AM241" s="88">
        <v>2979544</v>
      </c>
      <c r="AN241" s="89">
        <v>1199741</v>
      </c>
      <c r="AO241" s="89">
        <v>1150572</v>
      </c>
      <c r="AP241" s="89">
        <v>49169</v>
      </c>
      <c r="AQ241" s="89">
        <v>1519257</v>
      </c>
      <c r="AR241" s="89">
        <v>260547</v>
      </c>
      <c r="AS241" s="88">
        <v>60295000</v>
      </c>
      <c r="AT241" s="89">
        <v>-2023000</v>
      </c>
      <c r="AU241" s="89">
        <v>-2023000</v>
      </c>
      <c r="AV241" s="89"/>
      <c r="AW241" s="89">
        <v>68617000</v>
      </c>
      <c r="AX241" s="89">
        <v>-6299000</v>
      </c>
      <c r="AY241" s="88">
        <v>167424197.31494644</v>
      </c>
      <c r="AZ241" s="89">
        <f t="shared" si="16"/>
        <v>37385422.242780685</v>
      </c>
      <c r="BA241" s="89">
        <v>25948998.047600683</v>
      </c>
      <c r="BB241" s="89">
        <v>11436424.195179999</v>
      </c>
      <c r="BC241" s="89">
        <v>130038775.07216576</v>
      </c>
      <c r="BD241" s="89"/>
      <c r="BE241" s="88">
        <v>8163391.4241600502</v>
      </c>
      <c r="BF241" s="89">
        <v>550599.56203939999</v>
      </c>
      <c r="BG241" s="89">
        <v>487488.78695591999</v>
      </c>
      <c r="BH241" s="89">
        <v>63110.775083480003</v>
      </c>
      <c r="BI241" s="89">
        <v>8256722.9579374604</v>
      </c>
      <c r="BJ241" s="89">
        <v>-643931.09581681003</v>
      </c>
      <c r="BK241" s="88">
        <v>489.42063400000001</v>
      </c>
      <c r="BL241" s="89">
        <v>-159.66236600000002</v>
      </c>
      <c r="BM241" s="89">
        <v>-70.782225000000011</v>
      </c>
      <c r="BN241" s="89">
        <v>-88.880141000000009</v>
      </c>
      <c r="BO241" s="89">
        <v>649.08299999999997</v>
      </c>
      <c r="BP241" s="89"/>
      <c r="BQ241" s="88">
        <v>9153.4098580000009</v>
      </c>
      <c r="BR241" s="89">
        <v>-4942.9413940000004</v>
      </c>
      <c r="BS241" s="89">
        <v>-2836.6301990000002</v>
      </c>
      <c r="BT241" s="89">
        <v>-2106.3111950000002</v>
      </c>
      <c r="BU241" s="89">
        <v>14096.351252</v>
      </c>
      <c r="BV241" s="89"/>
      <c r="BW241" s="88">
        <v>11603.24774207</v>
      </c>
      <c r="BX241" s="89">
        <v>4433.6132216599999</v>
      </c>
      <c r="BY241" s="89">
        <v>4262.7782201600003</v>
      </c>
      <c r="BZ241" s="89">
        <v>170.83500150000003</v>
      </c>
      <c r="CA241" s="89">
        <v>8735.4289520399998</v>
      </c>
      <c r="CB241" s="89">
        <v>-1565.79443163</v>
      </c>
      <c r="CC241" s="88">
        <v>1652.199077</v>
      </c>
      <c r="CD241" s="89">
        <v>-10.539923000000016</v>
      </c>
      <c r="CE241" s="89">
        <v>132.83336399999999</v>
      </c>
      <c r="CF241" s="89">
        <v>-143.373287</v>
      </c>
      <c r="CG241" s="89">
        <v>1662.739</v>
      </c>
      <c r="CH241" s="89"/>
      <c r="CI241" s="88">
        <v>97089.8</v>
      </c>
      <c r="CJ241" s="89">
        <v>32551.3</v>
      </c>
      <c r="CK241" s="89">
        <v>19612.099999999999</v>
      </c>
      <c r="CL241" s="89">
        <v>12939.2</v>
      </c>
      <c r="CM241" s="89">
        <v>77931.3</v>
      </c>
      <c r="CN241" s="89">
        <v>-13392.8</v>
      </c>
      <c r="CO241" s="88">
        <v>52737.2</v>
      </c>
      <c r="CP241" s="89">
        <v>-26055.7</v>
      </c>
      <c r="CQ241" s="89">
        <v>1381.7</v>
      </c>
      <c r="CR241" s="89">
        <v>-27437.4</v>
      </c>
      <c r="CS241" s="89">
        <v>91283</v>
      </c>
      <c r="CT241" s="89">
        <v>-12530.1</v>
      </c>
      <c r="CU241" s="88">
        <v>57632.843227071091</v>
      </c>
      <c r="CV241" s="89">
        <v>14682.088533707953</v>
      </c>
      <c r="CW241" s="89">
        <v>16269.202872532345</v>
      </c>
      <c r="CX241" s="89">
        <v>-1587.1143388243931</v>
      </c>
      <c r="CY241" s="89">
        <v>42950.754693363138</v>
      </c>
      <c r="CZ241" s="89"/>
      <c r="DA241" s="88">
        <v>91776.616185293824</v>
      </c>
      <c r="DB241" s="89">
        <v>-1387.4383648534367</v>
      </c>
      <c r="DC241" s="89">
        <v>-4469.8472718872217</v>
      </c>
      <c r="DD241" s="89">
        <v>3082.240957203785</v>
      </c>
      <c r="DE241" s="89">
        <v>141201.95077733533</v>
      </c>
      <c r="DF241" s="89">
        <v>-48037.728277358052</v>
      </c>
      <c r="DG241" s="88">
        <v>353962.59485999995</v>
      </c>
      <c r="DH241" s="89">
        <v>158785.81186000002</v>
      </c>
      <c r="DI241" s="89"/>
      <c r="DJ241" s="89"/>
      <c r="DK241" s="89">
        <v>212644.18799999999</v>
      </c>
      <c r="DL241" s="89">
        <v>-17467.404999999999</v>
      </c>
      <c r="DM241" s="88">
        <v>5154105.2547000004</v>
      </c>
      <c r="DN241" s="89">
        <v>2404935.3607000001</v>
      </c>
      <c r="DO241" s="89">
        <v>2123673.6927</v>
      </c>
      <c r="DP241" s="89">
        <v>281261.66800000001</v>
      </c>
      <c r="DQ241" s="89">
        <v>2749169.8939999999</v>
      </c>
      <c r="DR241" s="89"/>
      <c r="DS241" s="88">
        <v>64906.668121318035</v>
      </c>
      <c r="DT241" s="89">
        <v>41456.1357215795</v>
      </c>
      <c r="DU241" s="89">
        <v>40534.454404769502</v>
      </c>
      <c r="DV241" s="89">
        <v>921.68131681</v>
      </c>
      <c r="DW241" s="89">
        <v>47911.86473471325</v>
      </c>
      <c r="DX241" s="89">
        <v>-24461.332334974715</v>
      </c>
      <c r="DY241" s="88">
        <v>11800.741246</v>
      </c>
      <c r="DZ241" s="89">
        <f t="shared" si="15"/>
        <v>264.18393900000001</v>
      </c>
      <c r="EA241" s="89">
        <v>1452.5346319999999</v>
      </c>
      <c r="EB241" s="89">
        <v>-1188.3506929999999</v>
      </c>
      <c r="EC241" s="89">
        <v>11536.557306999999</v>
      </c>
      <c r="ED241" s="89"/>
      <c r="EE241" s="88">
        <v>14473.033956262649</v>
      </c>
      <c r="EF241" s="89">
        <v>-1558.2553861399992</v>
      </c>
      <c r="EG241" s="89">
        <v>-1561.7024520299992</v>
      </c>
      <c r="EH241" s="89">
        <v>3.4470658899999997</v>
      </c>
      <c r="EI241" s="89">
        <v>21409.889312722</v>
      </c>
      <c r="EJ241" s="89">
        <v>-5378.5999703193502</v>
      </c>
      <c r="EK241" s="88">
        <v>12828360.083376549</v>
      </c>
      <c r="EL241" s="89">
        <v>-5770307.98221213</v>
      </c>
      <c r="EM241" s="89">
        <v>-4069993.55127163</v>
      </c>
      <c r="EN241" s="89">
        <v>-1700314.4309405002</v>
      </c>
      <c r="EO241" s="89">
        <v>19062058.635075878</v>
      </c>
      <c r="EP241" s="89">
        <v>-463390.5694872</v>
      </c>
      <c r="EQ241" s="88">
        <v>71203.29904089999</v>
      </c>
      <c r="ER241" s="89">
        <v>-18362.173226000003</v>
      </c>
      <c r="ES241" s="89"/>
      <c r="ET241" s="89"/>
      <c r="EU241" s="89">
        <v>133575.9055964</v>
      </c>
      <c r="EV241" s="89">
        <v>-44010.433329500011</v>
      </c>
      <c r="EW241" s="88">
        <v>684379.85294238222</v>
      </c>
      <c r="EX241" s="89">
        <f t="shared" si="17"/>
        <v>359605.66379720997</v>
      </c>
      <c r="EY241" s="89">
        <v>349773.62902929995</v>
      </c>
      <c r="EZ241" s="89">
        <v>9832.0347679099996</v>
      </c>
      <c r="FA241" s="89">
        <v>364255.23075331008</v>
      </c>
      <c r="FB241" s="89">
        <v>-39481.041608137901</v>
      </c>
      <c r="FC241" s="88">
        <v>1635.5488810000002</v>
      </c>
      <c r="FD241" s="89">
        <v>361.53388100000012</v>
      </c>
      <c r="FE241" s="89">
        <v>702.68017100000009</v>
      </c>
      <c r="FF241" s="89">
        <v>-341.14628999999996</v>
      </c>
      <c r="FG241" s="89">
        <v>1274.0150000000001</v>
      </c>
      <c r="FH241" s="89"/>
      <c r="FI241" s="88">
        <v>991.44941600000004</v>
      </c>
      <c r="FJ241" s="89">
        <v>60.369416000000015</v>
      </c>
      <c r="FK241" s="89">
        <v>87.355749000000017</v>
      </c>
      <c r="FL241" s="89">
        <v>-26.986332999999998</v>
      </c>
      <c r="FM241" s="89">
        <v>931.08</v>
      </c>
      <c r="FN241" s="89"/>
      <c r="FO241" s="88">
        <v>3412.2579380000002</v>
      </c>
      <c r="FP241" s="89">
        <v>-305.575062</v>
      </c>
      <c r="FQ241" s="89">
        <v>38.733815</v>
      </c>
      <c r="FR241" s="89">
        <v>-344.308877</v>
      </c>
      <c r="FS241" s="89">
        <v>3717.8330000000001</v>
      </c>
      <c r="FT241" s="89"/>
      <c r="FU241" s="88">
        <v>2767</v>
      </c>
      <c r="FV241" s="89">
        <v>132</v>
      </c>
      <c r="FW241" s="89">
        <v>89.6</v>
      </c>
      <c r="FX241" s="89">
        <v>42.4</v>
      </c>
      <c r="FY241" s="89">
        <v>2588.6</v>
      </c>
      <c r="FZ241" s="89">
        <v>46.4</v>
      </c>
      <c r="GA241" s="88">
        <v>25368.1</v>
      </c>
      <c r="GB241" s="89">
        <v>-15145.1</v>
      </c>
      <c r="GC241" s="89">
        <v>-22474.5</v>
      </c>
      <c r="GD241" s="89">
        <v>7329.4</v>
      </c>
      <c r="GE241" s="89">
        <v>40513.199999999997</v>
      </c>
      <c r="GF241" s="89"/>
      <c r="GG241" s="88"/>
      <c r="GH241" s="89"/>
      <c r="GI241" s="89"/>
      <c r="GJ241" s="89"/>
      <c r="GK241" s="89"/>
      <c r="GL241" s="89"/>
      <c r="GM241" s="88">
        <v>244078.28500895997</v>
      </c>
      <c r="GN241" s="89">
        <v>37409.03177478</v>
      </c>
      <c r="GO241" s="89">
        <v>36143.822867909999</v>
      </c>
      <c r="GP241" s="89">
        <v>1265.2089068699997</v>
      </c>
      <c r="GQ241" s="89">
        <v>162099.13157637999</v>
      </c>
      <c r="GR241" s="89">
        <v>44570.121657800002</v>
      </c>
    </row>
    <row r="242" spans="1:200">
      <c r="A242" s="69"/>
      <c r="B242" s="93" t="s">
        <v>499</v>
      </c>
      <c r="C242" s="88">
        <v>3016.3020000000006</v>
      </c>
      <c r="D242" s="87">
        <v>475.84400000000005</v>
      </c>
      <c r="E242" s="87">
        <v>579.76532600000007</v>
      </c>
      <c r="F242" s="87">
        <v>-103.92132600000001</v>
      </c>
      <c r="G242" s="87">
        <v>2540.4580000000001</v>
      </c>
      <c r="H242" s="87"/>
      <c r="I242" s="88">
        <v>180057.81759988997</v>
      </c>
      <c r="J242" s="89">
        <v>205470.32472249001</v>
      </c>
      <c r="K242" s="89"/>
      <c r="L242" s="89"/>
      <c r="M242" s="89">
        <v>151206.05300000001</v>
      </c>
      <c r="N242" s="89">
        <v>-176618.56012260003</v>
      </c>
      <c r="O242" s="88">
        <v>7968.8</v>
      </c>
      <c r="P242" s="89">
        <v>1390.9</v>
      </c>
      <c r="Q242" s="89">
        <v>988.7</v>
      </c>
      <c r="R242" s="89">
        <v>402.2</v>
      </c>
      <c r="S242" s="89">
        <v>6577.9</v>
      </c>
      <c r="T242" s="89"/>
      <c r="U242" s="88">
        <v>6989.5984399999998</v>
      </c>
      <c r="V242" s="89">
        <v>1459.99044</v>
      </c>
      <c r="W242" s="89">
        <v>862.12596999999994</v>
      </c>
      <c r="X242" s="89">
        <v>597.8644700000001</v>
      </c>
      <c r="Y242" s="89">
        <v>5529.6080000000002</v>
      </c>
      <c r="Z242" s="89"/>
      <c r="AA242" s="88">
        <v>2011.8420000000001</v>
      </c>
      <c r="AB242" s="89">
        <v>209.83199999999999</v>
      </c>
      <c r="AC242" s="89">
        <v>199.184</v>
      </c>
      <c r="AD242" s="89">
        <v>10.648</v>
      </c>
      <c r="AE242" s="89">
        <v>1802.01</v>
      </c>
      <c r="AF242" s="89"/>
      <c r="AG242" s="88">
        <v>52011.790800589566</v>
      </c>
      <c r="AH242" s="89">
        <v>11485.246660591416</v>
      </c>
      <c r="AI242" s="89">
        <v>11485.246660591416</v>
      </c>
      <c r="AJ242" s="89"/>
      <c r="AK242" s="89">
        <v>40526.54413999815</v>
      </c>
      <c r="AL242" s="89"/>
      <c r="AM242" s="88">
        <v>3002853</v>
      </c>
      <c r="AN242" s="89">
        <v>1194279</v>
      </c>
      <c r="AO242" s="89">
        <v>1143946</v>
      </c>
      <c r="AP242" s="89">
        <v>50333</v>
      </c>
      <c r="AQ242" s="89">
        <v>1543987</v>
      </c>
      <c r="AR242" s="89">
        <v>264586</v>
      </c>
      <c r="AS242" s="88">
        <v>60984000</v>
      </c>
      <c r="AT242" s="89">
        <v>-1591000</v>
      </c>
      <c r="AU242" s="89">
        <v>-1591000</v>
      </c>
      <c r="AV242" s="89"/>
      <c r="AW242" s="89">
        <v>68635000</v>
      </c>
      <c r="AX242" s="89">
        <v>-6060000</v>
      </c>
      <c r="AY242" s="88">
        <v>173651207.99160185</v>
      </c>
      <c r="AZ242" s="89">
        <f t="shared" si="16"/>
        <v>42252339.35985525</v>
      </c>
      <c r="BA242" s="89">
        <v>31220268.542360246</v>
      </c>
      <c r="BB242" s="89">
        <v>11032070.817495</v>
      </c>
      <c r="BC242" s="89">
        <v>131398868.63174659</v>
      </c>
      <c r="BD242" s="89"/>
      <c r="BE242" s="88">
        <v>8116912.7740345104</v>
      </c>
      <c r="BF242" s="89">
        <v>558520.85056250007</v>
      </c>
      <c r="BG242" s="89">
        <v>497398.01204464003</v>
      </c>
      <c r="BH242" s="89">
        <v>61122.83851786</v>
      </c>
      <c r="BI242" s="89">
        <v>8142606.3901843997</v>
      </c>
      <c r="BJ242" s="89">
        <v>-584214.46671238996</v>
      </c>
      <c r="BK242" s="88">
        <v>506.62255199999998</v>
      </c>
      <c r="BL242" s="89">
        <v>-146.72644799999998</v>
      </c>
      <c r="BM242" s="89">
        <v>-59.077306999999983</v>
      </c>
      <c r="BN242" s="89">
        <v>-87.649141</v>
      </c>
      <c r="BO242" s="89">
        <v>653.34900000000005</v>
      </c>
      <c r="BP242" s="89"/>
      <c r="BQ242" s="88">
        <v>9210.4354809999986</v>
      </c>
      <c r="BR242" s="89">
        <v>-5129.2991230000007</v>
      </c>
      <c r="BS242" s="89">
        <v>-3108.4797310000004</v>
      </c>
      <c r="BT242" s="89">
        <v>-2020.8193920000003</v>
      </c>
      <c r="BU242" s="89">
        <v>14339.734603999999</v>
      </c>
      <c r="BV242" s="89"/>
      <c r="BW242" s="88">
        <v>11835.42449162266</v>
      </c>
      <c r="BX242" s="89">
        <v>4553.4244999826578</v>
      </c>
      <c r="BY242" s="89">
        <v>4399.3459043526582</v>
      </c>
      <c r="BZ242" s="89">
        <v>154.07859563</v>
      </c>
      <c r="CA242" s="89">
        <v>8722.3893801200011</v>
      </c>
      <c r="CB242" s="89">
        <v>-1440.38938848</v>
      </c>
      <c r="CC242" s="88">
        <v>1678.814425</v>
      </c>
      <c r="CD242" s="89">
        <v>4.0374250000000274</v>
      </c>
      <c r="CE242" s="89">
        <v>125.10171200000002</v>
      </c>
      <c r="CF242" s="89">
        <v>-121.06428699999999</v>
      </c>
      <c r="CG242" s="89">
        <v>1674.777</v>
      </c>
      <c r="CH242" s="89"/>
      <c r="CI242" s="88">
        <v>99325.1</v>
      </c>
      <c r="CJ242" s="89">
        <v>35300.9</v>
      </c>
      <c r="CK242" s="89">
        <v>22283.3</v>
      </c>
      <c r="CL242" s="89">
        <v>13017.6</v>
      </c>
      <c r="CM242" s="89">
        <v>77888.200000000012</v>
      </c>
      <c r="CN242" s="89">
        <v>-13864</v>
      </c>
      <c r="CO242" s="88">
        <v>51574.9</v>
      </c>
      <c r="CP242" s="89">
        <v>-28794.7</v>
      </c>
      <c r="CQ242" s="89">
        <v>677.3</v>
      </c>
      <c r="CR242" s="89">
        <v>-29472</v>
      </c>
      <c r="CS242" s="89">
        <v>92785</v>
      </c>
      <c r="CT242" s="89">
        <v>-12415.4</v>
      </c>
      <c r="CU242" s="88">
        <v>57143.023357785452</v>
      </c>
      <c r="CV242" s="89">
        <v>13916.896840654281</v>
      </c>
      <c r="CW242" s="89">
        <v>15645.20395878369</v>
      </c>
      <c r="CX242" s="89">
        <v>-1728.3071181294104</v>
      </c>
      <c r="CY242" s="89">
        <v>43226.126517131168</v>
      </c>
      <c r="CZ242" s="89"/>
      <c r="DA242" s="88">
        <v>94916.415079488128</v>
      </c>
      <c r="DB242" s="89">
        <v>1541.681432974543</v>
      </c>
      <c r="DC242" s="89">
        <v>-1518.3033156134516</v>
      </c>
      <c r="DD242" s="89">
        <v>3059.8268678379973</v>
      </c>
      <c r="DE242" s="89">
        <v>142038.28037758209</v>
      </c>
      <c r="DF242" s="89">
        <v>-48663.388850318493</v>
      </c>
      <c r="DG242" s="88">
        <v>352105.48050999996</v>
      </c>
      <c r="DH242" s="89">
        <v>162370.46951</v>
      </c>
      <c r="DI242" s="89"/>
      <c r="DJ242" s="89"/>
      <c r="DK242" s="89">
        <v>208692.33</v>
      </c>
      <c r="DL242" s="89">
        <v>-18957.319</v>
      </c>
      <c r="DM242" s="88">
        <v>5165521.8925993098</v>
      </c>
      <c r="DN242" s="89">
        <v>2373732.7845993103</v>
      </c>
      <c r="DO242" s="89">
        <v>2078063.7355993101</v>
      </c>
      <c r="DP242" s="89">
        <v>295669.049</v>
      </c>
      <c r="DQ242" s="89">
        <v>2791789.108</v>
      </c>
      <c r="DR242" s="89"/>
      <c r="DS242" s="88">
        <v>65557.238889137981</v>
      </c>
      <c r="DT242" s="89">
        <v>41766.682553541221</v>
      </c>
      <c r="DU242" s="89">
        <v>40814.230869701219</v>
      </c>
      <c r="DV242" s="89">
        <v>952.45168383999976</v>
      </c>
      <c r="DW242" s="89">
        <v>48240.343957018675</v>
      </c>
      <c r="DX242" s="89">
        <v>-24449.787621421914</v>
      </c>
      <c r="DY242" s="88">
        <v>11891.930145</v>
      </c>
      <c r="DZ242" s="89">
        <f t="shared" si="15"/>
        <v>354.69283799999994</v>
      </c>
      <c r="EA242" s="89">
        <v>1552.861531</v>
      </c>
      <c r="EB242" s="89">
        <v>-1198.1686930000001</v>
      </c>
      <c r="EC242" s="89">
        <v>11537.237306999999</v>
      </c>
      <c r="ED242" s="89"/>
      <c r="EE242" s="88">
        <v>13757.660124275841</v>
      </c>
      <c r="EF242" s="89">
        <v>-1851.0480402909993</v>
      </c>
      <c r="EG242" s="89">
        <v>-1855.0775531209993</v>
      </c>
      <c r="EH242" s="89">
        <v>4.0295128299999998</v>
      </c>
      <c r="EI242" s="89">
        <v>21406.652038501998</v>
      </c>
      <c r="EJ242" s="89">
        <v>-5797.9438739351599</v>
      </c>
      <c r="EK242" s="88">
        <v>12712305.28360196</v>
      </c>
      <c r="EL242" s="89">
        <v>-6251194.118504148</v>
      </c>
      <c r="EM242" s="89">
        <v>-4501895.2283132384</v>
      </c>
      <c r="EN242" s="89">
        <v>-1749298.8901909101</v>
      </c>
      <c r="EO242" s="89">
        <v>19502377.876564108</v>
      </c>
      <c r="EP242" s="89">
        <v>-538878.47445800004</v>
      </c>
      <c r="EQ242" s="88">
        <v>73164.641049119993</v>
      </c>
      <c r="ER242" s="89">
        <v>-17351.073058960003</v>
      </c>
      <c r="ES242" s="89"/>
      <c r="ET242" s="89"/>
      <c r="EU242" s="89">
        <v>135850.13164035999</v>
      </c>
      <c r="EV242" s="89">
        <v>-45334.41753228</v>
      </c>
      <c r="EW242" s="88">
        <v>683986.78276631061</v>
      </c>
      <c r="EX242" s="89">
        <f t="shared" si="17"/>
        <v>359294.05631114997</v>
      </c>
      <c r="EY242" s="89">
        <v>347752.64703535999</v>
      </c>
      <c r="EZ242" s="89">
        <v>11541.409275790002</v>
      </c>
      <c r="FA242" s="89">
        <v>370230.0305851</v>
      </c>
      <c r="FB242" s="89">
        <v>-45537.30412993925</v>
      </c>
      <c r="FC242" s="88">
        <v>1644.4349709999999</v>
      </c>
      <c r="FD242" s="89">
        <v>370.47797099999997</v>
      </c>
      <c r="FE242" s="89">
        <v>714.95926099999997</v>
      </c>
      <c r="FF242" s="89">
        <v>-344.48129</v>
      </c>
      <c r="FG242" s="89">
        <v>1273.9570000000001</v>
      </c>
      <c r="FH242" s="89"/>
      <c r="FI242" s="88">
        <v>1011.010618</v>
      </c>
      <c r="FJ242" s="89">
        <v>76.221617999999964</v>
      </c>
      <c r="FK242" s="89">
        <v>105.12495099999997</v>
      </c>
      <c r="FL242" s="89">
        <v>-28.903333</v>
      </c>
      <c r="FM242" s="89">
        <v>934.78899999999999</v>
      </c>
      <c r="FN242" s="89"/>
      <c r="FO242" s="88">
        <v>3449.809049</v>
      </c>
      <c r="FP242" s="89">
        <v>-276.1679509999999</v>
      </c>
      <c r="FQ242" s="89">
        <v>55.812926000000033</v>
      </c>
      <c r="FR242" s="89">
        <v>-331.98087699999996</v>
      </c>
      <c r="FS242" s="89">
        <v>3725.9769999999999</v>
      </c>
      <c r="FT242" s="89"/>
      <c r="FU242" s="88">
        <v>2786.2</v>
      </c>
      <c r="FV242" s="89">
        <v>137.5</v>
      </c>
      <c r="FW242" s="89">
        <v>94.2</v>
      </c>
      <c r="FX242" s="89">
        <v>43.3</v>
      </c>
      <c r="FY242" s="89">
        <v>2598.6999999999998</v>
      </c>
      <c r="FZ242" s="89">
        <v>50</v>
      </c>
      <c r="GA242" s="88">
        <v>29078.7</v>
      </c>
      <c r="GB242" s="89">
        <v>-11468.9</v>
      </c>
      <c r="GC242" s="89">
        <v>-18811.8</v>
      </c>
      <c r="GD242" s="89">
        <v>7342.9</v>
      </c>
      <c r="GE242" s="89">
        <v>40547.5</v>
      </c>
      <c r="GF242" s="89"/>
      <c r="GG242" s="88"/>
      <c r="GH242" s="89"/>
      <c r="GI242" s="89"/>
      <c r="GJ242" s="89"/>
      <c r="GK242" s="89"/>
      <c r="GL242" s="101"/>
      <c r="GM242" s="88">
        <v>244210.47006332001</v>
      </c>
      <c r="GN242" s="89">
        <v>38550.368641869994</v>
      </c>
      <c r="GO242" s="89">
        <v>36024.510338199994</v>
      </c>
      <c r="GP242" s="89">
        <v>2525.8583036700002</v>
      </c>
      <c r="GQ242" s="89">
        <v>166357.09192751002</v>
      </c>
      <c r="GR242" s="101">
        <v>39303.009493939993</v>
      </c>
    </row>
    <row r="243" spans="1:200" ht="12" thickBot="1">
      <c r="A243" s="102"/>
      <c r="B243" s="130" t="s">
        <v>500</v>
      </c>
      <c r="C243" s="109">
        <v>3033.9028269999999</v>
      </c>
      <c r="D243" s="108">
        <v>494.35482699999994</v>
      </c>
      <c r="E243" s="108">
        <v>592.07315299999993</v>
      </c>
      <c r="F243" s="108">
        <v>-97.718326000000005</v>
      </c>
      <c r="G243" s="108">
        <v>2539.5479999999998</v>
      </c>
      <c r="H243" s="108"/>
      <c r="I243" s="109">
        <v>193063.13020674995</v>
      </c>
      <c r="J243" s="108">
        <v>211275.65467734999</v>
      </c>
      <c r="K243" s="108"/>
      <c r="L243" s="108"/>
      <c r="M243" s="105">
        <v>154945.48800000001</v>
      </c>
      <c r="N243" s="105">
        <v>-173158.01247060002</v>
      </c>
      <c r="O243" s="104">
        <v>8039.7</v>
      </c>
      <c r="P243" s="105">
        <v>1443.8</v>
      </c>
      <c r="Q243" s="105">
        <v>1023.9</v>
      </c>
      <c r="R243" s="105">
        <v>419.9</v>
      </c>
      <c r="S243" s="105">
        <v>6595.9</v>
      </c>
      <c r="T243" s="105"/>
      <c r="U243" s="104">
        <v>7014.4707099999996</v>
      </c>
      <c r="V243" s="105">
        <v>1451.00371</v>
      </c>
      <c r="W243" s="105">
        <v>843.45323999999994</v>
      </c>
      <c r="X243" s="105">
        <v>607.55047000000002</v>
      </c>
      <c r="Y243" s="105">
        <v>5563.4669999999996</v>
      </c>
      <c r="Z243" s="105"/>
      <c r="AA243" s="104">
        <v>2002.317</v>
      </c>
      <c r="AB243" s="105">
        <v>202.785</v>
      </c>
      <c r="AC243" s="105">
        <v>195.74</v>
      </c>
      <c r="AD243" s="105">
        <v>7.0449999999999999</v>
      </c>
      <c r="AE243" s="105">
        <v>1799.5319999999999</v>
      </c>
      <c r="AF243" s="105"/>
      <c r="AG243" s="104">
        <v>52916.923365628754</v>
      </c>
      <c r="AH243" s="105">
        <v>11703.32346752565</v>
      </c>
      <c r="AI243" s="105">
        <v>11703.32346752565</v>
      </c>
      <c r="AJ243" s="105"/>
      <c r="AK243" s="105">
        <v>41213.599898103108</v>
      </c>
      <c r="AL243" s="105"/>
      <c r="AM243" s="104">
        <v>3015566</v>
      </c>
      <c r="AN243" s="105">
        <v>1200578</v>
      </c>
      <c r="AO243" s="105">
        <v>1147889</v>
      </c>
      <c r="AP243" s="105">
        <v>52689</v>
      </c>
      <c r="AQ243" s="105">
        <v>1583003</v>
      </c>
      <c r="AR243" s="105">
        <v>231984</v>
      </c>
      <c r="AS243" s="104">
        <v>61383000</v>
      </c>
      <c r="AT243" s="105">
        <v>-1689000</v>
      </c>
      <c r="AU243" s="105">
        <v>-1689000</v>
      </c>
      <c r="AV243" s="105"/>
      <c r="AW243" s="105">
        <v>69782000</v>
      </c>
      <c r="AX243" s="105">
        <v>-6710000</v>
      </c>
      <c r="AY243" s="104">
        <v>177300714.02691531</v>
      </c>
      <c r="AZ243" s="105">
        <f t="shared" si="16"/>
        <v>46273377.644649178</v>
      </c>
      <c r="BA243" s="105">
        <v>34095805.646719173</v>
      </c>
      <c r="BB243" s="105">
        <v>12177571.997930001</v>
      </c>
      <c r="BC243" s="105">
        <v>131027336.38226613</v>
      </c>
      <c r="BD243" s="105"/>
      <c r="BE243" s="104">
        <v>8165619.2219393197</v>
      </c>
      <c r="BF243" s="105">
        <v>659256.00958499999</v>
      </c>
      <c r="BG243" s="105">
        <v>594510.79682865995</v>
      </c>
      <c r="BH243" s="105">
        <v>64745.212756339999</v>
      </c>
      <c r="BI243" s="105">
        <v>8280694.7585030496</v>
      </c>
      <c r="BJ243" s="105">
        <v>-774331.54614872998</v>
      </c>
      <c r="BK243" s="104">
        <v>512.52847000000008</v>
      </c>
      <c r="BL243" s="105">
        <v>-141.80953</v>
      </c>
      <c r="BM243" s="105">
        <v>-48.677388999999998</v>
      </c>
      <c r="BN243" s="108">
        <v>-93.132141000000004</v>
      </c>
      <c r="BO243" s="108">
        <v>654.33799999999997</v>
      </c>
      <c r="BP243" s="108"/>
      <c r="BQ243" s="109">
        <v>10809.719095999999</v>
      </c>
      <c r="BR243" s="108">
        <v>-3712.8436959999999</v>
      </c>
      <c r="BS243" s="108">
        <v>-1848.2853540000001</v>
      </c>
      <c r="BT243" s="108">
        <v>-1864.5583419999998</v>
      </c>
      <c r="BU243" s="108">
        <v>14522.562791999999</v>
      </c>
      <c r="BV243" s="108"/>
      <c r="BW243" s="109">
        <v>11605.824125680001</v>
      </c>
      <c r="BX243" s="105">
        <v>4334.5143777459725</v>
      </c>
      <c r="BY243" s="105">
        <v>4177.6036390859726</v>
      </c>
      <c r="BZ243" s="105">
        <v>156.91073865999999</v>
      </c>
      <c r="CA243" s="105">
        <v>8752.7265606901528</v>
      </c>
      <c r="CB243" s="105">
        <v>-1481.4168127561245</v>
      </c>
      <c r="CC243" s="104">
        <v>1641.8541520000001</v>
      </c>
      <c r="CD243" s="105">
        <v>-26.904847999999987</v>
      </c>
      <c r="CE243" s="105">
        <v>98.89543900000001</v>
      </c>
      <c r="CF243" s="105">
        <v>-125.800287</v>
      </c>
      <c r="CG243" s="105">
        <v>1668.759</v>
      </c>
      <c r="CH243" s="105"/>
      <c r="CI243" s="104">
        <v>101291.6</v>
      </c>
      <c r="CJ243" s="105">
        <v>37440.6</v>
      </c>
      <c r="CK243" s="105">
        <v>24429.3</v>
      </c>
      <c r="CL243" s="105">
        <v>13011.3</v>
      </c>
      <c r="CM243" s="105">
        <v>78044.2</v>
      </c>
      <c r="CN243" s="105">
        <v>-14193.2</v>
      </c>
      <c r="CO243" s="104">
        <v>47222.3</v>
      </c>
      <c r="CP243" s="105">
        <v>-33275.300000000003</v>
      </c>
      <c r="CQ243" s="105">
        <v>-3306.8</v>
      </c>
      <c r="CR243" s="105">
        <v>-29621.7</v>
      </c>
      <c r="CS243" s="108">
        <v>94390.1</v>
      </c>
      <c r="CT243" s="108">
        <v>-13892.5</v>
      </c>
      <c r="CU243" s="109">
        <v>53479.939185386</v>
      </c>
      <c r="CV243" s="108">
        <v>9605.3454028441556</v>
      </c>
      <c r="CW243" s="108">
        <v>11151.588150882908</v>
      </c>
      <c r="CX243" s="108">
        <v>-1546.2427480387514</v>
      </c>
      <c r="CY243" s="105">
        <v>43874.593782541844</v>
      </c>
      <c r="CZ243" s="103"/>
      <c r="DA243" s="104">
        <v>98011.113463694492</v>
      </c>
      <c r="DB243" s="105">
        <v>4118.8206703375654</v>
      </c>
      <c r="DC243" s="105">
        <v>921.23987697716439</v>
      </c>
      <c r="DD243" s="105">
        <v>3197.3707029404027</v>
      </c>
      <c r="DE243" s="105">
        <v>142390.19359358415</v>
      </c>
      <c r="DF243" s="105">
        <v>-48497.690709807248</v>
      </c>
      <c r="DG243" s="104">
        <v>371926.15281</v>
      </c>
      <c r="DH243" s="105">
        <v>177566.65181000001</v>
      </c>
      <c r="DI243" s="105"/>
      <c r="DJ243" s="105"/>
      <c r="DK243" s="105">
        <v>209477.91</v>
      </c>
      <c r="DL243" s="105">
        <v>-15118.409</v>
      </c>
      <c r="DM243" s="104">
        <v>5211909.3102006</v>
      </c>
      <c r="DN243" s="105">
        <v>2458040.8172006002</v>
      </c>
      <c r="DO243" s="105">
        <v>2086256.5792006</v>
      </c>
      <c r="DP243" s="105">
        <v>371784.23800000001</v>
      </c>
      <c r="DQ243" s="105">
        <v>2753868.4929999998</v>
      </c>
      <c r="DR243" s="105"/>
      <c r="DS243" s="104">
        <v>64774.300966051356</v>
      </c>
      <c r="DT243" s="105">
        <v>42053.518424463859</v>
      </c>
      <c r="DU243" s="105">
        <v>41104.309918983861</v>
      </c>
      <c r="DV243" s="105">
        <v>949.2085054800001</v>
      </c>
      <c r="DW243" s="105">
        <v>48044.929468142182</v>
      </c>
      <c r="DX243" s="105">
        <v>-25324.146926554684</v>
      </c>
      <c r="DY243" s="104">
        <v>11915.844334000001</v>
      </c>
      <c r="DZ243" s="105">
        <f t="shared" si="15"/>
        <v>377.93802699999992</v>
      </c>
      <c r="EA243" s="105">
        <v>1642.55872</v>
      </c>
      <c r="EB243" s="105">
        <v>-1264.6206930000001</v>
      </c>
      <c r="EC243" s="105">
        <v>11537.906306999999</v>
      </c>
      <c r="ED243" s="105"/>
      <c r="EE243" s="104">
        <v>13995.089040014716</v>
      </c>
      <c r="EF243" s="105">
        <v>-2176.0842234000002</v>
      </c>
      <c r="EG243" s="105">
        <v>-2194.46536999</v>
      </c>
      <c r="EH243" s="105">
        <v>18.38114659</v>
      </c>
      <c r="EI243" s="105">
        <v>21188.313228733998</v>
      </c>
      <c r="EJ243" s="105">
        <v>-5017.1399653192802</v>
      </c>
      <c r="EK243" s="104">
        <v>14269983.240154196</v>
      </c>
      <c r="EL243" s="105">
        <v>-5126492.1219756203</v>
      </c>
      <c r="EM243" s="105">
        <v>-3384790.4872394004</v>
      </c>
      <c r="EN243" s="105">
        <v>-1741701.6347362199</v>
      </c>
      <c r="EO243" s="105">
        <v>19915957.288803816</v>
      </c>
      <c r="EP243" s="105">
        <v>-519481.92667399999</v>
      </c>
      <c r="EQ243" s="104">
        <v>77753.562171959973</v>
      </c>
      <c r="ER243" s="105">
        <v>-16085.841367250001</v>
      </c>
      <c r="ES243" s="105"/>
      <c r="ET243" s="105"/>
      <c r="EU243" s="105">
        <v>136992.98254103999</v>
      </c>
      <c r="EV243" s="105">
        <v>-43153.579001830018</v>
      </c>
      <c r="EW243" s="104">
        <v>660591.04930751037</v>
      </c>
      <c r="EX243" s="105">
        <f t="shared" si="17"/>
        <v>356875.52060518996</v>
      </c>
      <c r="EY243" s="105">
        <v>346439.42487939994</v>
      </c>
      <c r="EZ243" s="105">
        <v>10436.095725789999</v>
      </c>
      <c r="FA243" s="105">
        <v>374113.29641695</v>
      </c>
      <c r="FB243" s="105">
        <v>-70397.767714629503</v>
      </c>
      <c r="FC243" s="104">
        <v>1708.5353059999998</v>
      </c>
      <c r="FD243" s="105">
        <v>397.47330600000004</v>
      </c>
      <c r="FE243" s="105">
        <v>782.446596</v>
      </c>
      <c r="FF243" s="105">
        <v>-384.97328999999996</v>
      </c>
      <c r="FG243" s="105">
        <v>1311.0619999999999</v>
      </c>
      <c r="FH243" s="105"/>
      <c r="FI243" s="104">
        <v>1029.2283210000001</v>
      </c>
      <c r="FJ243" s="105">
        <v>86.375321000000014</v>
      </c>
      <c r="FK243" s="105">
        <v>127.60265400000002</v>
      </c>
      <c r="FL243" s="105">
        <v>-41.227333000000002</v>
      </c>
      <c r="FM243" s="105">
        <v>942.85299999999995</v>
      </c>
      <c r="FN243" s="105"/>
      <c r="FO243" s="104">
        <v>3455.560853</v>
      </c>
      <c r="FP243" s="105">
        <v>-289.888147</v>
      </c>
      <c r="FQ243" s="105">
        <v>47.122730000000011</v>
      </c>
      <c r="FR243" s="105">
        <v>-337.01087699999999</v>
      </c>
      <c r="FS243" s="105">
        <v>3745.4490000000001</v>
      </c>
      <c r="FT243" s="105"/>
      <c r="FU243" s="104">
        <v>2828.7</v>
      </c>
      <c r="FV243" s="105">
        <v>156</v>
      </c>
      <c r="FW243" s="105">
        <v>115.7</v>
      </c>
      <c r="FX243" s="105">
        <v>40.299999999999997</v>
      </c>
      <c r="FY243" s="105">
        <v>2621.1999999999998</v>
      </c>
      <c r="FZ243" s="105">
        <v>51.5</v>
      </c>
      <c r="GA243" s="104">
        <v>33019</v>
      </c>
      <c r="GB243" s="105">
        <v>-8225.6</v>
      </c>
      <c r="GC243" s="105">
        <v>-16060</v>
      </c>
      <c r="GD243" s="105">
        <v>7834.4</v>
      </c>
      <c r="GE243" s="105">
        <v>41244.6</v>
      </c>
      <c r="GF243" s="105"/>
      <c r="GG243" s="104">
        <v>107972.89157934929</v>
      </c>
      <c r="GH243" s="105">
        <v>51253.37565034713</v>
      </c>
      <c r="GI243" s="105">
        <v>47363.644063625557</v>
      </c>
      <c r="GJ243" s="105">
        <v>3889.7315867215698</v>
      </c>
      <c r="GK243" s="105">
        <v>145918.9544833861</v>
      </c>
      <c r="GL243" s="103">
        <v>-89199.438554383916</v>
      </c>
      <c r="GM243" s="104">
        <v>232983.26405154003</v>
      </c>
      <c r="GN243" s="105">
        <v>36212.192235869996</v>
      </c>
      <c r="GO243" s="105">
        <v>34016.543897629999</v>
      </c>
      <c r="GP243" s="105">
        <v>2195.6483382399997</v>
      </c>
      <c r="GQ243" s="105">
        <v>162301.30100109003</v>
      </c>
      <c r="GR243" s="103">
        <v>34469.770814579999</v>
      </c>
    </row>
    <row r="244" spans="1:200">
      <c r="A244" s="86">
        <v>2010</v>
      </c>
      <c r="B244" s="93" t="s">
        <v>489</v>
      </c>
      <c r="C244" s="88">
        <v>3053.3169699999999</v>
      </c>
      <c r="D244" s="87">
        <v>509.19797</v>
      </c>
      <c r="E244" s="87">
        <v>599.43767600000001</v>
      </c>
      <c r="F244" s="87">
        <v>-90.239706000000012</v>
      </c>
      <c r="G244" s="87">
        <v>2544.1190000000001</v>
      </c>
      <c r="H244" s="87"/>
      <c r="I244" s="88">
        <v>194354.53301284002</v>
      </c>
      <c r="J244" s="89">
        <v>217424.80162827001</v>
      </c>
      <c r="K244" s="89"/>
      <c r="L244" s="89"/>
      <c r="M244" s="89">
        <v>153958.86900000001</v>
      </c>
      <c r="N244" s="89">
        <v>-177029.13761542999</v>
      </c>
      <c r="O244" s="88">
        <v>8101.8</v>
      </c>
      <c r="P244" s="89">
        <v>1477.6999999999998</v>
      </c>
      <c r="Q244" s="89">
        <v>1051.8</v>
      </c>
      <c r="R244" s="89">
        <v>425.9</v>
      </c>
      <c r="S244" s="89">
        <v>6624.1</v>
      </c>
      <c r="T244" s="89"/>
      <c r="U244" s="88">
        <v>7057.6038399999998</v>
      </c>
      <c r="V244" s="89">
        <v>1456.5160099999998</v>
      </c>
      <c r="W244" s="89">
        <v>836.03158999999994</v>
      </c>
      <c r="X244" s="89">
        <v>628.95924000000002</v>
      </c>
      <c r="Y244" s="89">
        <v>5601.0878299999995</v>
      </c>
      <c r="Z244" s="89"/>
      <c r="AA244" s="88">
        <v>2013.8620000000001</v>
      </c>
      <c r="AB244" s="89">
        <v>207.59099999999998</v>
      </c>
      <c r="AC244" s="89">
        <v>201.39</v>
      </c>
      <c r="AD244" s="89">
        <v>6.2009999999999996</v>
      </c>
      <c r="AE244" s="89">
        <v>1806.271</v>
      </c>
      <c r="AF244" s="89"/>
      <c r="AG244" s="88">
        <v>52493.643917906709</v>
      </c>
      <c r="AH244" s="89">
        <v>11437.99865588568</v>
      </c>
      <c r="AI244" s="89">
        <v>11437.99865588568</v>
      </c>
      <c r="AJ244" s="89"/>
      <c r="AK244" s="89">
        <v>41055.645262021026</v>
      </c>
      <c r="AL244" s="89"/>
      <c r="AM244" s="88">
        <v>3029503</v>
      </c>
      <c r="AN244" s="89">
        <v>1168686</v>
      </c>
      <c r="AO244" s="89">
        <v>1111513</v>
      </c>
      <c r="AP244" s="89">
        <v>57173</v>
      </c>
      <c r="AQ244" s="89">
        <v>1598777</v>
      </c>
      <c r="AR244" s="89">
        <v>262040</v>
      </c>
      <c r="AS244" s="88">
        <v>58141000</v>
      </c>
      <c r="AT244" s="89">
        <v>-1531952.47</v>
      </c>
      <c r="AU244" s="89">
        <v>-1531952.47</v>
      </c>
      <c r="AV244" s="89"/>
      <c r="AW244" s="89">
        <v>69257867.450000003</v>
      </c>
      <c r="AX244" s="89">
        <v>-9584771.6579999998</v>
      </c>
      <c r="AY244" s="88">
        <v>195836252.57019946</v>
      </c>
      <c r="AZ244" s="89">
        <f t="shared" si="16"/>
        <v>44966447.464528255</v>
      </c>
      <c r="BA244" s="89">
        <v>35778611.90962819</v>
      </c>
      <c r="BB244" s="89">
        <v>9187835.5549000632</v>
      </c>
      <c r="BC244" s="89">
        <v>150869805.1056712</v>
      </c>
      <c r="BD244" s="89"/>
      <c r="BE244" s="88">
        <v>8164093.0428857896</v>
      </c>
      <c r="BF244" s="89">
        <v>665460.2583327</v>
      </c>
      <c r="BG244" s="89">
        <v>599758.23165070999</v>
      </c>
      <c r="BH244" s="89">
        <v>65702.026681989999</v>
      </c>
      <c r="BI244" s="89">
        <v>8230283.0657590199</v>
      </c>
      <c r="BJ244" s="89">
        <v>-731650.28120593005</v>
      </c>
      <c r="BK244" s="88">
        <v>529.64741499999991</v>
      </c>
      <c r="BL244" s="89">
        <v>-125.68058500000001</v>
      </c>
      <c r="BM244" s="89">
        <v>-31.540126000000004</v>
      </c>
      <c r="BN244" s="89">
        <v>-94.140459000000007</v>
      </c>
      <c r="BO244" s="89">
        <v>655.32799999999997</v>
      </c>
      <c r="BP244" s="89"/>
      <c r="BQ244" s="88">
        <v>10557.934222</v>
      </c>
      <c r="BR244" s="89">
        <v>-3858.4038729999993</v>
      </c>
      <c r="BS244" s="89">
        <v>-2173.7915789999997</v>
      </c>
      <c r="BT244" s="89">
        <v>-1684.6122939999998</v>
      </c>
      <c r="BU244" s="89">
        <v>14416.338094999999</v>
      </c>
      <c r="BV244" s="89"/>
      <c r="BW244" s="88">
        <v>11602.295391755986</v>
      </c>
      <c r="BX244" s="89">
        <v>4430.8366052559841</v>
      </c>
      <c r="BY244" s="89">
        <v>4275.1035296159844</v>
      </c>
      <c r="BZ244" s="89">
        <v>155.73307564000001</v>
      </c>
      <c r="CA244" s="89">
        <v>8734.194859080153</v>
      </c>
      <c r="CB244" s="89">
        <v>-1562.7360725801518</v>
      </c>
      <c r="CC244" s="88">
        <v>1651.245533</v>
      </c>
      <c r="CD244" s="89">
        <v>-24.152466999999987</v>
      </c>
      <c r="CE244" s="89">
        <v>102.64382000000001</v>
      </c>
      <c r="CF244" s="89">
        <v>-126.79628699999999</v>
      </c>
      <c r="CG244" s="89">
        <v>1675.3979999999999</v>
      </c>
      <c r="CH244" s="89"/>
      <c r="CI244" s="88">
        <v>98959.4</v>
      </c>
      <c r="CJ244" s="89">
        <v>34326.9</v>
      </c>
      <c r="CK244" s="89">
        <v>21322.400000000001</v>
      </c>
      <c r="CL244" s="89">
        <v>13004.5</v>
      </c>
      <c r="CM244" s="89">
        <v>78386.100000000006</v>
      </c>
      <c r="CN244" s="89">
        <v>-13753.6</v>
      </c>
      <c r="CO244" s="88">
        <v>52157.9</v>
      </c>
      <c r="CP244" s="89">
        <v>-25827.7</v>
      </c>
      <c r="CQ244" s="89">
        <v>8366.2999999999993</v>
      </c>
      <c r="CR244" s="89">
        <v>-34194</v>
      </c>
      <c r="CS244" s="89">
        <v>93273.3</v>
      </c>
      <c r="CT244" s="89">
        <v>-15285.7</v>
      </c>
      <c r="CU244" s="88">
        <v>52566.578919110892</v>
      </c>
      <c r="CV244" s="89">
        <v>11092.137042663888</v>
      </c>
      <c r="CW244" s="89">
        <v>12605.35035465351</v>
      </c>
      <c r="CX244" s="89">
        <v>-1513.2133119896253</v>
      </c>
      <c r="CY244" s="89">
        <v>41474.441876447003</v>
      </c>
      <c r="CZ244" s="89"/>
      <c r="DA244" s="88">
        <v>96703.966832725971</v>
      </c>
      <c r="DB244" s="89">
        <v>2634.425677322597</v>
      </c>
      <c r="DC244" s="89">
        <v>-525.12163649182185</v>
      </c>
      <c r="DD244" s="89">
        <v>3159.2399086344194</v>
      </c>
      <c r="DE244" s="89">
        <v>142768.61070976895</v>
      </c>
      <c r="DF244" s="89">
        <v>-48698.762149185583</v>
      </c>
      <c r="DG244" s="88">
        <v>378451.99060999998</v>
      </c>
      <c r="DH244" s="89">
        <v>194309.78161000001</v>
      </c>
      <c r="DI244" s="89"/>
      <c r="DJ244" s="89"/>
      <c r="DK244" s="89">
        <v>206003.64199999999</v>
      </c>
      <c r="DL244" s="89">
        <v>-21861.433000000001</v>
      </c>
      <c r="DM244" s="88">
        <v>5257266.0197123298</v>
      </c>
      <c r="DN244" s="89">
        <v>2482677.9147123303</v>
      </c>
      <c r="DO244" s="89">
        <v>2102442.1697123302</v>
      </c>
      <c r="DP244" s="89">
        <v>380235.745</v>
      </c>
      <c r="DQ244" s="89">
        <v>2774588.105</v>
      </c>
      <c r="DR244" s="89"/>
      <c r="DS244" s="88">
        <v>59412.063700758001</v>
      </c>
      <c r="DT244" s="89">
        <v>39806.145803379775</v>
      </c>
      <c r="DU244" s="89">
        <v>38861.881215099776</v>
      </c>
      <c r="DV244" s="89">
        <v>944.26458828</v>
      </c>
      <c r="DW244" s="89">
        <v>42804.088077381137</v>
      </c>
      <c r="DX244" s="89">
        <v>-23198.170180002904</v>
      </c>
      <c r="DY244" s="88">
        <v>12017.11702</v>
      </c>
      <c r="DZ244" s="89">
        <f t="shared" si="15"/>
        <v>444.4729540000003</v>
      </c>
      <c r="EA244" s="89">
        <v>1695.7848880000001</v>
      </c>
      <c r="EB244" s="89">
        <v>-1251.3119339999998</v>
      </c>
      <c r="EC244" s="89">
        <v>11572.644065999999</v>
      </c>
      <c r="ED244" s="89"/>
      <c r="EE244" s="88">
        <v>13901.588598323728</v>
      </c>
      <c r="EF244" s="89">
        <v>-2094.7120302899993</v>
      </c>
      <c r="EG244" s="89">
        <v>-2098.4782459199992</v>
      </c>
      <c r="EH244" s="89">
        <v>3.7662156299999996</v>
      </c>
      <c r="EI244" s="89">
        <v>21302.168032082998</v>
      </c>
      <c r="EJ244" s="89">
        <v>-5305.8674034692713</v>
      </c>
      <c r="EK244" s="88">
        <v>14357161.427192304</v>
      </c>
      <c r="EL244" s="89">
        <v>-5639786.3825246599</v>
      </c>
      <c r="EM244" s="89">
        <v>-3669595.73332127</v>
      </c>
      <c r="EN244" s="89">
        <v>-1970190.6492033897</v>
      </c>
      <c r="EO244" s="89">
        <v>20520586.510734364</v>
      </c>
      <c r="EP244" s="89">
        <v>-523638.70101740002</v>
      </c>
      <c r="EQ244" s="88">
        <v>77543.014580260031</v>
      </c>
      <c r="ER244" s="89">
        <v>-16382.160363440002</v>
      </c>
      <c r="ES244" s="89"/>
      <c r="ET244" s="89"/>
      <c r="EU244" s="89">
        <v>137755.26744452</v>
      </c>
      <c r="EV244" s="89">
        <v>-43830.09250081997</v>
      </c>
      <c r="EW244" s="88">
        <v>731897.78932565998</v>
      </c>
      <c r="EX244" s="89">
        <f t="shared" si="17"/>
        <v>357200.96029994998</v>
      </c>
      <c r="EY244" s="89">
        <v>346732.91544414998</v>
      </c>
      <c r="EZ244" s="89">
        <v>10468.044855800001</v>
      </c>
      <c r="FA244" s="89">
        <v>374696.82902571</v>
      </c>
      <c r="FB244" s="89">
        <v>0</v>
      </c>
      <c r="FC244" s="88">
        <v>1703.9334759999999</v>
      </c>
      <c r="FD244" s="89">
        <v>396.76347599999997</v>
      </c>
      <c r="FE244" s="89">
        <v>781.59830799999997</v>
      </c>
      <c r="FF244" s="89">
        <v>-384.83483200000001</v>
      </c>
      <c r="FG244" s="89">
        <v>1307.17</v>
      </c>
      <c r="FH244" s="89"/>
      <c r="FI244" s="88">
        <v>1043.054864</v>
      </c>
      <c r="FJ244" s="89">
        <v>96.982864000000035</v>
      </c>
      <c r="FK244" s="89">
        <v>136.35419700000003</v>
      </c>
      <c r="FL244" s="89">
        <v>-39.371333</v>
      </c>
      <c r="FM244" s="89">
        <v>946.072</v>
      </c>
      <c r="FN244" s="89"/>
      <c r="FO244" s="88">
        <v>3487.0459289999999</v>
      </c>
      <c r="FP244" s="89">
        <v>-269.08207099999993</v>
      </c>
      <c r="FQ244" s="89">
        <v>66.045806000000013</v>
      </c>
      <c r="FR244" s="89">
        <v>-335.12787699999996</v>
      </c>
      <c r="FS244" s="89">
        <v>3756.1280000000002</v>
      </c>
      <c r="FT244" s="89"/>
      <c r="FU244" s="88">
        <v>2884</v>
      </c>
      <c r="FV244" s="89">
        <v>206.6</v>
      </c>
      <c r="FW244" s="89">
        <v>166.5</v>
      </c>
      <c r="FX244" s="89">
        <v>40.1</v>
      </c>
      <c r="FY244" s="89">
        <v>2627.5</v>
      </c>
      <c r="FZ244" s="89">
        <v>49.9</v>
      </c>
      <c r="GA244" s="88">
        <v>30213.200000000001</v>
      </c>
      <c r="GB244" s="89">
        <v>-10435.399999999998</v>
      </c>
      <c r="GC244" s="89">
        <v>-18071.099999999999</v>
      </c>
      <c r="GD244" s="89">
        <v>7635.7</v>
      </c>
      <c r="GE244" s="89">
        <v>40648.6</v>
      </c>
      <c r="GF244" s="89"/>
      <c r="GG244" s="88">
        <v>101652.63806545135</v>
      </c>
      <c r="GH244" s="89">
        <v>48769.854151660002</v>
      </c>
      <c r="GI244" s="89">
        <v>44612.790968332003</v>
      </c>
      <c r="GJ244" s="89">
        <v>4157.0631833280004</v>
      </c>
      <c r="GK244" s="89">
        <v>145340.46747726799</v>
      </c>
      <c r="GL244" s="89">
        <v>-92457.683563476632</v>
      </c>
      <c r="GM244" s="88">
        <v>231757.89877808001</v>
      </c>
      <c r="GN244" s="89">
        <v>41792.177673069993</v>
      </c>
      <c r="GO244" s="89">
        <v>39205.511841309992</v>
      </c>
      <c r="GP244" s="89">
        <v>2586.6658317599999</v>
      </c>
      <c r="GQ244" s="89">
        <v>157601.70994750003</v>
      </c>
      <c r="GR244" s="89">
        <v>32364.011157510002</v>
      </c>
    </row>
    <row r="245" spans="1:200">
      <c r="A245" s="69"/>
      <c r="B245" s="93" t="s">
        <v>490</v>
      </c>
      <c r="C245" s="88">
        <v>3046.122136</v>
      </c>
      <c r="D245" s="87">
        <v>508.16813599999989</v>
      </c>
      <c r="E245" s="87">
        <v>597.76484199999993</v>
      </c>
      <c r="F245" s="87">
        <v>-89.596706000000012</v>
      </c>
      <c r="G245" s="87">
        <v>2537.9540000000002</v>
      </c>
      <c r="H245" s="87"/>
      <c r="I245" s="88">
        <v>197096.00183808996</v>
      </c>
      <c r="J245" s="89">
        <v>223861.21739566998</v>
      </c>
      <c r="K245" s="89"/>
      <c r="L245" s="89"/>
      <c r="M245" s="89">
        <v>155907.34700000001</v>
      </c>
      <c r="N245" s="89">
        <v>-182672.56255758001</v>
      </c>
      <c r="O245" s="88">
        <v>8096.2</v>
      </c>
      <c r="P245" s="89">
        <v>1509.3999999999999</v>
      </c>
      <c r="Q245" s="89">
        <v>1088.5999999999999</v>
      </c>
      <c r="R245" s="89">
        <v>420.8</v>
      </c>
      <c r="S245" s="89">
        <v>6586.8</v>
      </c>
      <c r="T245" s="89"/>
      <c r="U245" s="88">
        <v>7035.7340299999996</v>
      </c>
      <c r="V245" s="89">
        <v>1432.0093899999999</v>
      </c>
      <c r="W245" s="89">
        <v>851.23946000000001</v>
      </c>
      <c r="X245" s="89">
        <v>590.02624000000003</v>
      </c>
      <c r="Y245" s="89">
        <v>5603.7246399999995</v>
      </c>
      <c r="Z245" s="89"/>
      <c r="AA245" s="88">
        <v>2050.498</v>
      </c>
      <c r="AB245" s="89">
        <v>243.72300000000001</v>
      </c>
      <c r="AC245" s="89">
        <v>237.072</v>
      </c>
      <c r="AD245" s="89">
        <v>6.6509999999999998</v>
      </c>
      <c r="AE245" s="89">
        <v>1806.7750000000001</v>
      </c>
      <c r="AF245" s="89"/>
      <c r="AG245" s="88">
        <v>52964.79099292036</v>
      </c>
      <c r="AH245" s="89">
        <v>11726.078392611198</v>
      </c>
      <c r="AI245" s="89">
        <v>11726.078392611198</v>
      </c>
      <c r="AJ245" s="89"/>
      <c r="AK245" s="89">
        <v>41238.712600309162</v>
      </c>
      <c r="AL245" s="89"/>
      <c r="AM245" s="88">
        <v>3061057</v>
      </c>
      <c r="AN245" s="89">
        <v>1187329</v>
      </c>
      <c r="AO245" s="89">
        <v>1130966</v>
      </c>
      <c r="AP245" s="89">
        <v>56363</v>
      </c>
      <c r="AQ245" s="89">
        <v>1613087</v>
      </c>
      <c r="AR245" s="89">
        <v>260640</v>
      </c>
      <c r="AS245" s="88">
        <v>58369000</v>
      </c>
      <c r="AT245" s="89">
        <v>-1593798.9620000001</v>
      </c>
      <c r="AU245" s="89">
        <v>-1593798.9620000001</v>
      </c>
      <c r="AV245" s="89"/>
      <c r="AW245" s="89">
        <v>69246170.199999988</v>
      </c>
      <c r="AX245" s="89">
        <v>-9283269.995000001</v>
      </c>
      <c r="AY245" s="88">
        <v>196691774.96556199</v>
      </c>
      <c r="AZ245" s="89">
        <f t="shared" si="16"/>
        <v>44051477.738171622</v>
      </c>
      <c r="BA245" s="89">
        <v>34122813.034826472</v>
      </c>
      <c r="BB245" s="89">
        <v>9928664.7033451498</v>
      </c>
      <c r="BC245" s="89">
        <v>152640297.22739038</v>
      </c>
      <c r="BD245" s="89"/>
      <c r="BE245" s="88">
        <v>8156975.3541891798</v>
      </c>
      <c r="BF245" s="89">
        <v>675962.23160950001</v>
      </c>
      <c r="BG245" s="89">
        <v>611646.44277512003</v>
      </c>
      <c r="BH245" s="89">
        <v>64315.78883438</v>
      </c>
      <c r="BI245" s="89">
        <v>8204131.5899476297</v>
      </c>
      <c r="BJ245" s="89">
        <v>-723118.46736795001</v>
      </c>
      <c r="BK245" s="88">
        <v>529.58023199999991</v>
      </c>
      <c r="BL245" s="89">
        <v>-126.50976800000001</v>
      </c>
      <c r="BM245" s="89">
        <v>-35.777308999999995</v>
      </c>
      <c r="BN245" s="89">
        <v>-90.732459000000006</v>
      </c>
      <c r="BO245" s="89">
        <v>656.09</v>
      </c>
      <c r="BP245" s="89"/>
      <c r="BQ245" s="88">
        <v>10793.318008999999</v>
      </c>
      <c r="BR245" s="89">
        <v>-3651.0177330000001</v>
      </c>
      <c r="BS245" s="89">
        <v>-1839.8605090000001</v>
      </c>
      <c r="BT245" s="89">
        <v>-1811.157224</v>
      </c>
      <c r="BU245" s="89">
        <v>14444.335741999999</v>
      </c>
      <c r="BV245" s="89"/>
      <c r="BW245" s="88">
        <v>11764.674211442511</v>
      </c>
      <c r="BX245" s="89">
        <v>4578.0738310025099</v>
      </c>
      <c r="BY245" s="89">
        <v>4435.9446006225098</v>
      </c>
      <c r="BZ245" s="89">
        <v>142.12923038</v>
      </c>
      <c r="CA245" s="89">
        <v>8653.6746949801363</v>
      </c>
      <c r="CB245" s="89">
        <v>-1467.0743145401352</v>
      </c>
      <c r="CC245" s="88">
        <v>1672.2902889999998</v>
      </c>
      <c r="CD245" s="89">
        <v>-14.073710999999989</v>
      </c>
      <c r="CE245" s="89">
        <v>112.56257600000001</v>
      </c>
      <c r="CF245" s="89">
        <v>-126.636287</v>
      </c>
      <c r="CG245" s="89">
        <v>1686.364</v>
      </c>
      <c r="CH245" s="89"/>
      <c r="CI245" s="88">
        <v>98101.5</v>
      </c>
      <c r="CJ245" s="89">
        <v>33947.699999999997</v>
      </c>
      <c r="CK245" s="89">
        <v>20876.599999999999</v>
      </c>
      <c r="CL245" s="89">
        <v>13071.1</v>
      </c>
      <c r="CM245" s="89">
        <v>77341.600000000006</v>
      </c>
      <c r="CN245" s="89">
        <v>-13187.8</v>
      </c>
      <c r="CO245" s="88">
        <v>58720.7</v>
      </c>
      <c r="CP245" s="89">
        <v>-23264.5</v>
      </c>
      <c r="CQ245" s="89">
        <v>10064.799999999999</v>
      </c>
      <c r="CR245" s="89">
        <v>-33329.300000000003</v>
      </c>
      <c r="CS245" s="89">
        <v>95215.9</v>
      </c>
      <c r="CT245" s="89">
        <v>-13230.7</v>
      </c>
      <c r="CU245" s="88">
        <v>51003.147641555588</v>
      </c>
      <c r="CV245" s="89">
        <v>11314.28747660796</v>
      </c>
      <c r="CW245" s="89">
        <v>12722.364017042961</v>
      </c>
      <c r="CX245" s="89">
        <v>-1408.0765404350004</v>
      </c>
      <c r="CY245" s="89">
        <v>39688.860164947626</v>
      </c>
      <c r="CZ245" s="89"/>
      <c r="DA245" s="88">
        <v>97423.34846523132</v>
      </c>
      <c r="DB245" s="89">
        <v>3635.7724740481717</v>
      </c>
      <c r="DC245" s="89">
        <v>444.25348387321355</v>
      </c>
      <c r="DD245" s="89">
        <v>3191.0630527549583</v>
      </c>
      <c r="DE245" s="89">
        <v>142628.79611554526</v>
      </c>
      <c r="DF245" s="89">
        <v>-48840.76418694212</v>
      </c>
      <c r="DG245" s="88">
        <v>356167.94578999997</v>
      </c>
      <c r="DH245" s="89">
        <v>172453.89279000001</v>
      </c>
      <c r="DI245" s="89"/>
      <c r="DJ245" s="89"/>
      <c r="DK245" s="89">
        <v>203800.96599999999</v>
      </c>
      <c r="DL245" s="89">
        <v>-20086.913</v>
      </c>
      <c r="DM245" s="88">
        <v>5295771.1869784407</v>
      </c>
      <c r="DN245" s="89">
        <v>2491680.3119784398</v>
      </c>
      <c r="DO245" s="89">
        <v>2121994.0049784398</v>
      </c>
      <c r="DP245" s="89">
        <v>369686.30700000003</v>
      </c>
      <c r="DQ245" s="89">
        <v>2804090.875</v>
      </c>
      <c r="DR245" s="89"/>
      <c r="DS245" s="88">
        <v>65703.986093194122</v>
      </c>
      <c r="DT245" s="89">
        <v>41550.176335445998</v>
      </c>
      <c r="DU245" s="89">
        <v>40615.982448586001</v>
      </c>
      <c r="DV245" s="89">
        <v>934.19388686000002</v>
      </c>
      <c r="DW245" s="89">
        <v>47355.972799188341</v>
      </c>
      <c r="DX245" s="89">
        <v>-23202.163041440217</v>
      </c>
      <c r="DY245" s="88">
        <v>11988.937273</v>
      </c>
      <c r="DZ245" s="89">
        <f t="shared" si="15"/>
        <v>440.94466399999988</v>
      </c>
      <c r="EA245" s="89">
        <v>1684.020055</v>
      </c>
      <c r="EB245" s="89">
        <v>-1243.0753910000001</v>
      </c>
      <c r="EC245" s="89">
        <v>11547.992608999999</v>
      </c>
      <c r="ED245" s="89"/>
      <c r="EE245" s="88">
        <v>14075.517324049282</v>
      </c>
      <c r="EF245" s="89">
        <v>-1913.6659113799994</v>
      </c>
      <c r="EG245" s="89">
        <v>-1917.5300565299995</v>
      </c>
      <c r="EH245" s="89">
        <v>3.8641451500000001</v>
      </c>
      <c r="EI245" s="89">
        <v>21384.664818844001</v>
      </c>
      <c r="EJ245" s="89">
        <v>-5395.4815834147175</v>
      </c>
      <c r="EK245" s="88">
        <v>15358761.365987441</v>
      </c>
      <c r="EL245" s="89">
        <v>-5161375.2460778197</v>
      </c>
      <c r="EM245" s="89">
        <v>-3526200.7856635195</v>
      </c>
      <c r="EN245" s="89">
        <v>-1635174.4604143</v>
      </c>
      <c r="EO245" s="89">
        <v>21049278.757426061</v>
      </c>
      <c r="EP245" s="89">
        <v>-529142.14536080009</v>
      </c>
      <c r="EQ245" s="88">
        <v>78678.873394799986</v>
      </c>
      <c r="ER245" s="89">
        <v>-16141.12631485</v>
      </c>
      <c r="ES245" s="89"/>
      <c r="ET245" s="89"/>
      <c r="EU245" s="89">
        <v>138587.27003359998</v>
      </c>
      <c r="EV245" s="89">
        <v>-43767.270323949997</v>
      </c>
      <c r="EW245" s="88">
        <v>669224.0961118876</v>
      </c>
      <c r="EX245" s="89">
        <f t="shared" si="17"/>
        <v>362969.48045182996</v>
      </c>
      <c r="EY245" s="89">
        <v>351571.30307464994</v>
      </c>
      <c r="EZ245" s="89">
        <v>11398.177377180002</v>
      </c>
      <c r="FA245" s="89">
        <v>380339.58497930004</v>
      </c>
      <c r="FB245" s="89">
        <v>-74084.969319242344</v>
      </c>
      <c r="FC245" s="88">
        <v>1679.505721</v>
      </c>
      <c r="FD245" s="89">
        <v>381.11672099999993</v>
      </c>
      <c r="FE245" s="89">
        <v>766.3540109999999</v>
      </c>
      <c r="FF245" s="89">
        <v>-385.23728999999997</v>
      </c>
      <c r="FG245" s="89">
        <v>1298.3889999999999</v>
      </c>
      <c r="FH245" s="89"/>
      <c r="FI245" s="88">
        <v>1050.097753</v>
      </c>
      <c r="FJ245" s="89">
        <v>104.64775300000002</v>
      </c>
      <c r="FK245" s="89">
        <v>148.57308500000002</v>
      </c>
      <c r="FL245" s="89">
        <v>-43.925332000000004</v>
      </c>
      <c r="FM245" s="89">
        <v>945.45</v>
      </c>
      <c r="FN245" s="89"/>
      <c r="FO245" s="88">
        <v>3470.4660950000002</v>
      </c>
      <c r="FP245" s="89">
        <v>-273.82390500000002</v>
      </c>
      <c r="FQ245" s="89">
        <v>62.871971999999978</v>
      </c>
      <c r="FR245" s="89">
        <v>-336.695877</v>
      </c>
      <c r="FS245" s="89">
        <v>3744.29</v>
      </c>
      <c r="FT245" s="89"/>
      <c r="FU245" s="88">
        <v>2894.2000000000003</v>
      </c>
      <c r="FV245" s="89">
        <v>203.89999999999998</v>
      </c>
      <c r="FW245" s="89">
        <v>156.69999999999999</v>
      </c>
      <c r="FX245" s="89">
        <v>47.2</v>
      </c>
      <c r="FY245" s="89">
        <v>2638.8</v>
      </c>
      <c r="FZ245" s="89">
        <v>51.5</v>
      </c>
      <c r="GA245" s="88">
        <v>31515.5</v>
      </c>
      <c r="GB245" s="89">
        <v>-9254.1999999999989</v>
      </c>
      <c r="GC245" s="89">
        <v>-16703.3</v>
      </c>
      <c r="GD245" s="89">
        <v>7449.1</v>
      </c>
      <c r="GE245" s="89">
        <v>40769.599999999999</v>
      </c>
      <c r="GF245" s="89"/>
      <c r="GG245" s="88">
        <v>102260.22959451203</v>
      </c>
      <c r="GH245" s="89">
        <v>50213.344450575707</v>
      </c>
      <c r="GI245" s="89">
        <v>46640.516700014414</v>
      </c>
      <c r="GJ245" s="89">
        <v>3572.8277505613005</v>
      </c>
      <c r="GK245" s="89">
        <v>146255.19908645001</v>
      </c>
      <c r="GL245" s="89">
        <v>-94208.313942513676</v>
      </c>
      <c r="GM245" s="88">
        <v>232738.63815523006</v>
      </c>
      <c r="GN245" s="89">
        <v>43660.481964650004</v>
      </c>
      <c r="GO245" s="89">
        <v>41138.003669680002</v>
      </c>
      <c r="GP245" s="89">
        <v>2522.4782949700002</v>
      </c>
      <c r="GQ245" s="89">
        <v>157636.52730772999</v>
      </c>
      <c r="GR245" s="89">
        <v>31441.629082850002</v>
      </c>
    </row>
    <row r="246" spans="1:200">
      <c r="A246" s="69"/>
      <c r="B246" s="93" t="s">
        <v>491</v>
      </c>
      <c r="C246" s="88">
        <v>3002.7772829999999</v>
      </c>
      <c r="D246" s="87">
        <v>490.86228299999988</v>
      </c>
      <c r="E246" s="87">
        <v>595.59698899999989</v>
      </c>
      <c r="F246" s="87">
        <v>-104.734706</v>
      </c>
      <c r="G246" s="87">
        <v>2511.915</v>
      </c>
      <c r="H246" s="87"/>
      <c r="I246" s="88">
        <v>228758.17683947997</v>
      </c>
      <c r="J246" s="89">
        <v>252042.15899940001</v>
      </c>
      <c r="K246" s="89"/>
      <c r="L246" s="89"/>
      <c r="M246" s="89">
        <v>159801.378</v>
      </c>
      <c r="N246" s="89">
        <v>-183085.36015992003</v>
      </c>
      <c r="O246" s="88">
        <v>8118.4</v>
      </c>
      <c r="P246" s="89">
        <v>1569.6999999999998</v>
      </c>
      <c r="Q246" s="89">
        <v>1131.3</v>
      </c>
      <c r="R246" s="89">
        <v>438.4</v>
      </c>
      <c r="S246" s="89">
        <v>6548.7</v>
      </c>
      <c r="T246" s="89"/>
      <c r="U246" s="88">
        <v>6894.6066600000004</v>
      </c>
      <c r="V246" s="89">
        <v>1285.3987200000001</v>
      </c>
      <c r="W246" s="89">
        <v>763.34099000000003</v>
      </c>
      <c r="X246" s="89">
        <v>528.75124000000005</v>
      </c>
      <c r="Y246" s="89">
        <v>5609.2079400000002</v>
      </c>
      <c r="Z246" s="89"/>
      <c r="AA246" s="88">
        <v>1960.607</v>
      </c>
      <c r="AB246" s="89">
        <v>235.02599999999998</v>
      </c>
      <c r="AC246" s="89">
        <v>228.96799999999999</v>
      </c>
      <c r="AD246" s="89">
        <v>6.0579999999999998</v>
      </c>
      <c r="AE246" s="89">
        <v>1725.5809999999999</v>
      </c>
      <c r="AF246" s="89"/>
      <c r="AG246" s="88">
        <v>53191.346691222396</v>
      </c>
      <c r="AH246" s="89">
        <v>11507.572815764397</v>
      </c>
      <c r="AI246" s="89">
        <v>11507.572815764397</v>
      </c>
      <c r="AJ246" s="89"/>
      <c r="AK246" s="89">
        <v>41683.773875457999</v>
      </c>
      <c r="AL246" s="89"/>
      <c r="AM246" s="88">
        <v>3183602</v>
      </c>
      <c r="AN246" s="89">
        <v>1269511</v>
      </c>
      <c r="AO246" s="89">
        <v>1214157</v>
      </c>
      <c r="AP246" s="89">
        <v>55354</v>
      </c>
      <c r="AQ246" s="89">
        <v>1641779</v>
      </c>
      <c r="AR246" s="89">
        <v>272312</v>
      </c>
      <c r="AS246" s="88">
        <v>58599000</v>
      </c>
      <c r="AT246" s="89">
        <v>-1599673.946</v>
      </c>
      <c r="AU246" s="89">
        <v>-1599673.946</v>
      </c>
      <c r="AV246" s="89"/>
      <c r="AW246" s="89">
        <v>69436933.109999999</v>
      </c>
      <c r="AX246" s="89">
        <v>-9238657.5659999996</v>
      </c>
      <c r="AY246" s="88">
        <v>199093371.37838802</v>
      </c>
      <c r="AZ246" s="89">
        <f t="shared" si="16"/>
        <v>45875227.792094707</v>
      </c>
      <c r="BA246" s="89">
        <v>35906783.305429384</v>
      </c>
      <c r="BB246" s="89">
        <v>9968444.4866653197</v>
      </c>
      <c r="BC246" s="89">
        <v>153218143.58629334</v>
      </c>
      <c r="BD246" s="89"/>
      <c r="BE246" s="88">
        <v>8131156.4031677702</v>
      </c>
      <c r="BF246" s="89">
        <v>666928.44991524005</v>
      </c>
      <c r="BG246" s="89">
        <v>599048.02738999005</v>
      </c>
      <c r="BH246" s="89">
        <v>67880.422525250004</v>
      </c>
      <c r="BI246" s="89">
        <v>8016284.2801361606</v>
      </c>
      <c r="BJ246" s="89">
        <v>-552056.32688363001</v>
      </c>
      <c r="BK246" s="88">
        <v>518.91853999999989</v>
      </c>
      <c r="BL246" s="89">
        <v>-142.62446</v>
      </c>
      <c r="BM246" s="89">
        <v>-52.209001000000001</v>
      </c>
      <c r="BN246" s="89">
        <v>-90.415458999999998</v>
      </c>
      <c r="BO246" s="89">
        <v>661.54300000000001</v>
      </c>
      <c r="BP246" s="89"/>
      <c r="BQ246" s="88">
        <v>10996.825669000002</v>
      </c>
      <c r="BR246" s="89">
        <v>-3766.2064529999998</v>
      </c>
      <c r="BS246" s="89">
        <v>-1871.2334979999996</v>
      </c>
      <c r="BT246" s="89">
        <v>-1894.9729550000002</v>
      </c>
      <c r="BU246" s="89">
        <v>14763.032122000001</v>
      </c>
      <c r="BV246" s="89"/>
      <c r="BW246" s="88">
        <v>11936.431288350093</v>
      </c>
      <c r="BX246" s="89">
        <v>4761.9255272400897</v>
      </c>
      <c r="BY246" s="89">
        <v>4614.2717376000892</v>
      </c>
      <c r="BZ246" s="89">
        <v>147.65378964000001</v>
      </c>
      <c r="CA246" s="89">
        <v>8637.9560076243943</v>
      </c>
      <c r="CB246" s="89">
        <v>-1463.4502465143923</v>
      </c>
      <c r="CC246" s="88">
        <v>1688.959728</v>
      </c>
      <c r="CD246" s="89">
        <v>1.741728000000009</v>
      </c>
      <c r="CE246" s="89">
        <v>127.80201500000001</v>
      </c>
      <c r="CF246" s="89">
        <v>-126.060287</v>
      </c>
      <c r="CG246" s="89">
        <v>1687.2180000000001</v>
      </c>
      <c r="CH246" s="89"/>
      <c r="CI246" s="88">
        <v>100060.7</v>
      </c>
      <c r="CJ246" s="89">
        <v>35554.9</v>
      </c>
      <c r="CK246" s="89">
        <v>22398.2</v>
      </c>
      <c r="CL246" s="89">
        <v>13156.7</v>
      </c>
      <c r="CM246" s="89">
        <v>76425.100000000006</v>
      </c>
      <c r="CN246" s="89">
        <v>-11919.4</v>
      </c>
      <c r="CO246" s="88">
        <v>54730</v>
      </c>
      <c r="CP246" s="89">
        <v>-27435.9</v>
      </c>
      <c r="CQ246" s="89">
        <v>4153</v>
      </c>
      <c r="CR246" s="89">
        <v>-31588.9</v>
      </c>
      <c r="CS246" s="89">
        <v>96595.4</v>
      </c>
      <c r="CT246" s="89">
        <v>-14429.5</v>
      </c>
      <c r="CU246" s="88">
        <v>50471.59256007582</v>
      </c>
      <c r="CV246" s="89">
        <v>11204.719448738035</v>
      </c>
      <c r="CW246" s="89">
        <v>12535.121074774399</v>
      </c>
      <c r="CX246" s="89">
        <v>-1330.4016260363646</v>
      </c>
      <c r="CY246" s="89">
        <v>39266.873111337787</v>
      </c>
      <c r="CZ246" s="89"/>
      <c r="DA246" s="88">
        <v>98942.707669422205</v>
      </c>
      <c r="DB246" s="89">
        <v>5422.1538495382902</v>
      </c>
      <c r="DC246" s="89">
        <v>2310.6348601051759</v>
      </c>
      <c r="DD246" s="89">
        <v>3111.3282058531126</v>
      </c>
      <c r="DE246" s="89">
        <v>142775.98368490732</v>
      </c>
      <c r="DF246" s="89">
        <v>-49255.239081443397</v>
      </c>
      <c r="DG246" s="88">
        <v>329977.01098000002</v>
      </c>
      <c r="DH246" s="89">
        <v>138151.62398000003</v>
      </c>
      <c r="DI246" s="89"/>
      <c r="DJ246" s="89"/>
      <c r="DK246" s="89">
        <v>206544.39</v>
      </c>
      <c r="DL246" s="89">
        <v>-14719.003000000001</v>
      </c>
      <c r="DM246" s="88">
        <v>5361576.3878115993</v>
      </c>
      <c r="DN246" s="89">
        <v>2494069.0168116</v>
      </c>
      <c r="DO246" s="89">
        <v>2123617.0478115999</v>
      </c>
      <c r="DP246" s="89">
        <v>370451.96899999998</v>
      </c>
      <c r="DQ246" s="89">
        <v>2867507.3709999998</v>
      </c>
      <c r="DR246" s="89"/>
      <c r="DS246" s="88">
        <v>65805.117613765382</v>
      </c>
      <c r="DT246" s="89">
        <v>42322.97964202016</v>
      </c>
      <c r="DU246" s="89">
        <v>41747.061926750161</v>
      </c>
      <c r="DV246" s="89">
        <v>575.91771527000003</v>
      </c>
      <c r="DW246" s="89">
        <v>46702.336943801063</v>
      </c>
      <c r="DX246" s="89">
        <v>-23220.198972055841</v>
      </c>
      <c r="DY246" s="88">
        <v>11911.509180999999</v>
      </c>
      <c r="DZ246" s="89">
        <f t="shared" si="15"/>
        <v>354.99606500000004</v>
      </c>
      <c r="EA246" s="89">
        <v>1581.806949</v>
      </c>
      <c r="EB246" s="89">
        <v>-1226.810884</v>
      </c>
      <c r="EC246" s="89">
        <v>11556.513116</v>
      </c>
      <c r="ED246" s="89"/>
      <c r="EE246" s="88">
        <v>14249.969238999442</v>
      </c>
      <c r="EF246" s="89">
        <v>-1855.2213037399999</v>
      </c>
      <c r="EG246" s="89">
        <v>-1858.52195433</v>
      </c>
      <c r="EH246" s="89">
        <v>3.3006505900000001</v>
      </c>
      <c r="EI246" s="89">
        <v>21548.920354740003</v>
      </c>
      <c r="EJ246" s="89">
        <v>-5443.7298120005607</v>
      </c>
      <c r="EK246" s="88">
        <v>15754277.430105681</v>
      </c>
      <c r="EL246" s="89">
        <v>-5286041.5998272002</v>
      </c>
      <c r="EM246" s="89">
        <v>-3424594.3274722905</v>
      </c>
      <c r="EN246" s="89">
        <v>-1861447.2723549099</v>
      </c>
      <c r="EO246" s="89">
        <v>21568982.671344481</v>
      </c>
      <c r="EP246" s="89">
        <v>-528663.64141160005</v>
      </c>
      <c r="EQ246" s="88">
        <v>81883.12739472001</v>
      </c>
      <c r="ER246" s="89">
        <v>-17436.452699200003</v>
      </c>
      <c r="ES246" s="89"/>
      <c r="ET246" s="89"/>
      <c r="EU246" s="89">
        <v>141340.73237267998</v>
      </c>
      <c r="EV246" s="89">
        <v>-42021.152278759968</v>
      </c>
      <c r="EW246" s="88">
        <v>694053.59164235939</v>
      </c>
      <c r="EX246" s="89">
        <f t="shared" si="17"/>
        <v>378225.88740162994</v>
      </c>
      <c r="EY246" s="89">
        <v>366222.47999280994</v>
      </c>
      <c r="EZ246" s="89">
        <v>12003.40740882</v>
      </c>
      <c r="FA246" s="89">
        <v>385651.76379846002</v>
      </c>
      <c r="FB246" s="89">
        <v>-69824.05955773055</v>
      </c>
      <c r="FC246" s="88">
        <v>1675.7504929999998</v>
      </c>
      <c r="FD246" s="89">
        <v>386.75449300000002</v>
      </c>
      <c r="FE246" s="89">
        <v>777.09078299999999</v>
      </c>
      <c r="FF246" s="89">
        <v>-390.33628999999996</v>
      </c>
      <c r="FG246" s="89">
        <v>1288.9960000000001</v>
      </c>
      <c r="FH246" s="89"/>
      <c r="FI246" s="88">
        <v>1067.46613</v>
      </c>
      <c r="FJ246" s="89">
        <v>123.29512999999999</v>
      </c>
      <c r="FK246" s="89">
        <v>162.22895499999998</v>
      </c>
      <c r="FL246" s="89">
        <v>-38.933824999999999</v>
      </c>
      <c r="FM246" s="89">
        <v>944.17100000000005</v>
      </c>
      <c r="FN246" s="89"/>
      <c r="FO246" s="88">
        <v>3393.536619</v>
      </c>
      <c r="FP246" s="89">
        <v>-336.36738100000002</v>
      </c>
      <c r="FQ246" s="89">
        <v>-30.404504000000017</v>
      </c>
      <c r="FR246" s="89">
        <v>-305.96287699999999</v>
      </c>
      <c r="FS246" s="89">
        <v>3729.904</v>
      </c>
      <c r="FT246" s="89"/>
      <c r="FU246" s="88">
        <v>2980.2</v>
      </c>
      <c r="FV246" s="89">
        <v>268.10000000000002</v>
      </c>
      <c r="FW246" s="89">
        <v>221</v>
      </c>
      <c r="FX246" s="89">
        <v>47.1</v>
      </c>
      <c r="FY246" s="89">
        <v>2662.1</v>
      </c>
      <c r="FZ246" s="89">
        <v>50</v>
      </c>
      <c r="GA246" s="88">
        <v>30782</v>
      </c>
      <c r="GB246" s="89">
        <v>-9772.6</v>
      </c>
      <c r="GC246" s="89">
        <v>-17522.5</v>
      </c>
      <c r="GD246" s="89">
        <v>7749.9</v>
      </c>
      <c r="GE246" s="89">
        <v>40554.6</v>
      </c>
      <c r="GF246" s="89"/>
      <c r="GG246" s="88">
        <v>106370.08231841352</v>
      </c>
      <c r="GH246" s="89">
        <v>56951.522170181677</v>
      </c>
      <c r="GI246" s="89">
        <v>55023.375579262356</v>
      </c>
      <c r="GJ246" s="89">
        <v>1928.1465909193189</v>
      </c>
      <c r="GK246" s="89">
        <v>146402.60480623192</v>
      </c>
      <c r="GL246" s="89">
        <v>-96984.044658000072</v>
      </c>
      <c r="GM246" s="88">
        <v>235602.02632326001</v>
      </c>
      <c r="GN246" s="89">
        <v>48571.328721179991</v>
      </c>
      <c r="GO246" s="89">
        <v>44986.699470249994</v>
      </c>
      <c r="GP246" s="89">
        <v>3584.6292509299997</v>
      </c>
      <c r="GQ246" s="89">
        <v>156930.44039326001</v>
      </c>
      <c r="GR246" s="89">
        <v>30100.25720882</v>
      </c>
    </row>
    <row r="247" spans="1:200">
      <c r="A247" s="69"/>
      <c r="B247" s="93" t="s">
        <v>492</v>
      </c>
      <c r="C247" s="88">
        <v>3043.376475</v>
      </c>
      <c r="D247" s="87">
        <v>509.80947499999996</v>
      </c>
      <c r="E247" s="87">
        <v>613.30017899999996</v>
      </c>
      <c r="F247" s="87">
        <v>-103.49070399999999</v>
      </c>
      <c r="G247" s="87">
        <v>2533.567</v>
      </c>
      <c r="H247" s="87"/>
      <c r="I247" s="88">
        <v>238449.27399999998</v>
      </c>
      <c r="J247" s="89">
        <v>263703.39068059</v>
      </c>
      <c r="K247" s="89"/>
      <c r="L247" s="89"/>
      <c r="M247" s="89">
        <v>165266.94899999999</v>
      </c>
      <c r="N247" s="89">
        <v>-190521.06568058999</v>
      </c>
      <c r="O247" s="88">
        <v>8162.5</v>
      </c>
      <c r="P247" s="89">
        <v>1609.8000000000002</v>
      </c>
      <c r="Q247" s="89">
        <v>1169.9000000000001</v>
      </c>
      <c r="R247" s="89">
        <v>439.9</v>
      </c>
      <c r="S247" s="89">
        <v>6552.7</v>
      </c>
      <c r="T247" s="89"/>
      <c r="U247" s="88">
        <v>7019.0391699999991</v>
      </c>
      <c r="V247" s="89">
        <v>1396.5341699999999</v>
      </c>
      <c r="W247" s="89">
        <v>848.47668999999996</v>
      </c>
      <c r="X247" s="89">
        <v>554.44547</v>
      </c>
      <c r="Y247" s="89">
        <v>5622.5049999999992</v>
      </c>
      <c r="Z247" s="89"/>
      <c r="AA247" s="88">
        <v>1938.0809999999999</v>
      </c>
      <c r="AB247" s="89">
        <v>210.065</v>
      </c>
      <c r="AC247" s="89">
        <v>205.03200000000001</v>
      </c>
      <c r="AD247" s="89">
        <v>5.0330000000000004</v>
      </c>
      <c r="AE247" s="89">
        <v>1728.0160000000001</v>
      </c>
      <c r="AF247" s="89"/>
      <c r="AG247" s="88">
        <v>54195.814422488183</v>
      </c>
      <c r="AH247" s="89">
        <v>11560.77778531078</v>
      </c>
      <c r="AI247" s="89">
        <v>11560.77778531078</v>
      </c>
      <c r="AJ247" s="89"/>
      <c r="AK247" s="89">
        <v>42635.0366371774</v>
      </c>
      <c r="AL247" s="89"/>
      <c r="AM247" s="88">
        <v>3222298</v>
      </c>
      <c r="AN247" s="89">
        <v>1268770</v>
      </c>
      <c r="AO247" s="89">
        <v>1215589</v>
      </c>
      <c r="AP247" s="89">
        <v>53181</v>
      </c>
      <c r="AQ247" s="89">
        <v>1670307</v>
      </c>
      <c r="AR247" s="89">
        <v>283220</v>
      </c>
      <c r="AS247" s="88">
        <v>60255000</v>
      </c>
      <c r="AT247" s="89">
        <v>-1482661.7949999999</v>
      </c>
      <c r="AU247" s="89">
        <v>-1482661.7949999999</v>
      </c>
      <c r="AV247" s="89"/>
      <c r="AW247" s="89">
        <v>70046092.040000007</v>
      </c>
      <c r="AX247" s="89">
        <v>-8308510.5019999994</v>
      </c>
      <c r="AY247" s="88">
        <v>199880196.62372893</v>
      </c>
      <c r="AZ247" s="89">
        <f t="shared" si="16"/>
        <v>46456220.27198717</v>
      </c>
      <c r="BA247" s="89">
        <v>36364275.881667711</v>
      </c>
      <c r="BB247" s="89">
        <v>10091944.390319459</v>
      </c>
      <c r="BC247" s="89">
        <v>153423976.35174176</v>
      </c>
      <c r="BD247" s="89"/>
      <c r="BE247" s="88">
        <v>8074148.2202428197</v>
      </c>
      <c r="BF247" s="89">
        <v>620961.64946305996</v>
      </c>
      <c r="BG247" s="89">
        <v>555466.2110908</v>
      </c>
      <c r="BH247" s="89">
        <v>65495.438372260003</v>
      </c>
      <c r="BI247" s="89">
        <v>7961967.9451214708</v>
      </c>
      <c r="BJ247" s="89">
        <v>-508781.37434171</v>
      </c>
      <c r="BK247" s="88">
        <v>506.0149110000001</v>
      </c>
      <c r="BL247" s="89">
        <v>-161.20908900000001</v>
      </c>
      <c r="BM247" s="89">
        <v>-66.696466999999984</v>
      </c>
      <c r="BN247" s="89">
        <v>-94.512622000000007</v>
      </c>
      <c r="BO247" s="89">
        <v>667.22400000000005</v>
      </c>
      <c r="BP247" s="89"/>
      <c r="BQ247" s="88">
        <v>11168.912472999998</v>
      </c>
      <c r="BR247" s="89">
        <v>-3991.3655330000001</v>
      </c>
      <c r="BS247" s="89">
        <v>-2155.5248539999998</v>
      </c>
      <c r="BT247" s="89">
        <v>-1835.8406790000001</v>
      </c>
      <c r="BU247" s="89">
        <v>15160.278005999999</v>
      </c>
      <c r="BV247" s="89"/>
      <c r="BW247" s="88">
        <v>11644.044981594092</v>
      </c>
      <c r="BX247" s="89">
        <v>4607.9200602340907</v>
      </c>
      <c r="BY247" s="89">
        <v>4452.2167143840907</v>
      </c>
      <c r="BZ247" s="89">
        <v>155.70334585000001</v>
      </c>
      <c r="CA247" s="89">
        <v>8629.7117658501338</v>
      </c>
      <c r="CB247" s="89">
        <v>-1419.3745070401328</v>
      </c>
      <c r="CC247" s="88">
        <v>1655.3375169999999</v>
      </c>
      <c r="CD247" s="89">
        <v>-37.910483000000013</v>
      </c>
      <c r="CE247" s="89">
        <v>116.92480400000001</v>
      </c>
      <c r="CF247" s="89">
        <v>-154.83528700000002</v>
      </c>
      <c r="CG247" s="89">
        <v>1693.248</v>
      </c>
      <c r="CH247" s="89"/>
      <c r="CI247" s="88">
        <v>98429.8</v>
      </c>
      <c r="CJ247" s="89">
        <v>34157.300000000003</v>
      </c>
      <c r="CK247" s="89">
        <v>20916.7</v>
      </c>
      <c r="CL247" s="89">
        <v>13240.599999999999</v>
      </c>
      <c r="CM247" s="89">
        <v>76029.100000000006</v>
      </c>
      <c r="CN247" s="89">
        <v>-11756.6</v>
      </c>
      <c r="CO247" s="88">
        <v>48715.6</v>
      </c>
      <c r="CP247" s="89">
        <v>-34470.300000000003</v>
      </c>
      <c r="CQ247" s="89">
        <v>-1416.3</v>
      </c>
      <c r="CR247" s="89">
        <v>-33054</v>
      </c>
      <c r="CS247" s="89">
        <v>98238.8</v>
      </c>
      <c r="CT247" s="89">
        <v>-15052.9</v>
      </c>
      <c r="CU247" s="88">
        <v>49463.144390729176</v>
      </c>
      <c r="CV247" s="89">
        <v>10508.030752430112</v>
      </c>
      <c r="CW247" s="89">
        <v>11802.290331113891</v>
      </c>
      <c r="CX247" s="89">
        <v>-1294.2595786837796</v>
      </c>
      <c r="CY247" s="89">
        <v>38955.113638299066</v>
      </c>
      <c r="CZ247" s="89"/>
      <c r="DA247" s="88">
        <v>95089.837917684272</v>
      </c>
      <c r="DB247" s="89">
        <v>1720.9400675244037</v>
      </c>
      <c r="DC247" s="89">
        <v>-1511.167527491798</v>
      </c>
      <c r="DD247" s="89">
        <v>3231.9003417661993</v>
      </c>
      <c r="DE247" s="89">
        <v>143130.18099388253</v>
      </c>
      <c r="DF247" s="89">
        <v>-49761.075890472697</v>
      </c>
      <c r="DG247" s="88">
        <v>332651.87688295328</v>
      </c>
      <c r="DH247" s="89">
        <v>144866.5048829533</v>
      </c>
      <c r="DI247" s="89"/>
      <c r="DJ247" s="89"/>
      <c r="DK247" s="89">
        <v>205680.49600000001</v>
      </c>
      <c r="DL247" s="89">
        <v>-17895.124</v>
      </c>
      <c r="DM247" s="88">
        <v>5317427.4287314098</v>
      </c>
      <c r="DN247" s="89">
        <v>2441680.5367314098</v>
      </c>
      <c r="DO247" s="89">
        <v>2073692.4107314099</v>
      </c>
      <c r="DP247" s="89">
        <v>367988.12599999999</v>
      </c>
      <c r="DQ247" s="89">
        <v>2875746.892</v>
      </c>
      <c r="DR247" s="89"/>
      <c r="DS247" s="88">
        <v>64740.717793233634</v>
      </c>
      <c r="DT247" s="89">
        <v>42047.881280364782</v>
      </c>
      <c r="DU247" s="89">
        <v>41472.498684004779</v>
      </c>
      <c r="DV247" s="89">
        <v>575.38259635999998</v>
      </c>
      <c r="DW247" s="89">
        <v>46339.309548322752</v>
      </c>
      <c r="DX247" s="89">
        <v>-23646.473035453906</v>
      </c>
      <c r="DY247" s="88">
        <v>11859.568545</v>
      </c>
      <c r="DZ247" s="89">
        <f t="shared" si="15"/>
        <v>301.80059200000005</v>
      </c>
      <c r="EA247" s="89">
        <v>1600.197639</v>
      </c>
      <c r="EB247" s="89">
        <v>-1298.3970469999999</v>
      </c>
      <c r="EC247" s="89">
        <v>11557.767953</v>
      </c>
      <c r="ED247" s="89"/>
      <c r="EE247" s="88">
        <v>14525.347819516555</v>
      </c>
      <c r="EF247" s="89">
        <v>-1540.50931653</v>
      </c>
      <c r="EG247" s="89">
        <v>-1544.0001029</v>
      </c>
      <c r="EH247" s="89">
        <v>3.4907863700000004</v>
      </c>
      <c r="EI247" s="89">
        <v>21762.289814899999</v>
      </c>
      <c r="EJ247" s="89">
        <v>-5696.4326788534408</v>
      </c>
      <c r="EK247" s="88">
        <v>15465532.788665637</v>
      </c>
      <c r="EL247" s="89">
        <v>-6069932.6987798102</v>
      </c>
      <c r="EM247" s="89">
        <v>-3864228.0108844498</v>
      </c>
      <c r="EN247" s="89">
        <v>-2205704.6878953599</v>
      </c>
      <c r="EO247" s="89">
        <v>22041487.246480688</v>
      </c>
      <c r="EP247" s="89">
        <v>-506021.75903523993</v>
      </c>
      <c r="EQ247" s="88">
        <v>84317.966908649993</v>
      </c>
      <c r="ER247" s="89">
        <v>-18749.5296911</v>
      </c>
      <c r="ES247" s="89"/>
      <c r="ET247" s="89"/>
      <c r="EU247" s="89">
        <v>145073.9767575</v>
      </c>
      <c r="EV247" s="89">
        <v>-42006.480157750004</v>
      </c>
      <c r="EW247" s="88">
        <v>690922.51126446389</v>
      </c>
      <c r="EX247" s="89">
        <f t="shared" si="17"/>
        <v>381410.06265409995</v>
      </c>
      <c r="EY247" s="89">
        <v>369660.12510989996</v>
      </c>
      <c r="EZ247" s="89">
        <v>11749.9375442</v>
      </c>
      <c r="FA247" s="89">
        <v>389253.06292220997</v>
      </c>
      <c r="FB247" s="89">
        <v>-79740.614311845915</v>
      </c>
      <c r="FC247" s="88">
        <v>1706.5003909999998</v>
      </c>
      <c r="FD247" s="89">
        <v>413.72739100000001</v>
      </c>
      <c r="FE247" s="89">
        <v>806.59168099999999</v>
      </c>
      <c r="FF247" s="89">
        <v>-392.86428999999998</v>
      </c>
      <c r="FG247" s="89">
        <v>1292.7729999999999</v>
      </c>
      <c r="FH247" s="89"/>
      <c r="FI247" s="88">
        <v>1024.6399260000001</v>
      </c>
      <c r="FJ247" s="89">
        <v>58.749926000000016</v>
      </c>
      <c r="FK247" s="89">
        <v>136.32575200000002</v>
      </c>
      <c r="FL247" s="89">
        <v>-77.575826000000006</v>
      </c>
      <c r="FM247" s="89">
        <v>965.89</v>
      </c>
      <c r="FN247" s="89"/>
      <c r="FO247" s="88">
        <v>3417.1944589999998</v>
      </c>
      <c r="FP247" s="89">
        <v>-313.500541</v>
      </c>
      <c r="FQ247" s="89">
        <v>-3.3866630000000004</v>
      </c>
      <c r="FR247" s="89">
        <v>-310.113878</v>
      </c>
      <c r="FS247" s="89">
        <v>3730.6950000000002</v>
      </c>
      <c r="FT247" s="89"/>
      <c r="FU247" s="88">
        <v>2991.4</v>
      </c>
      <c r="FV247" s="89">
        <v>251</v>
      </c>
      <c r="FW247" s="89">
        <v>203.3</v>
      </c>
      <c r="FX247" s="89">
        <v>47.7</v>
      </c>
      <c r="FY247" s="89">
        <v>2688.1</v>
      </c>
      <c r="FZ247" s="89">
        <v>52.3</v>
      </c>
      <c r="GA247" s="88">
        <v>28714.400000000001</v>
      </c>
      <c r="GB247" s="89">
        <v>-11754.399999999998</v>
      </c>
      <c r="GC247" s="89">
        <v>-19576.599999999999</v>
      </c>
      <c r="GD247" s="89">
        <v>7822.2</v>
      </c>
      <c r="GE247" s="89">
        <v>40468.800000000003</v>
      </c>
      <c r="GF247" s="89"/>
      <c r="GG247" s="88">
        <v>98670.56605720146</v>
      </c>
      <c r="GH247" s="89">
        <v>48471.667311803991</v>
      </c>
      <c r="GI247" s="89">
        <v>46368.416635059999</v>
      </c>
      <c r="GJ247" s="89">
        <v>2103.2506767439986</v>
      </c>
      <c r="GK247" s="89">
        <v>147475.55562368603</v>
      </c>
      <c r="GL247" s="89">
        <v>-97276.656878288544</v>
      </c>
      <c r="GM247" s="88">
        <v>239914.81170036999</v>
      </c>
      <c r="GN247" s="89">
        <v>48454.79910787</v>
      </c>
      <c r="GO247" s="89">
        <v>45045.679485460001</v>
      </c>
      <c r="GP247" s="89">
        <v>3409.1196224100004</v>
      </c>
      <c r="GQ247" s="89">
        <v>164374.28136874997</v>
      </c>
      <c r="GR247" s="89">
        <v>27085.731223750001</v>
      </c>
    </row>
    <row r="248" spans="1:200">
      <c r="A248" s="69"/>
      <c r="B248" s="93" t="s">
        <v>493</v>
      </c>
      <c r="C248" s="88">
        <v>3075.2002239999997</v>
      </c>
      <c r="D248" s="87">
        <v>538.47922399999993</v>
      </c>
      <c r="E248" s="87">
        <v>617.98892799999999</v>
      </c>
      <c r="F248" s="87">
        <v>-79.509703999999999</v>
      </c>
      <c r="G248" s="87">
        <v>2536.721</v>
      </c>
      <c r="H248" s="87"/>
      <c r="I248" s="88">
        <v>248505.36800000002</v>
      </c>
      <c r="J248" s="89">
        <v>273872.33708556002</v>
      </c>
      <c r="K248" s="89"/>
      <c r="L248" s="89"/>
      <c r="M248" s="89">
        <v>170032.44399999999</v>
      </c>
      <c r="N248" s="89">
        <v>-191399.41308555997</v>
      </c>
      <c r="O248" s="88">
        <v>8159.8</v>
      </c>
      <c r="P248" s="89">
        <v>1647</v>
      </c>
      <c r="Q248" s="89">
        <v>1209.5999999999999</v>
      </c>
      <c r="R248" s="89">
        <v>437.4</v>
      </c>
      <c r="S248" s="89">
        <v>6512.8</v>
      </c>
      <c r="T248" s="89"/>
      <c r="U248" s="88">
        <v>6947.5930799999996</v>
      </c>
      <c r="V248" s="89">
        <v>1414.08708</v>
      </c>
      <c r="W248" s="89">
        <v>848.30909999999994</v>
      </c>
      <c r="X248" s="89">
        <v>572.26747</v>
      </c>
      <c r="Y248" s="89">
        <v>5533.5059999999994</v>
      </c>
      <c r="Z248" s="89"/>
      <c r="AA248" s="88">
        <v>1936.559</v>
      </c>
      <c r="AB248" s="89">
        <v>207.078</v>
      </c>
      <c r="AC248" s="89">
        <v>201.905</v>
      </c>
      <c r="AD248" s="89">
        <v>5.173</v>
      </c>
      <c r="AE248" s="89">
        <v>1729.481</v>
      </c>
      <c r="AF248" s="89"/>
      <c r="AG248" s="88">
        <v>54946.842096109162</v>
      </c>
      <c r="AH248" s="89">
        <v>11523.163281341695</v>
      </c>
      <c r="AI248" s="89">
        <v>11523.163281341695</v>
      </c>
      <c r="AJ248" s="89"/>
      <c r="AK248" s="89">
        <v>43423.678814767467</v>
      </c>
      <c r="AL248" s="89"/>
      <c r="AM248" s="88">
        <v>3270020</v>
      </c>
      <c r="AN248" s="89">
        <v>1271173</v>
      </c>
      <c r="AO248" s="89">
        <v>1215708</v>
      </c>
      <c r="AP248" s="89">
        <v>55465</v>
      </c>
      <c r="AQ248" s="89">
        <v>1708867</v>
      </c>
      <c r="AR248" s="89">
        <v>289979</v>
      </c>
      <c r="AS248" s="88">
        <v>59538000</v>
      </c>
      <c r="AT248" s="89">
        <v>-1768938.327</v>
      </c>
      <c r="AU248" s="89">
        <v>-1768938.327</v>
      </c>
      <c r="AV248" s="89"/>
      <c r="AW248" s="89">
        <v>70869055.719999999</v>
      </c>
      <c r="AX248" s="89">
        <v>-9561701.8570000008</v>
      </c>
      <c r="AY248" s="88">
        <v>199780719.2206063</v>
      </c>
      <c r="AZ248" s="89">
        <f t="shared" si="16"/>
        <v>44789782.677129894</v>
      </c>
      <c r="BA248" s="89">
        <v>34594724.491516568</v>
      </c>
      <c r="BB248" s="89">
        <v>10195058.18561333</v>
      </c>
      <c r="BC248" s="89">
        <v>154990936.5434764</v>
      </c>
      <c r="BD248" s="89"/>
      <c r="BE248" s="88">
        <v>8436895.2354103997</v>
      </c>
      <c r="BF248" s="89">
        <v>691780.87193341006</v>
      </c>
      <c r="BG248" s="89">
        <v>615134.22305972001</v>
      </c>
      <c r="BH248" s="89">
        <v>76646.648873690006</v>
      </c>
      <c r="BI248" s="89">
        <v>8229296.7614281103</v>
      </c>
      <c r="BJ248" s="89">
        <v>-484182.39795111999</v>
      </c>
      <c r="BK248" s="88">
        <v>512.09089500000005</v>
      </c>
      <c r="BL248" s="89">
        <v>-153.89310499999999</v>
      </c>
      <c r="BM248" s="89">
        <v>-60.394482999999994</v>
      </c>
      <c r="BN248" s="89">
        <v>-93.498621999999997</v>
      </c>
      <c r="BO248" s="89">
        <v>665.98400000000004</v>
      </c>
      <c r="BP248" s="89"/>
      <c r="BQ248" s="88">
        <v>11486.681826000002</v>
      </c>
      <c r="BR248" s="89">
        <v>-3294.310066</v>
      </c>
      <c r="BS248" s="89">
        <v>-1950.2790320000001</v>
      </c>
      <c r="BT248" s="89">
        <v>-1344.0310340000001</v>
      </c>
      <c r="BU248" s="89">
        <v>14780.991892000002</v>
      </c>
      <c r="BV248" s="89"/>
      <c r="BW248" s="88">
        <v>11995.86966762</v>
      </c>
      <c r="BX248" s="89">
        <v>4853.8292619274325</v>
      </c>
      <c r="BY248" s="89">
        <v>4724.4800579874327</v>
      </c>
      <c r="BZ248" s="89">
        <v>129.34920394</v>
      </c>
      <c r="CA248" s="89">
        <v>8581.4185362303069</v>
      </c>
      <c r="CB248" s="89">
        <v>-1439.3781305377393</v>
      </c>
      <c r="CC248" s="88">
        <v>1659.1448740000001</v>
      </c>
      <c r="CD248" s="89">
        <v>-44.500126000000023</v>
      </c>
      <c r="CE248" s="89">
        <v>123.15516099999999</v>
      </c>
      <c r="CF248" s="89">
        <v>-167.65528700000002</v>
      </c>
      <c r="CG248" s="89">
        <v>1703.645</v>
      </c>
      <c r="CH248" s="89"/>
      <c r="CI248" s="88">
        <v>98900.2</v>
      </c>
      <c r="CJ248" s="89">
        <v>34758.400000000001</v>
      </c>
      <c r="CK248" s="89">
        <v>21362.7</v>
      </c>
      <c r="CL248" s="89">
        <v>13395.7</v>
      </c>
      <c r="CM248" s="89">
        <v>75791.600000000006</v>
      </c>
      <c r="CN248" s="89">
        <v>-11649.8</v>
      </c>
      <c r="CO248" s="88">
        <v>47864.4</v>
      </c>
      <c r="CP248" s="89">
        <v>-35921.300000000003</v>
      </c>
      <c r="CQ248" s="89">
        <v>-1574.8</v>
      </c>
      <c r="CR248" s="89">
        <v>-34346.5</v>
      </c>
      <c r="CS248" s="89">
        <v>98811.4</v>
      </c>
      <c r="CT248" s="89">
        <v>-15025.7</v>
      </c>
      <c r="CU248" s="88">
        <v>47296.689440414848</v>
      </c>
      <c r="CV248" s="89">
        <v>7728.3619662341962</v>
      </c>
      <c r="CW248" s="89">
        <v>9258.165099449423</v>
      </c>
      <c r="CX248" s="89">
        <v>-1529.8031332152252</v>
      </c>
      <c r="CY248" s="89">
        <v>39568.327474180653</v>
      </c>
      <c r="CZ248" s="89"/>
      <c r="DA248" s="88">
        <v>96643.942482431768</v>
      </c>
      <c r="DB248" s="89">
        <v>3280.0330027928594</v>
      </c>
      <c r="DC248" s="89">
        <v>189.76052066062766</v>
      </c>
      <c r="DD248" s="89">
        <v>3090.0673603022315</v>
      </c>
      <c r="DE248" s="89">
        <v>143078.01429193153</v>
      </c>
      <c r="DF248" s="89">
        <v>-49713.899690462633</v>
      </c>
      <c r="DG248" s="88">
        <v>332422.48962000007</v>
      </c>
      <c r="DH248" s="89">
        <v>143422.78562000001</v>
      </c>
      <c r="DI248" s="89"/>
      <c r="DJ248" s="89"/>
      <c r="DK248" s="89">
        <v>208721.864</v>
      </c>
      <c r="DL248" s="89">
        <v>-19722.16</v>
      </c>
      <c r="DM248" s="88">
        <v>5407830.2171898605</v>
      </c>
      <c r="DN248" s="89">
        <v>2491634.9961898602</v>
      </c>
      <c r="DO248" s="89">
        <v>2112071.7881898601</v>
      </c>
      <c r="DP248" s="89">
        <v>379563.20799999998</v>
      </c>
      <c r="DQ248" s="89">
        <v>2916195.2209999999</v>
      </c>
      <c r="DR248" s="89"/>
      <c r="DS248" s="88">
        <v>64772.551235339793</v>
      </c>
      <c r="DT248" s="89">
        <v>42804.930354005279</v>
      </c>
      <c r="DU248" s="89">
        <v>42232.069801534781</v>
      </c>
      <c r="DV248" s="89">
        <v>572.86055247050001</v>
      </c>
      <c r="DW248" s="89">
        <v>46103.044911915284</v>
      </c>
      <c r="DX248" s="89">
        <v>-24135.424030580762</v>
      </c>
      <c r="DY248" s="88">
        <v>11955.175414000001</v>
      </c>
      <c r="DZ248" s="89">
        <f t="shared" si="15"/>
        <v>330.93846099999996</v>
      </c>
      <c r="EA248" s="89">
        <v>1578.494508</v>
      </c>
      <c r="EB248" s="89">
        <v>-1247.556047</v>
      </c>
      <c r="EC248" s="89">
        <v>11624.236953</v>
      </c>
      <c r="ED248" s="89"/>
      <c r="EE248" s="88">
        <v>14847.377940142556</v>
      </c>
      <c r="EF248" s="89">
        <v>-1369.26009544</v>
      </c>
      <c r="EG248" s="89">
        <v>-1372.70304055</v>
      </c>
      <c r="EH248" s="89">
        <v>3.4429451099999997</v>
      </c>
      <c r="EI248" s="89">
        <v>22085.051441669999</v>
      </c>
      <c r="EJ248" s="89">
        <v>-5868.4134060874412</v>
      </c>
      <c r="EK248" s="88">
        <v>15585887.512841066</v>
      </c>
      <c r="EL248" s="89">
        <v>-6582780.5461492892</v>
      </c>
      <c r="EM248" s="89">
        <v>-4366680.8794260193</v>
      </c>
      <c r="EN248" s="89">
        <v>-2216099.6667232695</v>
      </c>
      <c r="EO248" s="89">
        <v>22680638.330948986</v>
      </c>
      <c r="EP248" s="89">
        <v>-511970.27195863007</v>
      </c>
      <c r="EQ248" s="88">
        <v>85704.247209399968</v>
      </c>
      <c r="ER248" s="89">
        <v>-19208.726898159999</v>
      </c>
      <c r="ES248" s="89"/>
      <c r="ET248" s="89"/>
      <c r="EU248" s="89">
        <v>146443.42781312001</v>
      </c>
      <c r="EV248" s="89">
        <v>-41530.453705560038</v>
      </c>
      <c r="EW248" s="88">
        <v>680347.44314245018</v>
      </c>
      <c r="EX248" s="89">
        <f t="shared" si="17"/>
        <v>386479.15168930998</v>
      </c>
      <c r="EY248" s="89">
        <v>373041.7024901</v>
      </c>
      <c r="EZ248" s="89">
        <v>13437.449199209999</v>
      </c>
      <c r="FA248" s="89">
        <v>395454.50669146003</v>
      </c>
      <c r="FB248" s="89">
        <v>-101586.21523831965</v>
      </c>
      <c r="FC248" s="88">
        <v>1710.3772469999999</v>
      </c>
      <c r="FD248" s="89">
        <v>400.18424700000003</v>
      </c>
      <c r="FE248" s="89">
        <v>795.24053700000002</v>
      </c>
      <c r="FF248" s="89">
        <v>-395.05628999999999</v>
      </c>
      <c r="FG248" s="89">
        <v>1310.193</v>
      </c>
      <c r="FH248" s="89"/>
      <c r="FI248" s="88">
        <v>1024.1404249999998</v>
      </c>
      <c r="FJ248" s="89">
        <v>60.661425000000023</v>
      </c>
      <c r="FK248" s="89">
        <v>128.31625100000002</v>
      </c>
      <c r="FL248" s="89">
        <v>-67.654826</v>
      </c>
      <c r="FM248" s="89">
        <v>963.47900000000004</v>
      </c>
      <c r="FN248" s="89"/>
      <c r="FO248" s="88">
        <v>3415.5730359999998</v>
      </c>
      <c r="FP248" s="89">
        <v>-309.03796400000004</v>
      </c>
      <c r="FQ248" s="89">
        <v>6.09891399999999</v>
      </c>
      <c r="FR248" s="89">
        <v>-315.13687800000002</v>
      </c>
      <c r="FS248" s="89">
        <v>3724.6109999999999</v>
      </c>
      <c r="FT248" s="89"/>
      <c r="FU248" s="88">
        <v>3043.2999999999997</v>
      </c>
      <c r="FV248" s="89">
        <v>298.5</v>
      </c>
      <c r="FW248" s="89">
        <v>202.2</v>
      </c>
      <c r="FX248" s="89">
        <v>96.3</v>
      </c>
      <c r="FY248" s="89">
        <v>2688.6</v>
      </c>
      <c r="FZ248" s="89">
        <v>56.2</v>
      </c>
      <c r="GA248" s="88">
        <v>28015.4</v>
      </c>
      <c r="GB248" s="89">
        <v>-11843.3</v>
      </c>
      <c r="GC248" s="89">
        <v>-19886</v>
      </c>
      <c r="GD248" s="89">
        <v>8042.7</v>
      </c>
      <c r="GE248" s="89">
        <v>39858.699999999997</v>
      </c>
      <c r="GF248" s="89"/>
      <c r="GG248" s="88">
        <v>101164.13930077391</v>
      </c>
      <c r="GH248" s="89">
        <v>50648.727814927755</v>
      </c>
      <c r="GI248" s="89">
        <v>48451.36912700691</v>
      </c>
      <c r="GJ248" s="89">
        <v>2197.3586879208497</v>
      </c>
      <c r="GK248" s="89">
        <v>149418.78974092437</v>
      </c>
      <c r="GL248" s="89">
        <v>-98903.37825507822</v>
      </c>
      <c r="GM248" s="88">
        <v>245581.03331042</v>
      </c>
      <c r="GN248" s="89">
        <v>49921.041062429998</v>
      </c>
      <c r="GO248" s="89">
        <v>43596.016316590001</v>
      </c>
      <c r="GP248" s="89">
        <v>6325.0247458399999</v>
      </c>
      <c r="GQ248" s="89">
        <v>163276.94850110001</v>
      </c>
      <c r="GR248" s="89">
        <v>32383.043746889998</v>
      </c>
    </row>
    <row r="249" spans="1:200">
      <c r="B249" s="93" t="s">
        <v>494</v>
      </c>
      <c r="C249" s="88">
        <v>2966.9437950000001</v>
      </c>
      <c r="D249" s="87">
        <v>419.22279500000002</v>
      </c>
      <c r="E249" s="87">
        <v>492.32849900000002</v>
      </c>
      <c r="F249" s="87">
        <v>-73.105704000000003</v>
      </c>
      <c r="G249" s="87">
        <v>2547.721</v>
      </c>
      <c r="H249" s="87"/>
      <c r="I249" s="88">
        <v>256421.465</v>
      </c>
      <c r="J249" s="89">
        <v>272737.63299999997</v>
      </c>
      <c r="K249" s="89"/>
      <c r="L249" s="89"/>
      <c r="M249" s="89">
        <v>172820.46100000001</v>
      </c>
      <c r="N249" s="89">
        <v>-189100.196</v>
      </c>
      <c r="O249" s="88">
        <v>8223.1</v>
      </c>
      <c r="P249" s="89">
        <v>1696.6999999999998</v>
      </c>
      <c r="Q249" s="89">
        <v>1257.0999999999999</v>
      </c>
      <c r="R249" s="89">
        <v>439.6</v>
      </c>
      <c r="S249" s="89">
        <v>6526.4</v>
      </c>
      <c r="T249" s="89"/>
      <c r="U249" s="88">
        <v>6950.3770800000002</v>
      </c>
      <c r="V249" s="89">
        <v>1494.7470800000001</v>
      </c>
      <c r="W249" s="89">
        <v>951.24133999999992</v>
      </c>
      <c r="X249" s="89">
        <v>551.56995000000006</v>
      </c>
      <c r="Y249" s="89">
        <v>5455.63</v>
      </c>
      <c r="Z249" s="89"/>
      <c r="AA249" s="88">
        <v>1923.222</v>
      </c>
      <c r="AB249" s="89">
        <v>193.46200000000002</v>
      </c>
      <c r="AC249" s="89">
        <v>188.27500000000001</v>
      </c>
      <c r="AD249" s="89">
        <v>5.1870000000000003</v>
      </c>
      <c r="AE249" s="89">
        <v>1729.76</v>
      </c>
      <c r="AF249" s="89"/>
      <c r="AG249" s="88">
        <v>55516.36210742424</v>
      </c>
      <c r="AH249" s="89">
        <v>11509.435445850779</v>
      </c>
      <c r="AI249" s="89">
        <v>11509.435445850779</v>
      </c>
      <c r="AJ249" s="89"/>
      <c r="AK249" s="89">
        <v>44006.92666157346</v>
      </c>
      <c r="AL249" s="89"/>
      <c r="AM249" s="88">
        <v>3303708</v>
      </c>
      <c r="AN249" s="89">
        <v>1267394</v>
      </c>
      <c r="AO249" s="89">
        <v>1211546</v>
      </c>
      <c r="AP249" s="89">
        <v>55848</v>
      </c>
      <c r="AQ249" s="89">
        <v>1735078</v>
      </c>
      <c r="AR249" s="89">
        <v>301236</v>
      </c>
      <c r="AS249" s="88">
        <v>59437000</v>
      </c>
      <c r="AT249" s="89">
        <v>-1805747.4879999999</v>
      </c>
      <c r="AU249" s="89">
        <v>-1805747.4879999999</v>
      </c>
      <c r="AV249" s="89"/>
      <c r="AW249" s="89">
        <v>71668780.090000004</v>
      </c>
      <c r="AX249" s="89">
        <v>-10425731.209999999</v>
      </c>
      <c r="AY249" s="88">
        <v>203538937.71431658</v>
      </c>
      <c r="AZ249" s="89">
        <f t="shared" si="16"/>
        <v>45923039.478232652</v>
      </c>
      <c r="BA249" s="89">
        <v>35744635.660970211</v>
      </c>
      <c r="BB249" s="89">
        <v>10178403.817262439</v>
      </c>
      <c r="BC249" s="89">
        <v>157615898.23608392</v>
      </c>
      <c r="BD249" s="89"/>
      <c r="BE249" s="88">
        <v>8304646.2016626699</v>
      </c>
      <c r="BF249" s="89">
        <v>682952.44203196</v>
      </c>
      <c r="BG249" s="89">
        <v>600869.00675298995</v>
      </c>
      <c r="BH249" s="89">
        <v>82083.435278970006</v>
      </c>
      <c r="BI249" s="89">
        <v>8234508.3015228994</v>
      </c>
      <c r="BJ249" s="89">
        <v>-612814.54189219</v>
      </c>
      <c r="BK249" s="88">
        <v>539.06251900000007</v>
      </c>
      <c r="BL249" s="89">
        <v>-144.00148100000001</v>
      </c>
      <c r="BM249" s="89">
        <v>-50.051858999999993</v>
      </c>
      <c r="BN249" s="89">
        <v>-93.949622000000005</v>
      </c>
      <c r="BO249" s="89">
        <v>683.06399999999996</v>
      </c>
      <c r="BP249" s="89"/>
      <c r="BQ249" s="88">
        <v>12170.033881000003</v>
      </c>
      <c r="BR249" s="89">
        <v>-2917.9527189999999</v>
      </c>
      <c r="BS249" s="89">
        <v>-1501.663466</v>
      </c>
      <c r="BT249" s="89">
        <v>-1416.2892529999997</v>
      </c>
      <c r="BU249" s="89">
        <v>15087.986600000002</v>
      </c>
      <c r="BV249" s="89"/>
      <c r="BW249" s="88">
        <v>12005.073958821858</v>
      </c>
      <c r="BX249" s="89">
        <v>4794.3813720618573</v>
      </c>
      <c r="BY249" s="89">
        <v>4666.1310530618575</v>
      </c>
      <c r="BZ249" s="89">
        <v>128.25031899999999</v>
      </c>
      <c r="CA249" s="89">
        <v>8564.3706073001213</v>
      </c>
      <c r="CB249" s="89">
        <v>-1353.6780205401203</v>
      </c>
      <c r="CC249" s="88">
        <v>1683.54376</v>
      </c>
      <c r="CD249" s="89">
        <v>-36.143239999999992</v>
      </c>
      <c r="CE249" s="89">
        <v>135.27904700000002</v>
      </c>
      <c r="CF249" s="89">
        <v>-171.42228700000001</v>
      </c>
      <c r="CG249" s="89">
        <v>1719.6869999999999</v>
      </c>
      <c r="CH249" s="89"/>
      <c r="CI249" s="88">
        <v>98063.5</v>
      </c>
      <c r="CJ249" s="89">
        <v>34124.5</v>
      </c>
      <c r="CK249" s="89">
        <v>20524.3</v>
      </c>
      <c r="CL249" s="89">
        <v>13600.199999999999</v>
      </c>
      <c r="CM249" s="89">
        <v>75978.600000000006</v>
      </c>
      <c r="CN249" s="89">
        <v>-12039.7</v>
      </c>
      <c r="CO249" s="88">
        <v>47323.8</v>
      </c>
      <c r="CP249" s="89">
        <v>-38935.599999999999</v>
      </c>
      <c r="CQ249" s="89">
        <v>-4669.5</v>
      </c>
      <c r="CR249" s="89">
        <v>-34266.1</v>
      </c>
      <c r="CS249" s="89">
        <v>101048.7</v>
      </c>
      <c r="CT249" s="89">
        <v>-14789.4</v>
      </c>
      <c r="CU249" s="88">
        <v>47558.083761239221</v>
      </c>
      <c r="CV249" s="89">
        <v>7562.6884471325575</v>
      </c>
      <c r="CW249" s="89">
        <v>9246.9791165991755</v>
      </c>
      <c r="CX249" s="89">
        <v>-1684.2906694666185</v>
      </c>
      <c r="CY249" s="89">
        <v>39995.395314106667</v>
      </c>
      <c r="CZ249" s="89"/>
      <c r="DA249" s="88">
        <v>97019.909288539944</v>
      </c>
      <c r="DB249" s="89">
        <v>5168.697364620286</v>
      </c>
      <c r="DC249" s="89">
        <v>1940.4764554716712</v>
      </c>
      <c r="DD249" s="89">
        <v>3228.0065182786129</v>
      </c>
      <c r="DE249" s="89">
        <v>142360.35182469987</v>
      </c>
      <c r="DF249" s="89">
        <v>-50508.92550991023</v>
      </c>
      <c r="DG249" s="88">
        <v>318368.77477999998</v>
      </c>
      <c r="DH249" s="89">
        <v>128149.60278</v>
      </c>
      <c r="DI249" s="89"/>
      <c r="DJ249" s="89"/>
      <c r="DK249" s="89">
        <v>206534.32699999999</v>
      </c>
      <c r="DL249" s="89">
        <v>-16315.155000000001</v>
      </c>
      <c r="DM249" s="88">
        <v>5524434.7249110192</v>
      </c>
      <c r="DN249" s="89">
        <v>2594311.4989110203</v>
      </c>
      <c r="DO249" s="89">
        <v>2214849.3979110201</v>
      </c>
      <c r="DP249" s="89">
        <v>379462.10100000002</v>
      </c>
      <c r="DQ249" s="89">
        <v>2930123.2259999998</v>
      </c>
      <c r="DR249" s="89"/>
      <c r="DS249" s="88">
        <v>65672.791066055099</v>
      </c>
      <c r="DT249" s="89">
        <v>43162.006069262789</v>
      </c>
      <c r="DU249" s="89">
        <v>42595.265747362791</v>
      </c>
      <c r="DV249" s="89">
        <v>566.74032190000003</v>
      </c>
      <c r="DW249" s="89">
        <v>46404.26421687346</v>
      </c>
      <c r="DX249" s="89">
        <v>-23893.479220081157</v>
      </c>
      <c r="DY249" s="88">
        <v>11885.911064</v>
      </c>
      <c r="DZ249" s="89">
        <f t="shared" si="15"/>
        <v>204.24467600000003</v>
      </c>
      <c r="EA249" s="89">
        <v>1469.796288</v>
      </c>
      <c r="EB249" s="89">
        <v>-1265.551612</v>
      </c>
      <c r="EC249" s="89">
        <v>11681.666388</v>
      </c>
      <c r="ED249" s="89"/>
      <c r="EE249" s="88">
        <v>15326.492376054804</v>
      </c>
      <c r="EF249" s="89">
        <v>-1550.6778436099994</v>
      </c>
      <c r="EG249" s="89">
        <v>-1554.0776443499994</v>
      </c>
      <c r="EH249" s="89">
        <v>3.3998007399999994</v>
      </c>
      <c r="EI249" s="89">
        <v>22884.316115920003</v>
      </c>
      <c r="EJ249" s="89">
        <v>-6007.1458962551987</v>
      </c>
      <c r="EK249" s="88">
        <v>15854154.724749697</v>
      </c>
      <c r="EL249" s="89">
        <v>-6802338.0363533404</v>
      </c>
      <c r="EM249" s="89">
        <v>-4757976.7010351699</v>
      </c>
      <c r="EN249" s="89">
        <v>-2044361.33531817</v>
      </c>
      <c r="EO249" s="89">
        <v>23169988.986451238</v>
      </c>
      <c r="EP249" s="89">
        <v>-513496.22534820001</v>
      </c>
      <c r="EQ249" s="88">
        <v>85337.931252779992</v>
      </c>
      <c r="ER249" s="89">
        <v>-20796.037841220001</v>
      </c>
      <c r="ES249" s="89"/>
      <c r="ET249" s="89"/>
      <c r="EU249" s="89">
        <v>147672.57227852001</v>
      </c>
      <c r="EV249" s="89">
        <v>-41538.603184520005</v>
      </c>
      <c r="EW249" s="88">
        <v>698764.5114711636</v>
      </c>
      <c r="EX249" s="89">
        <f t="shared" si="17"/>
        <v>397945.50888509001</v>
      </c>
      <c r="EY249" s="89">
        <v>383774.79637758998</v>
      </c>
      <c r="EZ249" s="89">
        <v>14170.712507499999</v>
      </c>
      <c r="FA249" s="89">
        <v>403015.05257251003</v>
      </c>
      <c r="FB249" s="89">
        <v>-102196.04998643637</v>
      </c>
      <c r="FC249" s="88">
        <v>1736.9591310000001</v>
      </c>
      <c r="FD249" s="89">
        <v>412.68013099999996</v>
      </c>
      <c r="FE249" s="89">
        <v>805.55442099999993</v>
      </c>
      <c r="FF249" s="89">
        <v>-392.87428999999997</v>
      </c>
      <c r="FG249" s="89">
        <v>1324.279</v>
      </c>
      <c r="FH249" s="89"/>
      <c r="FI249" s="88">
        <v>999.51870499999984</v>
      </c>
      <c r="FJ249" s="89">
        <v>22.369704999999982</v>
      </c>
      <c r="FK249" s="89">
        <v>101.30109599999999</v>
      </c>
      <c r="FL249" s="89">
        <v>-78.931391000000005</v>
      </c>
      <c r="FM249" s="89">
        <v>977.149</v>
      </c>
      <c r="FN249" s="89"/>
      <c r="FO249" s="88">
        <v>3402.7652170000001</v>
      </c>
      <c r="FP249" s="89">
        <v>-321.85078300000004</v>
      </c>
      <c r="FQ249" s="89">
        <v>2.4150950000000302</v>
      </c>
      <c r="FR249" s="89">
        <v>-324.26587800000004</v>
      </c>
      <c r="FS249" s="89">
        <v>3724.616</v>
      </c>
      <c r="FT249" s="89"/>
      <c r="FU249" s="88">
        <v>2979.7999999999997</v>
      </c>
      <c r="FV249" s="89">
        <v>235.39999999999998</v>
      </c>
      <c r="FW249" s="89">
        <v>140.1</v>
      </c>
      <c r="FX249" s="89">
        <v>95.3</v>
      </c>
      <c r="FY249" s="89">
        <v>2683.2</v>
      </c>
      <c r="FZ249" s="89">
        <v>61.2</v>
      </c>
      <c r="GA249" s="88">
        <v>29479.599999999999</v>
      </c>
      <c r="GB249" s="89">
        <v>-9866.1999999999989</v>
      </c>
      <c r="GC249" s="89">
        <v>-17913.099999999999</v>
      </c>
      <c r="GD249" s="89">
        <v>8046.9</v>
      </c>
      <c r="GE249" s="89">
        <v>39345.699999999997</v>
      </c>
      <c r="GF249" s="89"/>
      <c r="GG249" s="88">
        <v>114869.72384019676</v>
      </c>
      <c r="GH249" s="89">
        <v>58239.504550518643</v>
      </c>
      <c r="GI249" s="89">
        <v>55584.482955785446</v>
      </c>
      <c r="GJ249" s="89">
        <v>2655.0215947331903</v>
      </c>
      <c r="GK249" s="89">
        <v>156713.48242392248</v>
      </c>
      <c r="GL249" s="89">
        <v>-100083.26313424436</v>
      </c>
      <c r="GM249" s="88">
        <v>247247.49364357002</v>
      </c>
      <c r="GN249" s="89">
        <v>49082.183192269993</v>
      </c>
      <c r="GO249" s="89">
        <v>43432.275696259996</v>
      </c>
      <c r="GP249" s="89">
        <v>5649.9074960099988</v>
      </c>
      <c r="GQ249" s="89">
        <v>165629.60284419003</v>
      </c>
      <c r="GR249" s="89">
        <v>32535.707607110002</v>
      </c>
    </row>
    <row r="250" spans="1:200">
      <c r="B250" s="93" t="s">
        <v>495</v>
      </c>
      <c r="C250" s="88">
        <v>3015.01055</v>
      </c>
      <c r="D250" s="87">
        <v>463.97455000000002</v>
      </c>
      <c r="E250" s="87">
        <v>538.72895400000004</v>
      </c>
      <c r="F250" s="87">
        <v>-74.754403999999994</v>
      </c>
      <c r="G250" s="87">
        <v>2551.0360000000001</v>
      </c>
      <c r="H250" s="87"/>
      <c r="I250" s="88">
        <v>261322.09299999996</v>
      </c>
      <c r="J250" s="89">
        <v>278430.04399999999</v>
      </c>
      <c r="K250" s="89"/>
      <c r="L250" s="89"/>
      <c r="M250" s="89">
        <v>176419.95300000001</v>
      </c>
      <c r="N250" s="89">
        <v>-193527.255</v>
      </c>
      <c r="O250" s="88">
        <v>8239.5</v>
      </c>
      <c r="P250" s="89">
        <v>1712.1999999999998</v>
      </c>
      <c r="Q250" s="89">
        <v>1260.0999999999999</v>
      </c>
      <c r="R250" s="89">
        <v>452.1</v>
      </c>
      <c r="S250" s="89">
        <v>6527.3</v>
      </c>
      <c r="T250" s="89"/>
      <c r="U250" s="88">
        <v>6911.4968000000008</v>
      </c>
      <c r="V250" s="89">
        <v>1461.6498000000001</v>
      </c>
      <c r="W250" s="89">
        <v>885.50247999999999</v>
      </c>
      <c r="X250" s="89">
        <v>554.04595000000006</v>
      </c>
      <c r="Y250" s="89">
        <v>5449.8470000000007</v>
      </c>
      <c r="Z250" s="89"/>
      <c r="AA250" s="88">
        <v>1916.546</v>
      </c>
      <c r="AB250" s="89">
        <v>183.857</v>
      </c>
      <c r="AC250" s="89">
        <v>178.70400000000001</v>
      </c>
      <c r="AD250" s="89">
        <v>5.1529999999999996</v>
      </c>
      <c r="AE250" s="89">
        <v>1732.6890000000001</v>
      </c>
      <c r="AF250" s="89"/>
      <c r="AG250" s="88">
        <v>56363.420774729071</v>
      </c>
      <c r="AH250" s="89">
        <v>11465.807954408343</v>
      </c>
      <c r="AI250" s="89">
        <v>11465.807954408343</v>
      </c>
      <c r="AJ250" s="89"/>
      <c r="AK250" s="89">
        <v>44897.612820320726</v>
      </c>
      <c r="AL250" s="89"/>
      <c r="AM250" s="88">
        <v>3361325</v>
      </c>
      <c r="AN250" s="89">
        <v>1295244</v>
      </c>
      <c r="AO250" s="89">
        <v>1237920</v>
      </c>
      <c r="AP250" s="89">
        <v>57324</v>
      </c>
      <c r="AQ250" s="89">
        <v>1770650</v>
      </c>
      <c r="AR250" s="89">
        <v>295431</v>
      </c>
      <c r="AS250" s="88">
        <v>58299000</v>
      </c>
      <c r="AT250" s="89">
        <v>-1715139.835</v>
      </c>
      <c r="AU250" s="89">
        <v>-1715139.835</v>
      </c>
      <c r="AV250" s="89"/>
      <c r="AW250" s="89">
        <v>71617853.319999993</v>
      </c>
      <c r="AX250" s="89">
        <v>-11603803.939999999</v>
      </c>
      <c r="AY250" s="88">
        <v>206970260.2668303</v>
      </c>
      <c r="AZ250" s="89">
        <f t="shared" si="16"/>
        <v>47616905.60978663</v>
      </c>
      <c r="BA250" s="89">
        <v>37408797.034277603</v>
      </c>
      <c r="BB250" s="89">
        <v>10208108.575509029</v>
      </c>
      <c r="BC250" s="89">
        <v>159353354.65704367</v>
      </c>
      <c r="BD250" s="89"/>
      <c r="BE250" s="88">
        <v>8207137.1706740698</v>
      </c>
      <c r="BF250" s="89">
        <v>696786.79251152009</v>
      </c>
      <c r="BG250" s="89">
        <v>616728.19252537005</v>
      </c>
      <c r="BH250" s="89">
        <v>80058.599986150002</v>
      </c>
      <c r="BI250" s="89">
        <v>8175045.6672086399</v>
      </c>
      <c r="BJ250" s="89">
        <v>-664695.28904608998</v>
      </c>
      <c r="BK250" s="88">
        <v>516.548676</v>
      </c>
      <c r="BL250" s="89">
        <v>-174.27432400000001</v>
      </c>
      <c r="BM250" s="89">
        <v>-81.143349000000001</v>
      </c>
      <c r="BN250" s="89">
        <v>-93.130975000000007</v>
      </c>
      <c r="BO250" s="89">
        <v>690.82299999999998</v>
      </c>
      <c r="BP250" s="89"/>
      <c r="BQ250" s="88">
        <v>12602.224679000001</v>
      </c>
      <c r="BR250" s="89">
        <v>-2855.3685349999996</v>
      </c>
      <c r="BS250" s="89">
        <v>-1447.2776029999998</v>
      </c>
      <c r="BT250" s="89">
        <v>-1408.0909320000001</v>
      </c>
      <c r="BU250" s="89">
        <v>15457.593214</v>
      </c>
      <c r="BV250" s="89"/>
      <c r="BW250" s="88">
        <v>12282.734431954441</v>
      </c>
      <c r="BX250" s="89">
        <v>5116.7834322644412</v>
      </c>
      <c r="BY250" s="89">
        <v>4985.0387229044409</v>
      </c>
      <c r="BZ250" s="89">
        <v>131.74470936</v>
      </c>
      <c r="CA250" s="89">
        <v>8631.0703132901799</v>
      </c>
      <c r="CB250" s="89">
        <v>-1465.1193136001796</v>
      </c>
      <c r="CC250" s="88">
        <v>1691.872333</v>
      </c>
      <c r="CD250" s="89">
        <v>-37.243667000000016</v>
      </c>
      <c r="CE250" s="89">
        <v>146.87767199999999</v>
      </c>
      <c r="CF250" s="89">
        <v>-184.12133900000001</v>
      </c>
      <c r="CG250" s="89">
        <v>1729.116</v>
      </c>
      <c r="CH250" s="89"/>
      <c r="CI250" s="88">
        <v>100387.1</v>
      </c>
      <c r="CJ250" s="89">
        <v>36002.5</v>
      </c>
      <c r="CK250" s="89">
        <v>22316.799999999999</v>
      </c>
      <c r="CL250" s="89">
        <v>13685.7</v>
      </c>
      <c r="CM250" s="89">
        <v>75766</v>
      </c>
      <c r="CN250" s="89">
        <v>-11381.4</v>
      </c>
      <c r="CO250" s="88">
        <v>52941.5</v>
      </c>
      <c r="CP250" s="89">
        <v>-35522</v>
      </c>
      <c r="CQ250" s="89">
        <v>-391.6</v>
      </c>
      <c r="CR250" s="89">
        <v>-35130.400000000001</v>
      </c>
      <c r="CS250" s="89">
        <v>102115.3</v>
      </c>
      <c r="CT250" s="89">
        <v>-13651.9</v>
      </c>
      <c r="CU250" s="88">
        <v>34816.815602687668</v>
      </c>
      <c r="CV250" s="89">
        <v>-5330.3931385467185</v>
      </c>
      <c r="CW250" s="89">
        <v>-3419.9994442741126</v>
      </c>
      <c r="CX250" s="89">
        <v>-1910.3936942726059</v>
      </c>
      <c r="CY250" s="89">
        <v>40147.20874123439</v>
      </c>
      <c r="CZ250" s="89"/>
      <c r="DA250" s="88">
        <v>97270.094283199971</v>
      </c>
      <c r="DB250" s="89">
        <v>5891.8611475545567</v>
      </c>
      <c r="DC250" s="89">
        <v>2629.5814024070423</v>
      </c>
      <c r="DD250" s="89">
        <v>3262.0709611575126</v>
      </c>
      <c r="DE250" s="89">
        <v>141882.86488710367</v>
      </c>
      <c r="DF250" s="89">
        <v>-50504.422967468257</v>
      </c>
      <c r="DG250" s="88">
        <v>319900.51179999998</v>
      </c>
      <c r="DH250" s="89">
        <v>128032.2298</v>
      </c>
      <c r="DI250" s="89"/>
      <c r="DJ250" s="89"/>
      <c r="DK250" s="89">
        <v>208199.274</v>
      </c>
      <c r="DL250" s="89">
        <v>-16330.992</v>
      </c>
      <c r="DM250" s="88">
        <v>5560394.8965117997</v>
      </c>
      <c r="DN250" s="89">
        <v>2589801.0285117999</v>
      </c>
      <c r="DO250" s="89">
        <v>2201859.7985117999</v>
      </c>
      <c r="DP250" s="89">
        <v>387941.23</v>
      </c>
      <c r="DQ250" s="89">
        <v>2970593.8679999998</v>
      </c>
      <c r="DR250" s="89"/>
      <c r="DS250" s="88">
        <v>64863.14681665253</v>
      </c>
      <c r="DT250" s="89">
        <v>43425.96213361992</v>
      </c>
      <c r="DU250" s="89">
        <v>42851.717695599917</v>
      </c>
      <c r="DV250" s="89">
        <v>574.24443801999996</v>
      </c>
      <c r="DW250" s="89">
        <v>46521.175825896455</v>
      </c>
      <c r="DX250" s="89">
        <v>-25083.99114286383</v>
      </c>
      <c r="DY250" s="88">
        <v>11888.088606000001</v>
      </c>
      <c r="DZ250" s="89">
        <f t="shared" si="15"/>
        <v>185.21275900000001</v>
      </c>
      <c r="EA250" s="89">
        <v>1466.402912</v>
      </c>
      <c r="EB250" s="89">
        <v>-1281.190153</v>
      </c>
      <c r="EC250" s="89">
        <v>11702.875846999999</v>
      </c>
      <c r="ED250" s="89"/>
      <c r="EE250" s="88">
        <v>15596.26955180864</v>
      </c>
      <c r="EF250" s="89">
        <v>-1522.1948367799996</v>
      </c>
      <c r="EG250" s="89">
        <v>-1527.7045284799997</v>
      </c>
      <c r="EH250" s="89">
        <v>5.5096916999999994</v>
      </c>
      <c r="EI250" s="89">
        <v>23104.302379569999</v>
      </c>
      <c r="EJ250" s="89">
        <v>-5985.8379909813593</v>
      </c>
      <c r="EK250" s="88">
        <v>16761487.976152267</v>
      </c>
      <c r="EL250" s="89">
        <v>-6823937.652753449</v>
      </c>
      <c r="EM250" s="89">
        <v>-4870375.8295253888</v>
      </c>
      <c r="EN250" s="89">
        <v>-1953561.8232280603</v>
      </c>
      <c r="EO250" s="89">
        <v>24124544.394645996</v>
      </c>
      <c r="EP250" s="89">
        <v>-539118.76574028004</v>
      </c>
      <c r="EQ250" s="88">
        <v>86145.592694319988</v>
      </c>
      <c r="ER250" s="89">
        <v>-20863.2563381</v>
      </c>
      <c r="ES250" s="89"/>
      <c r="ET250" s="89"/>
      <c r="EU250" s="89">
        <v>150252.7102566</v>
      </c>
      <c r="EV250" s="89">
        <v>-43243.86122418</v>
      </c>
      <c r="EW250" s="88">
        <v>701966.98130357184</v>
      </c>
      <c r="EX250" s="89">
        <f t="shared" si="17"/>
        <v>399503.8653801601</v>
      </c>
      <c r="EY250" s="89">
        <v>381292.31263906008</v>
      </c>
      <c r="EZ250" s="89">
        <v>18211.5527411</v>
      </c>
      <c r="FA250" s="89">
        <v>406192.37078816001</v>
      </c>
      <c r="FB250" s="89">
        <v>-103729.25486474817</v>
      </c>
      <c r="FC250" s="88">
        <v>1751.9973829999999</v>
      </c>
      <c r="FD250" s="89">
        <v>426.50438300000013</v>
      </c>
      <c r="FE250" s="89">
        <v>832.15467300000012</v>
      </c>
      <c r="FF250" s="89">
        <v>-405.65028999999998</v>
      </c>
      <c r="FG250" s="89">
        <v>1325.4929999999999</v>
      </c>
      <c r="FH250" s="89"/>
      <c r="FI250" s="88">
        <v>983.73951899999997</v>
      </c>
      <c r="FJ250" s="89">
        <v>11.541518999999994</v>
      </c>
      <c r="FK250" s="89">
        <v>86.313344999999998</v>
      </c>
      <c r="FL250" s="89">
        <v>-74.771826000000004</v>
      </c>
      <c r="FM250" s="89">
        <v>972.19799999999998</v>
      </c>
      <c r="FN250" s="89"/>
      <c r="FO250" s="88">
        <v>3392.6749909999999</v>
      </c>
      <c r="FP250" s="89">
        <v>-351.874009</v>
      </c>
      <c r="FQ250" s="89">
        <v>-28.319130999999995</v>
      </c>
      <c r="FR250" s="89">
        <v>-323.55487800000003</v>
      </c>
      <c r="FS250" s="89">
        <v>3744.549</v>
      </c>
      <c r="FT250" s="89"/>
      <c r="FU250" s="88">
        <v>2990</v>
      </c>
      <c r="FV250" s="89">
        <v>189.2</v>
      </c>
      <c r="FW250" s="89">
        <v>90.8</v>
      </c>
      <c r="FX250" s="89">
        <v>98.4</v>
      </c>
      <c r="FY250" s="89">
        <v>2738.9</v>
      </c>
      <c r="FZ250" s="89">
        <v>61.9</v>
      </c>
      <c r="GA250" s="88">
        <v>27552</v>
      </c>
      <c r="GB250" s="89">
        <v>-11815.7</v>
      </c>
      <c r="GC250" s="89">
        <v>-19597.7</v>
      </c>
      <c r="GD250" s="89">
        <v>7782</v>
      </c>
      <c r="GE250" s="89">
        <v>39367.599999999999</v>
      </c>
      <c r="GF250" s="89"/>
      <c r="GG250" s="88">
        <v>109422.19454023329</v>
      </c>
      <c r="GH250" s="89">
        <v>54394.630579792509</v>
      </c>
      <c r="GI250" s="89">
        <v>52217.384767856507</v>
      </c>
      <c r="GJ250" s="89">
        <v>2177.2458119359994</v>
      </c>
      <c r="GK250" s="89">
        <v>155702.5758337185</v>
      </c>
      <c r="GL250" s="89">
        <v>-100675.01187327772</v>
      </c>
      <c r="GM250" s="88">
        <v>252021.46282359996</v>
      </c>
      <c r="GN250" s="89">
        <v>51312.915098090001</v>
      </c>
      <c r="GO250" s="89">
        <v>46302.306885700003</v>
      </c>
      <c r="GP250" s="89">
        <v>5010.6082123899978</v>
      </c>
      <c r="GQ250" s="89">
        <v>168344.65032405997</v>
      </c>
      <c r="GR250" s="89">
        <v>32363.897401450002</v>
      </c>
    </row>
    <row r="251" spans="1:200">
      <c r="B251" s="93" t="s">
        <v>496</v>
      </c>
      <c r="C251" s="88">
        <v>3005.551688</v>
      </c>
      <c r="D251" s="87">
        <v>455.239688</v>
      </c>
      <c r="E251" s="87">
        <v>532.88809200000003</v>
      </c>
      <c r="F251" s="87">
        <v>-77.648403999999999</v>
      </c>
      <c r="G251" s="87">
        <v>2550.3119999999999</v>
      </c>
      <c r="H251" s="87"/>
      <c r="I251" s="88">
        <v>265678.07200000004</v>
      </c>
      <c r="J251" s="89">
        <v>285631.98300000001</v>
      </c>
      <c r="K251" s="89"/>
      <c r="L251" s="89"/>
      <c r="M251" s="89">
        <v>181366.72899999999</v>
      </c>
      <c r="N251" s="89">
        <v>-201320.82399999999</v>
      </c>
      <c r="O251" s="88">
        <v>8327.1</v>
      </c>
      <c r="P251" s="89">
        <v>1757</v>
      </c>
      <c r="Q251" s="89">
        <v>1302.5</v>
      </c>
      <c r="R251" s="89">
        <v>454.5</v>
      </c>
      <c r="S251" s="89">
        <v>6570.1</v>
      </c>
      <c r="T251" s="89"/>
      <c r="U251" s="88">
        <v>6750.7907699999996</v>
      </c>
      <c r="V251" s="89">
        <v>1336.9927699999998</v>
      </c>
      <c r="W251" s="89">
        <v>774.65281999999991</v>
      </c>
      <c r="X251" s="89">
        <v>562.33995000000004</v>
      </c>
      <c r="Y251" s="89">
        <v>5413.7979999999998</v>
      </c>
      <c r="Z251" s="89"/>
      <c r="AA251" s="88">
        <v>1947.2840000000001</v>
      </c>
      <c r="AB251" s="89">
        <v>221.916</v>
      </c>
      <c r="AC251" s="89">
        <v>215.46199999999999</v>
      </c>
      <c r="AD251" s="89">
        <v>6.4539999999999997</v>
      </c>
      <c r="AE251" s="89">
        <v>1725.3679999999999</v>
      </c>
      <c r="AF251" s="89"/>
      <c r="AG251" s="88">
        <v>57137.892020741499</v>
      </c>
      <c r="AH251" s="89">
        <v>11522.773583886627</v>
      </c>
      <c r="AI251" s="89">
        <v>11522.773583886627</v>
      </c>
      <c r="AJ251" s="89"/>
      <c r="AK251" s="89">
        <v>45615.118436854871</v>
      </c>
      <c r="AL251" s="89"/>
      <c r="AM251" s="88">
        <v>3414084</v>
      </c>
      <c r="AN251" s="89">
        <v>1305820</v>
      </c>
      <c r="AO251" s="89">
        <v>1247770</v>
      </c>
      <c r="AP251" s="89">
        <v>58050</v>
      </c>
      <c r="AQ251" s="89">
        <v>1816221</v>
      </c>
      <c r="AR251" s="89">
        <v>292044</v>
      </c>
      <c r="AS251" s="88">
        <v>58788000</v>
      </c>
      <c r="AT251" s="89">
        <v>-2335672.861</v>
      </c>
      <c r="AU251" s="89">
        <v>-2335672.861</v>
      </c>
      <c r="AV251" s="89"/>
      <c r="AW251" s="89">
        <v>72376272.75</v>
      </c>
      <c r="AX251" s="89">
        <v>-11253000.459999999</v>
      </c>
      <c r="AY251" s="88">
        <v>210583557.96363822</v>
      </c>
      <c r="AZ251" s="89">
        <f t="shared" si="16"/>
        <v>48753801.743669994</v>
      </c>
      <c r="BA251" s="89">
        <v>38393855.614526227</v>
      </c>
      <c r="BB251" s="89">
        <v>10359946.129143769</v>
      </c>
      <c r="BC251" s="89">
        <v>161829756.21996823</v>
      </c>
      <c r="BD251" s="89"/>
      <c r="BE251" s="88">
        <v>8323047.5622098101</v>
      </c>
      <c r="BF251" s="89">
        <v>701231.17651629995</v>
      </c>
      <c r="BG251" s="89">
        <v>617917.83751496999</v>
      </c>
      <c r="BH251" s="89">
        <v>83313.339001329994</v>
      </c>
      <c r="BI251" s="89">
        <v>8209739.5697343601</v>
      </c>
      <c r="BJ251" s="89">
        <v>-587923.18404085003</v>
      </c>
      <c r="BK251" s="88">
        <v>536.14188799999999</v>
      </c>
      <c r="BL251" s="89">
        <v>-155.41811200000001</v>
      </c>
      <c r="BM251" s="89">
        <v>-67.596137000000013</v>
      </c>
      <c r="BN251" s="89">
        <v>-87.821975000000009</v>
      </c>
      <c r="BO251" s="89">
        <v>691.56</v>
      </c>
      <c r="BP251" s="89"/>
      <c r="BQ251" s="88">
        <v>13427.785151</v>
      </c>
      <c r="BR251" s="89">
        <v>-2377.8652990000001</v>
      </c>
      <c r="BS251" s="89">
        <v>-1597.8505769999999</v>
      </c>
      <c r="BT251" s="89">
        <v>-780.01472200000012</v>
      </c>
      <c r="BU251" s="89">
        <v>15805.650449999999</v>
      </c>
      <c r="BV251" s="89"/>
      <c r="BW251" s="88">
        <v>12078.882026461859</v>
      </c>
      <c r="BX251" s="89">
        <v>5104.9433548818579</v>
      </c>
      <c r="BY251" s="89">
        <v>4986.4235114818575</v>
      </c>
      <c r="BZ251" s="89">
        <v>118.5198434</v>
      </c>
      <c r="CA251" s="89">
        <v>8597.4554508401216</v>
      </c>
      <c r="CB251" s="89">
        <v>-1623.5167792601214</v>
      </c>
      <c r="CC251" s="88">
        <v>1689.5345620000001</v>
      </c>
      <c r="CD251" s="89">
        <v>-54.249437999999998</v>
      </c>
      <c r="CE251" s="89">
        <v>127.79690100000002</v>
      </c>
      <c r="CF251" s="89">
        <v>-182.04633900000002</v>
      </c>
      <c r="CG251" s="89">
        <v>1743.7840000000001</v>
      </c>
      <c r="CH251" s="89"/>
      <c r="CI251" s="88">
        <v>101551</v>
      </c>
      <c r="CJ251" s="89">
        <v>37350.5</v>
      </c>
      <c r="CK251" s="89">
        <v>23530.7</v>
      </c>
      <c r="CL251" s="89">
        <v>13819.800000000001</v>
      </c>
      <c r="CM251" s="89">
        <v>76307.5</v>
      </c>
      <c r="CN251" s="89">
        <v>-12107</v>
      </c>
      <c r="CO251" s="88">
        <v>52228.7</v>
      </c>
      <c r="CP251" s="89">
        <v>-37390.699999999997</v>
      </c>
      <c r="CQ251" s="89">
        <v>-2874.9</v>
      </c>
      <c r="CR251" s="89">
        <v>-34515.799999999996</v>
      </c>
      <c r="CS251" s="89">
        <v>103305.9</v>
      </c>
      <c r="CT251" s="89">
        <v>-13686.5</v>
      </c>
      <c r="CU251" s="88">
        <v>36444.08618177977</v>
      </c>
      <c r="CV251" s="89">
        <v>-3832.4390708460573</v>
      </c>
      <c r="CW251" s="89">
        <v>-1883.5442345349491</v>
      </c>
      <c r="CX251" s="89">
        <v>-1948.8948363111083</v>
      </c>
      <c r="CY251" s="89">
        <v>40276.525252625826</v>
      </c>
      <c r="CZ251" s="89"/>
      <c r="DA251" s="88">
        <v>96305.854868793103</v>
      </c>
      <c r="DB251" s="89">
        <v>6263.0306464262248</v>
      </c>
      <c r="DC251" s="89">
        <v>3004.8158422944762</v>
      </c>
      <c r="DD251" s="89">
        <v>3258.0167271017485</v>
      </c>
      <c r="DE251" s="89">
        <v>141305.5297291617</v>
      </c>
      <c r="DF251" s="89">
        <v>-51262.507429764817</v>
      </c>
      <c r="DG251" s="88">
        <v>340392.78050999995</v>
      </c>
      <c r="DH251" s="89">
        <v>152406.40550999998</v>
      </c>
      <c r="DI251" s="89"/>
      <c r="DJ251" s="89"/>
      <c r="DK251" s="89">
        <v>208492.443</v>
      </c>
      <c r="DL251" s="89">
        <v>-20506.067999999999</v>
      </c>
      <c r="DM251" s="88">
        <v>5624990.8183390796</v>
      </c>
      <c r="DN251" s="89">
        <v>2593872.3353390796</v>
      </c>
      <c r="DO251" s="89">
        <v>2205892.7403390799</v>
      </c>
      <c r="DP251" s="89">
        <v>387979.59499999997</v>
      </c>
      <c r="DQ251" s="89">
        <v>3031118.483</v>
      </c>
      <c r="DR251" s="89"/>
      <c r="DS251" s="88">
        <v>64960.498150154504</v>
      </c>
      <c r="DT251" s="89">
        <v>43114.37183002058</v>
      </c>
      <c r="DU251" s="89">
        <v>42463.445602890577</v>
      </c>
      <c r="DV251" s="89">
        <v>650.92622713000014</v>
      </c>
      <c r="DW251" s="89">
        <v>46704.937518069317</v>
      </c>
      <c r="DX251" s="89">
        <v>-24858.811197935393</v>
      </c>
      <c r="DY251" s="88">
        <v>11811.138504</v>
      </c>
      <c r="DZ251" s="89">
        <f t="shared" si="15"/>
        <v>60.586825999999974</v>
      </c>
      <c r="EA251" s="89">
        <v>1330.303148</v>
      </c>
      <c r="EB251" s="89">
        <v>-1269.716322</v>
      </c>
      <c r="EC251" s="89">
        <v>11750.551678</v>
      </c>
      <c r="ED251" s="89"/>
      <c r="EE251" s="88">
        <v>15804.131130441683</v>
      </c>
      <c r="EF251" s="89">
        <v>-1502.5717924899998</v>
      </c>
      <c r="EG251" s="89">
        <v>-1508.6421195899998</v>
      </c>
      <c r="EH251" s="89">
        <v>6.0703271000000001</v>
      </c>
      <c r="EI251" s="89">
        <v>23509.546106730002</v>
      </c>
      <c r="EJ251" s="89">
        <v>-6202.8431837983208</v>
      </c>
      <c r="EK251" s="88">
        <v>17606575.650548786</v>
      </c>
      <c r="EL251" s="89">
        <v>-6784414.8995601106</v>
      </c>
      <c r="EM251" s="89">
        <v>-4881621.3486736007</v>
      </c>
      <c r="EN251" s="89">
        <v>-1902793.5508865099</v>
      </c>
      <c r="EO251" s="89">
        <v>24927371.430558875</v>
      </c>
      <c r="EP251" s="89">
        <v>-536380.88044998003</v>
      </c>
      <c r="EQ251" s="88">
        <v>84732.539446800001</v>
      </c>
      <c r="ER251" s="89">
        <v>-21983.722187800002</v>
      </c>
      <c r="ES251" s="89"/>
      <c r="ET251" s="89"/>
      <c r="EU251" s="89">
        <v>150049.62576999998</v>
      </c>
      <c r="EV251" s="89">
        <v>-43333.364135399985</v>
      </c>
      <c r="EW251" s="88">
        <v>708956.05284961371</v>
      </c>
      <c r="EX251" s="89">
        <f t="shared" si="17"/>
        <v>399167.24580097996</v>
      </c>
      <c r="EY251" s="89">
        <v>381364.64114351996</v>
      </c>
      <c r="EZ251" s="89">
        <v>17802.60465746</v>
      </c>
      <c r="FA251" s="89">
        <v>413874.06165113999</v>
      </c>
      <c r="FB251" s="89">
        <v>-104085.25460250613</v>
      </c>
      <c r="FC251" s="88">
        <v>1794.6725389999999</v>
      </c>
      <c r="FD251" s="89">
        <v>459.72553899999991</v>
      </c>
      <c r="FE251" s="89">
        <v>863.15782899999988</v>
      </c>
      <c r="FF251" s="89">
        <v>-403.43228999999997</v>
      </c>
      <c r="FG251" s="89">
        <v>1334.9469999999999</v>
      </c>
      <c r="FH251" s="89"/>
      <c r="FI251" s="88">
        <v>1000.671877</v>
      </c>
      <c r="FJ251" s="89">
        <v>25.473877000000002</v>
      </c>
      <c r="FK251" s="89">
        <v>94.880871999999997</v>
      </c>
      <c r="FL251" s="89">
        <v>-69.406994999999995</v>
      </c>
      <c r="FM251" s="89">
        <v>975.19799999999998</v>
      </c>
      <c r="FN251" s="89"/>
      <c r="FO251" s="88">
        <v>3393.2605559999997</v>
      </c>
      <c r="FP251" s="89">
        <v>-364.72644400000001</v>
      </c>
      <c r="FQ251" s="89">
        <v>-40.582565999999993</v>
      </c>
      <c r="FR251" s="89">
        <v>-324.14387800000003</v>
      </c>
      <c r="FS251" s="89">
        <v>3757.9870000000001</v>
      </c>
      <c r="FT251" s="89"/>
      <c r="FU251" s="88">
        <v>3124.3</v>
      </c>
      <c r="FV251" s="89">
        <v>298.8</v>
      </c>
      <c r="FW251" s="89">
        <v>203</v>
      </c>
      <c r="FX251" s="89">
        <v>95.8</v>
      </c>
      <c r="FY251" s="89">
        <v>2766</v>
      </c>
      <c r="FZ251" s="89">
        <v>59.5</v>
      </c>
      <c r="GA251" s="88">
        <v>33222.5</v>
      </c>
      <c r="GB251" s="89">
        <v>-6636.8</v>
      </c>
      <c r="GC251" s="89">
        <v>-14688.5</v>
      </c>
      <c r="GD251" s="89">
        <v>8051.7</v>
      </c>
      <c r="GE251" s="89">
        <v>39859.300000000003</v>
      </c>
      <c r="GF251" s="89"/>
      <c r="GG251" s="88">
        <v>107542.80932763146</v>
      </c>
      <c r="GH251" s="89">
        <v>50642.573511182331</v>
      </c>
      <c r="GI251" s="89">
        <v>49513.756236865709</v>
      </c>
      <c r="GJ251" s="89">
        <v>1128.8172743166197</v>
      </c>
      <c r="GK251" s="89">
        <v>157936.88714457909</v>
      </c>
      <c r="GL251" s="89">
        <v>-101036.65132812996</v>
      </c>
      <c r="GM251" s="88">
        <v>260088.89988011998</v>
      </c>
      <c r="GN251" s="89">
        <v>53639.068778119996</v>
      </c>
      <c r="GO251" s="89">
        <v>48727.210491639999</v>
      </c>
      <c r="GP251" s="89">
        <v>4911.8582864799973</v>
      </c>
      <c r="GQ251" s="89">
        <v>173164.17051536997</v>
      </c>
      <c r="GR251" s="89">
        <v>33285.660586630001</v>
      </c>
    </row>
    <row r="252" spans="1:200">
      <c r="B252" s="93" t="s">
        <v>497</v>
      </c>
      <c r="C252" s="88">
        <v>2995.3410549999999</v>
      </c>
      <c r="D252" s="87">
        <v>440.3120550000001</v>
      </c>
      <c r="E252" s="87">
        <v>526.29945900000007</v>
      </c>
      <c r="F252" s="87">
        <v>-85.987403999999998</v>
      </c>
      <c r="G252" s="87">
        <v>2555.029</v>
      </c>
      <c r="H252" s="87"/>
      <c r="I252" s="88">
        <v>275990.64200000005</v>
      </c>
      <c r="J252" s="89">
        <v>289799.701</v>
      </c>
      <c r="K252" s="89"/>
      <c r="L252" s="89"/>
      <c r="M252" s="89">
        <v>188154.84400000001</v>
      </c>
      <c r="N252" s="89">
        <v>-201963.90299999999</v>
      </c>
      <c r="O252" s="88">
        <v>8444.5</v>
      </c>
      <c r="P252" s="89">
        <v>1869</v>
      </c>
      <c r="Q252" s="89">
        <v>1346.2</v>
      </c>
      <c r="R252" s="89">
        <v>522.79999999999995</v>
      </c>
      <c r="S252" s="89">
        <v>6575.5</v>
      </c>
      <c r="T252" s="89"/>
      <c r="U252" s="88">
        <v>6814.2185700000009</v>
      </c>
      <c r="V252" s="89">
        <v>1349.2115699999999</v>
      </c>
      <c r="W252" s="89">
        <v>798.65062</v>
      </c>
      <c r="X252" s="89">
        <v>550.56095000000005</v>
      </c>
      <c r="Y252" s="89">
        <v>5465.0070000000005</v>
      </c>
      <c r="Z252" s="89"/>
      <c r="AA252" s="88">
        <v>1966.954</v>
      </c>
      <c r="AB252" s="89">
        <v>230.309</v>
      </c>
      <c r="AC252" s="89">
        <v>223.285</v>
      </c>
      <c r="AD252" s="89">
        <v>7.024</v>
      </c>
      <c r="AE252" s="89">
        <v>1736.645</v>
      </c>
      <c r="AF252" s="89"/>
      <c r="AG252" s="88">
        <v>57947.496252230769</v>
      </c>
      <c r="AH252" s="89">
        <v>11633.913375636943</v>
      </c>
      <c r="AI252" s="89">
        <v>11633.913375636943</v>
      </c>
      <c r="AJ252" s="89"/>
      <c r="AK252" s="89">
        <v>46313.582876593828</v>
      </c>
      <c r="AL252" s="89"/>
      <c r="AM252" s="88">
        <v>3512843</v>
      </c>
      <c r="AN252" s="89">
        <v>1299365</v>
      </c>
      <c r="AO252" s="89">
        <v>1241474</v>
      </c>
      <c r="AP252" s="89">
        <v>57891</v>
      </c>
      <c r="AQ252" s="89">
        <v>1899907</v>
      </c>
      <c r="AR252" s="89">
        <v>313571</v>
      </c>
      <c r="AS252" s="88">
        <v>59308000</v>
      </c>
      <c r="AT252" s="89">
        <v>-2111417.0989999999</v>
      </c>
      <c r="AU252" s="89">
        <v>-2111417.0989999999</v>
      </c>
      <c r="AV252" s="89"/>
      <c r="AW252" s="89">
        <v>72722938.409999996</v>
      </c>
      <c r="AX252" s="89">
        <v>-11303607.200000001</v>
      </c>
      <c r="AY252" s="88">
        <v>214126127.19112495</v>
      </c>
      <c r="AZ252" s="89">
        <f t="shared" si="16"/>
        <v>47102032.805545546</v>
      </c>
      <c r="BA252" s="89">
        <v>36774896.983822554</v>
      </c>
      <c r="BB252" s="89">
        <v>10327135.82172299</v>
      </c>
      <c r="BC252" s="89">
        <v>167024094.38557941</v>
      </c>
      <c r="BD252" s="89"/>
      <c r="BE252" s="88">
        <v>8138670.4994277898</v>
      </c>
      <c r="BF252" s="89">
        <v>463835.05270930997</v>
      </c>
      <c r="BG252" s="89">
        <v>393122.99115373997</v>
      </c>
      <c r="BH252" s="89">
        <v>70712.061555570006</v>
      </c>
      <c r="BI252" s="89">
        <v>8284032.8055979703</v>
      </c>
      <c r="BJ252" s="89">
        <v>-609197.35887949006</v>
      </c>
      <c r="BK252" s="88">
        <v>546.58113000000003</v>
      </c>
      <c r="BL252" s="89">
        <v>-155.01487</v>
      </c>
      <c r="BM252" s="89">
        <v>-63.485894999999992</v>
      </c>
      <c r="BN252" s="89">
        <v>-91.528975000000003</v>
      </c>
      <c r="BO252" s="89">
        <v>701.596</v>
      </c>
      <c r="BP252" s="89"/>
      <c r="BQ252" s="88">
        <v>12892.708518999998</v>
      </c>
      <c r="BR252" s="89">
        <v>-3325.81176</v>
      </c>
      <c r="BS252" s="89">
        <v>-2524.145426</v>
      </c>
      <c r="BT252" s="89">
        <v>-801.66633400000001</v>
      </c>
      <c r="BU252" s="89">
        <v>16218.520278999998</v>
      </c>
      <c r="BV252" s="89"/>
      <c r="BW252" s="88">
        <v>12117.794031481859</v>
      </c>
      <c r="BX252" s="89">
        <v>5091.1646860418577</v>
      </c>
      <c r="BY252" s="89">
        <v>4965.3124540918579</v>
      </c>
      <c r="BZ252" s="89">
        <v>125.85223195</v>
      </c>
      <c r="CA252" s="89">
        <v>8587.8522037799994</v>
      </c>
      <c r="CB252" s="89">
        <v>-1561.2228583399997</v>
      </c>
      <c r="CC252" s="88">
        <v>1697.8752910000001</v>
      </c>
      <c r="CD252" s="89">
        <v>-51.442709000000008</v>
      </c>
      <c r="CE252" s="89">
        <v>128.72699399999999</v>
      </c>
      <c r="CF252" s="89">
        <v>-180.169703</v>
      </c>
      <c r="CG252" s="89">
        <v>1749.318</v>
      </c>
      <c r="CH252" s="89"/>
      <c r="CI252" s="88">
        <v>101936.6</v>
      </c>
      <c r="CJ252" s="89">
        <v>39002.6</v>
      </c>
      <c r="CK252" s="89">
        <v>25039.599999999999</v>
      </c>
      <c r="CL252" s="89">
        <v>13963</v>
      </c>
      <c r="CM252" s="89">
        <v>76169.2</v>
      </c>
      <c r="CN252" s="89">
        <v>-13235.1</v>
      </c>
      <c r="CO252" s="88">
        <v>52752.3</v>
      </c>
      <c r="CP252" s="89">
        <v>-38887.599999999999</v>
      </c>
      <c r="CQ252" s="89">
        <v>-4970.3999999999996</v>
      </c>
      <c r="CR252" s="89">
        <v>-33917.199999999997</v>
      </c>
      <c r="CS252" s="89">
        <v>105349.2</v>
      </c>
      <c r="CT252" s="89">
        <v>-13709.3</v>
      </c>
      <c r="CU252" s="88">
        <v>36243.065861436931</v>
      </c>
      <c r="CV252" s="89">
        <v>-4342.0150662541237</v>
      </c>
      <c r="CW252" s="89">
        <v>-1559.3058665532246</v>
      </c>
      <c r="CX252" s="89">
        <v>-2782.7091997009002</v>
      </c>
      <c r="CY252" s="89">
        <v>40585.080927691059</v>
      </c>
      <c r="CZ252" s="89"/>
      <c r="DA252" s="88">
        <v>96893.278824068708</v>
      </c>
      <c r="DB252" s="89">
        <v>6184.2072167745528</v>
      </c>
      <c r="DC252" s="89">
        <v>2941.0157741615694</v>
      </c>
      <c r="DD252" s="89">
        <v>3242.9999049029821</v>
      </c>
      <c r="DE252" s="89">
        <v>141814.28901614118</v>
      </c>
      <c r="DF252" s="89">
        <v>-51105.025871137026</v>
      </c>
      <c r="DG252" s="88">
        <v>333215.39867535984</v>
      </c>
      <c r="DH252" s="89">
        <v>143554.6666753598</v>
      </c>
      <c r="DI252" s="89"/>
      <c r="DJ252" s="89"/>
      <c r="DK252" s="89">
        <v>209106.223</v>
      </c>
      <c r="DL252" s="89">
        <v>-19445.491000000002</v>
      </c>
      <c r="DM252" s="88">
        <v>5725859.3294762596</v>
      </c>
      <c r="DN252" s="89">
        <v>2640181.9334762595</v>
      </c>
      <c r="DO252" s="89">
        <v>2248746.6304762596</v>
      </c>
      <c r="DP252" s="89">
        <v>391435.30299999996</v>
      </c>
      <c r="DQ252" s="89">
        <v>3085677.3960000002</v>
      </c>
      <c r="DR252" s="89"/>
      <c r="DS252" s="88">
        <v>64236.872820423509</v>
      </c>
      <c r="DT252" s="89">
        <v>43025.793495462764</v>
      </c>
      <c r="DU252" s="89">
        <v>42378.511294142765</v>
      </c>
      <c r="DV252" s="89">
        <v>647.28220132000001</v>
      </c>
      <c r="DW252" s="89">
        <v>47093.050826374558</v>
      </c>
      <c r="DX252" s="89">
        <v>-25881.97150141382</v>
      </c>
      <c r="DY252" s="88">
        <v>11811.608286000001</v>
      </c>
      <c r="DZ252" s="89">
        <f t="shared" si="15"/>
        <v>77.025986000000103</v>
      </c>
      <c r="EA252" s="89">
        <v>1396.954686</v>
      </c>
      <c r="EB252" s="89">
        <v>-1319.9286999999999</v>
      </c>
      <c r="EC252" s="89">
        <v>11734.5823</v>
      </c>
      <c r="ED252" s="89"/>
      <c r="EE252" s="88">
        <v>16223.04557647312</v>
      </c>
      <c r="EF252" s="89">
        <v>-1478.5080266399998</v>
      </c>
      <c r="EG252" s="89">
        <v>-1488.5941856499999</v>
      </c>
      <c r="EH252" s="89">
        <v>10.086159009999999</v>
      </c>
      <c r="EI252" s="89">
        <v>23939.20671667</v>
      </c>
      <c r="EJ252" s="89">
        <v>-6237.6531135568794</v>
      </c>
      <c r="EK252" s="88">
        <v>18598576.783880092</v>
      </c>
      <c r="EL252" s="89">
        <v>-6840163.0474768607</v>
      </c>
      <c r="EM252" s="89">
        <v>-5043652.8177227704</v>
      </c>
      <c r="EN252" s="89">
        <v>-1796510.2297540901</v>
      </c>
      <c r="EO252" s="89">
        <v>25966848.680525832</v>
      </c>
      <c r="EP252" s="89">
        <v>-528108.84916887991</v>
      </c>
      <c r="EQ252" s="88">
        <v>83367.664588349988</v>
      </c>
      <c r="ER252" s="89">
        <v>-23742.086629269994</v>
      </c>
      <c r="ES252" s="89"/>
      <c r="ET252" s="89"/>
      <c r="EU252" s="89">
        <v>152694.36049752001</v>
      </c>
      <c r="EV252" s="89">
        <v>-45584.609279900033</v>
      </c>
      <c r="EW252" s="88">
        <v>721526.87646551675</v>
      </c>
      <c r="EX252" s="89">
        <f t="shared" si="17"/>
        <v>399863.12002150004</v>
      </c>
      <c r="EY252" s="89">
        <v>381064.57082976005</v>
      </c>
      <c r="EZ252" s="89">
        <v>18798.54919174</v>
      </c>
      <c r="FA252" s="89">
        <v>417614.81722930999</v>
      </c>
      <c r="FB252" s="89">
        <v>-95951.060785293332</v>
      </c>
      <c r="FC252" s="88">
        <v>1801.8961319999999</v>
      </c>
      <c r="FD252" s="89">
        <v>473.3821319999999</v>
      </c>
      <c r="FE252" s="89">
        <v>869.45142199999987</v>
      </c>
      <c r="FF252" s="89">
        <v>-396.06928999999997</v>
      </c>
      <c r="FG252" s="89">
        <v>1328.5139999999999</v>
      </c>
      <c r="FH252" s="89"/>
      <c r="FI252" s="88">
        <v>998.61914799999988</v>
      </c>
      <c r="FJ252" s="89">
        <v>32.130147999999991</v>
      </c>
      <c r="FK252" s="89">
        <v>102.17415699999999</v>
      </c>
      <c r="FL252" s="89">
        <v>-70.044009000000003</v>
      </c>
      <c r="FM252" s="89">
        <v>966.48900000000003</v>
      </c>
      <c r="FN252" s="89"/>
      <c r="FO252" s="88">
        <v>3429.8977739999996</v>
      </c>
      <c r="FP252" s="89">
        <v>-354.85422599999998</v>
      </c>
      <c r="FQ252" s="89">
        <v>-27.911347999999997</v>
      </c>
      <c r="FR252" s="89">
        <v>-326.94287800000001</v>
      </c>
      <c r="FS252" s="89">
        <v>3784.752</v>
      </c>
      <c r="FT252" s="89"/>
      <c r="FU252" s="88">
        <v>3142.6</v>
      </c>
      <c r="FV252" s="89">
        <v>268.8</v>
      </c>
      <c r="FW252" s="89">
        <v>173.8</v>
      </c>
      <c r="FX252" s="89">
        <v>95</v>
      </c>
      <c r="FY252" s="89">
        <v>2811.7</v>
      </c>
      <c r="FZ252" s="89">
        <v>62.1</v>
      </c>
      <c r="GA252" s="88">
        <v>32486.799999999999</v>
      </c>
      <c r="GB252" s="89">
        <v>-7493.6999999999989</v>
      </c>
      <c r="GC252" s="89">
        <v>-15797.8</v>
      </c>
      <c r="GD252" s="89">
        <v>8304.1</v>
      </c>
      <c r="GE252" s="89">
        <v>39980.5</v>
      </c>
      <c r="GF252" s="89"/>
      <c r="GG252" s="88">
        <v>107450.3947603156</v>
      </c>
      <c r="GH252" s="89">
        <v>51886.914327650418</v>
      </c>
      <c r="GI252" s="89">
        <v>50097.617937800969</v>
      </c>
      <c r="GJ252" s="89">
        <v>1789.2963898494399</v>
      </c>
      <c r="GK252" s="89">
        <v>161625.52990695275</v>
      </c>
      <c r="GL252" s="89">
        <v>-106062.04947428757</v>
      </c>
      <c r="GM252" s="88">
        <v>267055.07508507004</v>
      </c>
      <c r="GN252" s="89">
        <v>52556.650801710013</v>
      </c>
      <c r="GO252" s="89">
        <v>47929.331101130003</v>
      </c>
      <c r="GP252" s="89">
        <v>4627.3197005800102</v>
      </c>
      <c r="GQ252" s="89">
        <v>176052.69769386001</v>
      </c>
      <c r="GR252" s="89">
        <v>38445.726589499995</v>
      </c>
    </row>
    <row r="253" spans="1:200">
      <c r="B253" s="93" t="s">
        <v>498</v>
      </c>
      <c r="C253" s="88">
        <v>2925.3689629999994</v>
      </c>
      <c r="D253" s="87">
        <v>407.95896299999998</v>
      </c>
      <c r="E253" s="87">
        <v>481.25816299999997</v>
      </c>
      <c r="F253" s="87">
        <v>-73.299199999999999</v>
      </c>
      <c r="G253" s="87">
        <v>2517.41</v>
      </c>
      <c r="H253" s="87"/>
      <c r="I253" s="88">
        <v>286801.28399999999</v>
      </c>
      <c r="J253" s="89">
        <v>298662.62875424005</v>
      </c>
      <c r="K253" s="89"/>
      <c r="L253" s="89"/>
      <c r="M253" s="89">
        <v>194486.209</v>
      </c>
      <c r="N253" s="89">
        <v>-206347.55375424004</v>
      </c>
      <c r="O253" s="88">
        <v>8472.6</v>
      </c>
      <c r="P253" s="89">
        <v>1917.8000000000002</v>
      </c>
      <c r="Q253" s="89">
        <v>1393.9</v>
      </c>
      <c r="R253" s="89">
        <v>523.9</v>
      </c>
      <c r="S253" s="89">
        <v>6554.9</v>
      </c>
      <c r="T253" s="89"/>
      <c r="U253" s="88">
        <v>6938.8471200000004</v>
      </c>
      <c r="V253" s="89">
        <v>1472.10312</v>
      </c>
      <c r="W253" s="89">
        <v>930.92417</v>
      </c>
      <c r="X253" s="89">
        <v>541.17894999999999</v>
      </c>
      <c r="Y253" s="89">
        <v>5466.7440000000006</v>
      </c>
      <c r="Z253" s="89"/>
      <c r="AA253" s="88">
        <v>1973.0450000000001</v>
      </c>
      <c r="AB253" s="89">
        <v>227.35</v>
      </c>
      <c r="AC253" s="89">
        <v>220.935</v>
      </c>
      <c r="AD253" s="89">
        <v>6.415</v>
      </c>
      <c r="AE253" s="89">
        <v>1745.6949999999999</v>
      </c>
      <c r="AF253" s="89"/>
      <c r="AG253" s="88">
        <v>58808.327429439203</v>
      </c>
      <c r="AH253" s="89">
        <v>11570.022274012177</v>
      </c>
      <c r="AI253" s="89">
        <v>11570.022274012177</v>
      </c>
      <c r="AJ253" s="89"/>
      <c r="AK253" s="89">
        <v>47238.305155427028</v>
      </c>
      <c r="AL253" s="89"/>
      <c r="AM253" s="88">
        <v>3530856</v>
      </c>
      <c r="AN253" s="89">
        <v>1299241</v>
      </c>
      <c r="AO253" s="89">
        <v>1241277</v>
      </c>
      <c r="AP253" s="89">
        <v>57964</v>
      </c>
      <c r="AQ253" s="89">
        <v>1918195</v>
      </c>
      <c r="AR253" s="89">
        <v>313420</v>
      </c>
      <c r="AS253" s="88">
        <v>60641000</v>
      </c>
      <c r="AT253" s="89">
        <v>-2049039.183</v>
      </c>
      <c r="AU253" s="89">
        <v>-2049039.183</v>
      </c>
      <c r="AV253" s="89"/>
      <c r="AW253" s="89">
        <v>73751288.900000006</v>
      </c>
      <c r="AX253" s="89">
        <v>-11061397.18</v>
      </c>
      <c r="AY253" s="88">
        <v>217746259.24653861</v>
      </c>
      <c r="AZ253" s="89">
        <f t="shared" si="16"/>
        <v>48336472.942535684</v>
      </c>
      <c r="BA253" s="89">
        <v>37380534.57696861</v>
      </c>
      <c r="BB253" s="89">
        <v>10955938.36556707</v>
      </c>
      <c r="BC253" s="89">
        <v>169409786.30400291</v>
      </c>
      <c r="BD253" s="89"/>
      <c r="BE253" s="88">
        <v>8277978.0068788696</v>
      </c>
      <c r="BF253" s="89">
        <v>466465.70302443003</v>
      </c>
      <c r="BG253" s="89">
        <v>392603.66538869002</v>
      </c>
      <c r="BH253" s="89">
        <v>73862.037635739995</v>
      </c>
      <c r="BI253" s="89">
        <v>8419290.9326734301</v>
      </c>
      <c r="BJ253" s="89">
        <v>-607778.62881898996</v>
      </c>
      <c r="BK253" s="88">
        <v>575.01984400000003</v>
      </c>
      <c r="BL253" s="89">
        <v>-133.81715600000001</v>
      </c>
      <c r="BM253" s="89">
        <v>-52.901180999999994</v>
      </c>
      <c r="BN253" s="89">
        <v>-80.915975000000003</v>
      </c>
      <c r="BO253" s="89">
        <v>708.83699999999999</v>
      </c>
      <c r="BP253" s="89"/>
      <c r="BQ253" s="88">
        <v>13997.259881000002</v>
      </c>
      <c r="BR253" s="89">
        <v>-2480.5903559999997</v>
      </c>
      <c r="BS253" s="89">
        <v>-1318.594317</v>
      </c>
      <c r="BT253" s="89">
        <v>-1161.9960389999999</v>
      </c>
      <c r="BU253" s="89">
        <v>16477.850237000002</v>
      </c>
      <c r="BV253" s="89"/>
      <c r="BW253" s="88">
        <v>11966.303085331858</v>
      </c>
      <c r="BX253" s="89">
        <v>5019.8450019118573</v>
      </c>
      <c r="BY253" s="89">
        <v>4889.0413009818576</v>
      </c>
      <c r="BZ253" s="89">
        <v>130.80370092999999</v>
      </c>
      <c r="CA253" s="89">
        <v>8590.5801581301221</v>
      </c>
      <c r="CB253" s="89">
        <v>-1644.1220747101215</v>
      </c>
      <c r="CC253" s="88">
        <v>1708.9679079999999</v>
      </c>
      <c r="CD253" s="89">
        <v>-45.14609200000001</v>
      </c>
      <c r="CE253" s="89">
        <v>136.35924799999998</v>
      </c>
      <c r="CF253" s="89">
        <v>-181.50533999999999</v>
      </c>
      <c r="CG253" s="89">
        <v>1754.114</v>
      </c>
      <c r="CH253" s="89"/>
      <c r="CI253" s="88">
        <v>103575.7</v>
      </c>
      <c r="CJ253" s="89">
        <v>39136.200000000004</v>
      </c>
      <c r="CK253" s="89">
        <v>24925.9</v>
      </c>
      <c r="CL253" s="89">
        <v>14210.300000000001</v>
      </c>
      <c r="CM253" s="89">
        <v>77244.799999999988</v>
      </c>
      <c r="CN253" s="89">
        <v>-12805.4</v>
      </c>
      <c r="CO253" s="88">
        <v>61026.7</v>
      </c>
      <c r="CP253" s="89">
        <v>-32199.4</v>
      </c>
      <c r="CQ253" s="89">
        <v>1681.8</v>
      </c>
      <c r="CR253" s="89">
        <v>-33881.200000000004</v>
      </c>
      <c r="CS253" s="89">
        <v>107387.5</v>
      </c>
      <c r="CT253" s="89">
        <v>-14161.4</v>
      </c>
      <c r="CU253" s="88">
        <v>36019.177989031101</v>
      </c>
      <c r="CV253" s="89">
        <v>-5463.4702381279103</v>
      </c>
      <c r="CW253" s="89">
        <v>-2603.5807185691669</v>
      </c>
      <c r="CX253" s="89">
        <v>-2859.8895195587438</v>
      </c>
      <c r="CY253" s="89">
        <v>41482.648227159014</v>
      </c>
      <c r="CZ253" s="89"/>
      <c r="DA253" s="88">
        <v>99007.709887821868</v>
      </c>
      <c r="DB253" s="89">
        <v>8118.4028534273948</v>
      </c>
      <c r="DC253" s="89">
        <v>4854.7244915022638</v>
      </c>
      <c r="DD253" s="89">
        <v>3263.4752130451334</v>
      </c>
      <c r="DE253" s="89">
        <v>143604.11895412911</v>
      </c>
      <c r="DF253" s="89">
        <v>-52714.608770854662</v>
      </c>
      <c r="DG253" s="88">
        <v>316583.45458197559</v>
      </c>
      <c r="DH253" s="89">
        <v>131246.88958197553</v>
      </c>
      <c r="DI253" s="89"/>
      <c r="DJ253" s="89"/>
      <c r="DK253" s="89">
        <v>208988.383</v>
      </c>
      <c r="DL253" s="89">
        <v>-23651.817999999999</v>
      </c>
      <c r="DM253" s="88">
        <v>5780642.1655154405</v>
      </c>
      <c r="DN253" s="89">
        <v>2643961.0275154398</v>
      </c>
      <c r="DO253" s="89">
        <v>2262978.3495154399</v>
      </c>
      <c r="DP253" s="89">
        <v>380982.67800000001</v>
      </c>
      <c r="DQ253" s="89">
        <v>3136681.1379999998</v>
      </c>
      <c r="DR253" s="89"/>
      <c r="DS253" s="88">
        <v>64355.344971169194</v>
      </c>
      <c r="DT253" s="89">
        <v>42502.853964545138</v>
      </c>
      <c r="DU253" s="89">
        <v>41843.37461435514</v>
      </c>
      <c r="DV253" s="89">
        <v>659.47935018999988</v>
      </c>
      <c r="DW253" s="89">
        <v>47604.499244987252</v>
      </c>
      <c r="DX253" s="89">
        <v>-25752.0082383632</v>
      </c>
      <c r="DY253" s="88">
        <v>11748.327218</v>
      </c>
      <c r="DZ253" s="89">
        <f t="shared" ref="DZ253:DZ316" si="18">EA253+EB253</f>
        <v>50.390351999999893</v>
      </c>
      <c r="EA253" s="89">
        <v>1364.1144859999999</v>
      </c>
      <c r="EB253" s="89">
        <v>-1313.724134</v>
      </c>
      <c r="EC253" s="89">
        <v>11697.936866</v>
      </c>
      <c r="ED253" s="89"/>
      <c r="EE253" s="88">
        <v>16711.058971061917</v>
      </c>
      <c r="EF253" s="89">
        <v>-1401.60995114</v>
      </c>
      <c r="EG253" s="89">
        <v>-1413.8562440999999</v>
      </c>
      <c r="EH253" s="89">
        <v>12.24629296</v>
      </c>
      <c r="EI253" s="89">
        <v>24258.414391249997</v>
      </c>
      <c r="EJ253" s="89">
        <v>-6145.7454690480799</v>
      </c>
      <c r="EK253" s="88">
        <v>19465008.890241001</v>
      </c>
      <c r="EL253" s="89">
        <v>-7096347.0018436993</v>
      </c>
      <c r="EM253" s="89">
        <v>-5304923.3284683097</v>
      </c>
      <c r="EN253" s="89">
        <v>-1791423.6733753895</v>
      </c>
      <c r="EO253" s="89">
        <v>27093370.530040938</v>
      </c>
      <c r="EP253" s="89">
        <v>-532014.63795623998</v>
      </c>
      <c r="EQ253" s="88">
        <v>84350.404070800025</v>
      </c>
      <c r="ER253" s="89">
        <v>-24114.5156064</v>
      </c>
      <c r="ES253" s="89"/>
      <c r="ET253" s="89"/>
      <c r="EU253" s="89">
        <v>156428.55503260001</v>
      </c>
      <c r="EV253" s="89">
        <v>-47963.63535539998</v>
      </c>
      <c r="EW253" s="88">
        <v>723452.87596596661</v>
      </c>
      <c r="EX253" s="89">
        <f t="shared" si="17"/>
        <v>391478.79398322001</v>
      </c>
      <c r="EY253" s="89">
        <v>374115.12671619002</v>
      </c>
      <c r="EZ253" s="89">
        <v>17363.667267029996</v>
      </c>
      <c r="FA253" s="89">
        <v>433151.72786332003</v>
      </c>
      <c r="FB253" s="89">
        <v>-101177.64588057349</v>
      </c>
      <c r="FC253" s="88">
        <v>1811.980159</v>
      </c>
      <c r="FD253" s="89">
        <v>477.04715900000019</v>
      </c>
      <c r="FE253" s="89">
        <v>878.52244900000017</v>
      </c>
      <c r="FF253" s="89">
        <v>-401.47528999999997</v>
      </c>
      <c r="FG253" s="89">
        <v>1334.933</v>
      </c>
      <c r="FH253" s="89"/>
      <c r="FI253" s="88">
        <v>999.34794199999999</v>
      </c>
      <c r="FJ253" s="89">
        <v>39.580941999999979</v>
      </c>
      <c r="FK253" s="89">
        <v>103.65595199999998</v>
      </c>
      <c r="FL253" s="89">
        <v>-64.075010000000006</v>
      </c>
      <c r="FM253" s="89">
        <v>959.76700000000005</v>
      </c>
      <c r="FN253" s="89"/>
      <c r="FO253" s="88">
        <v>3409.0838239999998</v>
      </c>
      <c r="FP253" s="89">
        <v>-366.50017600000001</v>
      </c>
      <c r="FQ253" s="89">
        <v>-35.067298000000008</v>
      </c>
      <c r="FR253" s="89">
        <v>-331.43287800000002</v>
      </c>
      <c r="FS253" s="89">
        <v>3775.5839999999998</v>
      </c>
      <c r="FT253" s="89"/>
      <c r="FU253" s="88">
        <v>3151.0000000000005</v>
      </c>
      <c r="FV253" s="89">
        <v>233.79999999999998</v>
      </c>
      <c r="FW253" s="89">
        <v>139.19999999999999</v>
      </c>
      <c r="FX253" s="89">
        <v>94.6</v>
      </c>
      <c r="FY253" s="89">
        <v>2854.8</v>
      </c>
      <c r="FZ253" s="89">
        <v>62.4</v>
      </c>
      <c r="GA253" s="88">
        <v>34598</v>
      </c>
      <c r="GB253" s="89">
        <v>-5235.5999999999995</v>
      </c>
      <c r="GC253" s="89">
        <v>-13426.3</v>
      </c>
      <c r="GD253" s="89">
        <v>8190.7</v>
      </c>
      <c r="GE253" s="89">
        <v>39833.599999999999</v>
      </c>
      <c r="GF253" s="89"/>
      <c r="GG253" s="88">
        <v>120364.48915078078</v>
      </c>
      <c r="GH253" s="89">
        <v>70592.540234151398</v>
      </c>
      <c r="GI253" s="89">
        <v>68108.358321982072</v>
      </c>
      <c r="GJ253" s="89">
        <v>2484.1819121693297</v>
      </c>
      <c r="GK253" s="89">
        <v>165048.18668503329</v>
      </c>
      <c r="GL253" s="89">
        <v>-115276.23776840391</v>
      </c>
      <c r="GM253" s="88">
        <v>278292.48096667003</v>
      </c>
      <c r="GN253" s="89">
        <v>55332.962583649991</v>
      </c>
      <c r="GO253" s="89">
        <v>49523.320584889996</v>
      </c>
      <c r="GP253" s="89">
        <v>5809.6419987599947</v>
      </c>
      <c r="GQ253" s="89">
        <v>186005.44667638003</v>
      </c>
      <c r="GR253" s="89">
        <v>36954.071706639988</v>
      </c>
    </row>
    <row r="254" spans="1:200">
      <c r="B254" s="93" t="s">
        <v>499</v>
      </c>
      <c r="C254" s="88">
        <v>2902.3116409999998</v>
      </c>
      <c r="D254" s="87">
        <v>397.773641</v>
      </c>
      <c r="E254" s="87">
        <v>480.63884100000001</v>
      </c>
      <c r="F254" s="87">
        <v>-82.865200000000002</v>
      </c>
      <c r="G254" s="87">
        <v>2504.538</v>
      </c>
      <c r="H254" s="87"/>
      <c r="I254" s="88">
        <v>298394.66800000006</v>
      </c>
      <c r="J254" s="89">
        <v>299358.61900000001</v>
      </c>
      <c r="K254" s="89"/>
      <c r="L254" s="89"/>
      <c r="M254" s="89">
        <v>201186.18100000001</v>
      </c>
      <c r="N254" s="89">
        <v>-202150.13200000001</v>
      </c>
      <c r="O254" s="88">
        <v>8471.7999999999993</v>
      </c>
      <c r="P254" s="89">
        <v>1911</v>
      </c>
      <c r="Q254" s="89">
        <v>1412.9</v>
      </c>
      <c r="R254" s="89">
        <v>498.1</v>
      </c>
      <c r="S254" s="89">
        <v>6560.8</v>
      </c>
      <c r="T254" s="89"/>
      <c r="U254" s="88">
        <v>6899.9286700000002</v>
      </c>
      <c r="V254" s="89">
        <v>1431.6696700000002</v>
      </c>
      <c r="W254" s="89">
        <v>903.42581000000007</v>
      </c>
      <c r="X254" s="89">
        <v>528.24386000000004</v>
      </c>
      <c r="Y254" s="89">
        <v>5468.259</v>
      </c>
      <c r="Z254" s="89"/>
      <c r="AA254" s="88">
        <v>1954.9369999999999</v>
      </c>
      <c r="AB254" s="89">
        <v>200.10000000000002</v>
      </c>
      <c r="AC254" s="89">
        <v>193.47900000000001</v>
      </c>
      <c r="AD254" s="89">
        <v>6.6210000000000004</v>
      </c>
      <c r="AE254" s="89">
        <v>1754.837</v>
      </c>
      <c r="AF254" s="89"/>
      <c r="AG254" s="88">
        <v>59750.340995660037</v>
      </c>
      <c r="AH254" s="89">
        <v>11652.074127350654</v>
      </c>
      <c r="AI254" s="89">
        <v>11652.074127350654</v>
      </c>
      <c r="AJ254" s="89"/>
      <c r="AK254" s="89">
        <v>48098.266868309387</v>
      </c>
      <c r="AL254" s="89"/>
      <c r="AM254" s="88">
        <v>3580859</v>
      </c>
      <c r="AN254" s="89">
        <v>1314923</v>
      </c>
      <c r="AO254" s="89">
        <v>1252373</v>
      </c>
      <c r="AP254" s="89">
        <v>62550</v>
      </c>
      <c r="AQ254" s="89">
        <v>1957264</v>
      </c>
      <c r="AR254" s="89">
        <v>308671</v>
      </c>
      <c r="AS254" s="88">
        <v>61232000</v>
      </c>
      <c r="AT254" s="89">
        <v>-3162047.4220000003</v>
      </c>
      <c r="AU254" s="89">
        <v>-3162047.4220000003</v>
      </c>
      <c r="AV254" s="89"/>
      <c r="AW254" s="89">
        <v>74323629.719999999</v>
      </c>
      <c r="AX254" s="89">
        <v>-9930068.8210000005</v>
      </c>
      <c r="AY254" s="88">
        <v>221704498.1829524</v>
      </c>
      <c r="AZ254" s="89">
        <f t="shared" si="16"/>
        <v>47972773.231023684</v>
      </c>
      <c r="BA254" s="89">
        <v>36385899.477769002</v>
      </c>
      <c r="BB254" s="89">
        <v>11586873.75325468</v>
      </c>
      <c r="BC254" s="89">
        <v>173731724.9519287</v>
      </c>
      <c r="BD254" s="89"/>
      <c r="BE254" s="88">
        <v>8514024.5216602609</v>
      </c>
      <c r="BF254" s="89">
        <v>586863.48604759004</v>
      </c>
      <c r="BG254" s="89">
        <v>510432.45506082999</v>
      </c>
      <c r="BH254" s="89">
        <v>76431.030986760001</v>
      </c>
      <c r="BI254" s="89">
        <v>8509187.006935291</v>
      </c>
      <c r="BJ254" s="89">
        <v>-582025.97132262005</v>
      </c>
      <c r="BK254" s="88">
        <v>558.38409799999999</v>
      </c>
      <c r="BL254" s="89">
        <v>-154.92990200000003</v>
      </c>
      <c r="BM254" s="89">
        <v>-67.228927000000013</v>
      </c>
      <c r="BN254" s="89">
        <v>-87.700975</v>
      </c>
      <c r="BO254" s="89">
        <v>713.31399999999996</v>
      </c>
      <c r="BP254" s="89"/>
      <c r="BQ254" s="88">
        <v>14578.876964999999</v>
      </c>
      <c r="BR254" s="89">
        <v>-2263.4065410000003</v>
      </c>
      <c r="BS254" s="89">
        <v>-1329.019951</v>
      </c>
      <c r="BT254" s="89">
        <v>-934.38659000000007</v>
      </c>
      <c r="BU254" s="89">
        <v>16842.283506</v>
      </c>
      <c r="BV254" s="89"/>
      <c r="BW254" s="88">
        <v>11913.84464176186</v>
      </c>
      <c r="BX254" s="89">
        <v>5092.8806891118584</v>
      </c>
      <c r="BY254" s="89">
        <v>4977.6360087618586</v>
      </c>
      <c r="BZ254" s="89">
        <v>115.24468035000001</v>
      </c>
      <c r="CA254" s="89">
        <v>8667.6825739901215</v>
      </c>
      <c r="CB254" s="89">
        <v>-1846.7186213401199</v>
      </c>
      <c r="CC254" s="88">
        <v>1734.463438</v>
      </c>
      <c r="CD254" s="89">
        <v>-29.221562000000006</v>
      </c>
      <c r="CE254" s="89">
        <v>134.549769</v>
      </c>
      <c r="CF254" s="89">
        <v>-163.771331</v>
      </c>
      <c r="CG254" s="89">
        <v>1763.6849999999999</v>
      </c>
      <c r="CH254" s="89"/>
      <c r="CI254" s="88">
        <v>105857.60000000001</v>
      </c>
      <c r="CJ254" s="89">
        <v>40225.600000000006</v>
      </c>
      <c r="CK254" s="89">
        <v>25786.9</v>
      </c>
      <c r="CL254" s="89">
        <v>14438.7</v>
      </c>
      <c r="CM254" s="89">
        <v>78224.100000000006</v>
      </c>
      <c r="CN254" s="89">
        <v>-12592</v>
      </c>
      <c r="CO254" s="88">
        <v>63050.7</v>
      </c>
      <c r="CP254" s="89">
        <v>-31050.1</v>
      </c>
      <c r="CQ254" s="89">
        <v>555.4</v>
      </c>
      <c r="CR254" s="89">
        <v>-31605.5</v>
      </c>
      <c r="CS254" s="89">
        <v>109985.4</v>
      </c>
      <c r="CT254" s="89">
        <v>-15884.6</v>
      </c>
      <c r="CU254" s="88">
        <v>37470.455763402962</v>
      </c>
      <c r="CV254" s="89">
        <v>-4200.886815939677</v>
      </c>
      <c r="CW254" s="89">
        <v>-1220.5417910014689</v>
      </c>
      <c r="CX254" s="89">
        <v>-2980.3450249382086</v>
      </c>
      <c r="CY254" s="89">
        <v>41671.342579342643</v>
      </c>
      <c r="CZ254" s="89"/>
      <c r="DA254" s="88">
        <v>98451.967749737436</v>
      </c>
      <c r="DB254" s="89">
        <v>6451.2393000243746</v>
      </c>
      <c r="DC254" s="89">
        <v>3022.2452302976562</v>
      </c>
      <c r="DD254" s="89">
        <v>3428.7272218967182</v>
      </c>
      <c r="DE254" s="89">
        <v>145232.04291678098</v>
      </c>
      <c r="DF254" s="89">
        <v>-53231.047619237914</v>
      </c>
      <c r="DG254" s="88">
        <v>319701.79914956848</v>
      </c>
      <c r="DH254" s="89">
        <v>135098.4331495685</v>
      </c>
      <c r="DI254" s="89"/>
      <c r="DJ254" s="89"/>
      <c r="DK254" s="89">
        <v>208771.147</v>
      </c>
      <c r="DL254" s="89">
        <v>-24167.780999999999</v>
      </c>
      <c r="DM254" s="88">
        <v>5847489.25633159</v>
      </c>
      <c r="DN254" s="89">
        <v>2637109.1523315897</v>
      </c>
      <c r="DO254" s="89">
        <v>2247907.07733159</v>
      </c>
      <c r="DP254" s="89">
        <v>389202.07499999995</v>
      </c>
      <c r="DQ254" s="89">
        <v>3210380.1039999998</v>
      </c>
      <c r="DR254" s="89"/>
      <c r="DS254" s="88">
        <v>64383.547722875112</v>
      </c>
      <c r="DT254" s="89">
        <v>43754.779013020416</v>
      </c>
      <c r="DU254" s="89">
        <v>42974.175084870418</v>
      </c>
      <c r="DV254" s="89">
        <v>780.60392815</v>
      </c>
      <c r="DW254" s="89">
        <v>48524.880146410171</v>
      </c>
      <c r="DX254" s="89">
        <v>-27896.111436555479</v>
      </c>
      <c r="DY254" s="88">
        <v>11602.247426999998</v>
      </c>
      <c r="DZ254" s="89">
        <f t="shared" si="18"/>
        <v>-58.798448000000008</v>
      </c>
      <c r="EA254" s="89">
        <v>1251.550677</v>
      </c>
      <c r="EB254" s="89">
        <v>-1310.349125</v>
      </c>
      <c r="EC254" s="89">
        <v>11661.045875</v>
      </c>
      <c r="ED254" s="89"/>
      <c r="EE254" s="88">
        <v>16595.938958407161</v>
      </c>
      <c r="EF254" s="89">
        <v>-1678.3276835700001</v>
      </c>
      <c r="EG254" s="89">
        <v>-1690.37638427</v>
      </c>
      <c r="EH254" s="89">
        <v>12.048700699999999</v>
      </c>
      <c r="EI254" s="89">
        <v>24466.113605849998</v>
      </c>
      <c r="EJ254" s="89">
        <v>-6191.8469638728393</v>
      </c>
      <c r="EK254" s="88">
        <v>19277637.212173469</v>
      </c>
      <c r="EL254" s="89">
        <v>-7462674.6957637696</v>
      </c>
      <c r="EM254" s="89">
        <v>-5618975.1910961401</v>
      </c>
      <c r="EN254" s="89">
        <v>-1843699.5046676297</v>
      </c>
      <c r="EO254" s="89">
        <v>27256271.205804139</v>
      </c>
      <c r="EP254" s="89">
        <v>-515959.29786690004</v>
      </c>
      <c r="EQ254" s="88">
        <v>81068.155636099997</v>
      </c>
      <c r="ER254" s="89">
        <v>-31548.832129889997</v>
      </c>
      <c r="ES254" s="89"/>
      <c r="ET254" s="89"/>
      <c r="EU254" s="89">
        <v>160295.78845547</v>
      </c>
      <c r="EV254" s="89">
        <v>-47678.800689480006</v>
      </c>
      <c r="EW254" s="88">
        <v>719320.35433065123</v>
      </c>
      <c r="EX254" s="89">
        <f t="shared" si="17"/>
        <v>380909.18635050999</v>
      </c>
      <c r="EY254" s="89">
        <v>362729.77142255998</v>
      </c>
      <c r="EZ254" s="89">
        <v>18179.414927949998</v>
      </c>
      <c r="FA254" s="89">
        <v>442520.96978423005</v>
      </c>
      <c r="FB254" s="89">
        <v>-104109.80180408873</v>
      </c>
      <c r="FC254" s="88">
        <v>1794.613049</v>
      </c>
      <c r="FD254" s="89">
        <v>461.06204900000006</v>
      </c>
      <c r="FE254" s="89">
        <v>872.20733900000005</v>
      </c>
      <c r="FF254" s="89">
        <v>-411.14528999999999</v>
      </c>
      <c r="FG254" s="89">
        <v>1333.5509999999999</v>
      </c>
      <c r="FH254" s="89"/>
      <c r="FI254" s="88">
        <v>949.18019100000004</v>
      </c>
      <c r="FJ254" s="89">
        <v>-15.067808999999997</v>
      </c>
      <c r="FK254" s="89">
        <v>68.666201000000001</v>
      </c>
      <c r="FL254" s="89">
        <v>-83.734009999999998</v>
      </c>
      <c r="FM254" s="89">
        <v>964.24800000000005</v>
      </c>
      <c r="FN254" s="89"/>
      <c r="FO254" s="88">
        <v>3390.788501</v>
      </c>
      <c r="FP254" s="89">
        <v>-399.812499</v>
      </c>
      <c r="FQ254" s="89">
        <v>-70.84262099999998</v>
      </c>
      <c r="FR254" s="89">
        <v>-328.96987800000005</v>
      </c>
      <c r="FS254" s="89">
        <v>3790.6010000000001</v>
      </c>
      <c r="FT254" s="89"/>
      <c r="FU254" s="88">
        <v>3236.2999999999997</v>
      </c>
      <c r="FV254" s="89">
        <v>307.2</v>
      </c>
      <c r="FW254" s="89">
        <v>213.1</v>
      </c>
      <c r="FX254" s="89">
        <v>94.1</v>
      </c>
      <c r="FY254" s="89">
        <v>2870.1</v>
      </c>
      <c r="FZ254" s="89">
        <v>59</v>
      </c>
      <c r="GA254" s="88">
        <v>34697.9</v>
      </c>
      <c r="GB254" s="89">
        <v>-5387.3</v>
      </c>
      <c r="GC254" s="89">
        <v>-13439.6</v>
      </c>
      <c r="GD254" s="89">
        <v>8052.3</v>
      </c>
      <c r="GE254" s="89">
        <v>40085.1</v>
      </c>
      <c r="GF254" s="89"/>
      <c r="GG254" s="88">
        <v>128152.1628114568</v>
      </c>
      <c r="GH254" s="89">
        <v>66863.606828075513</v>
      </c>
      <c r="GI254" s="89">
        <v>65537.326557887514</v>
      </c>
      <c r="GJ254" s="89">
        <v>1326.2802701879991</v>
      </c>
      <c r="GK254" s="89">
        <v>167547.90588432952</v>
      </c>
      <c r="GL254" s="89">
        <v>-106259.34990094823</v>
      </c>
      <c r="GM254" s="88">
        <v>283403.41286089999</v>
      </c>
      <c r="GN254" s="89">
        <v>55901.48039135</v>
      </c>
      <c r="GO254" s="89">
        <v>50268.813044959999</v>
      </c>
      <c r="GP254" s="89">
        <v>5632.6673463900006</v>
      </c>
      <c r="GQ254" s="89">
        <v>191155.66524941998</v>
      </c>
      <c r="GR254" s="101">
        <v>36346.267220130001</v>
      </c>
    </row>
    <row r="255" spans="1:200" ht="12" thickBot="1">
      <c r="A255" s="132">
        <v>2010</v>
      </c>
      <c r="B255" s="130" t="s">
        <v>500</v>
      </c>
      <c r="C255" s="104">
        <v>2947.9989209999999</v>
      </c>
      <c r="D255" s="105">
        <v>403.73592100000008</v>
      </c>
      <c r="E255" s="105">
        <v>465.41812100000004</v>
      </c>
      <c r="F255" s="105">
        <v>-61.682199999999995</v>
      </c>
      <c r="G255" s="105">
        <v>2544.2629999999999</v>
      </c>
      <c r="H255" s="105"/>
      <c r="I255" s="104">
        <v>308005.65900000004</v>
      </c>
      <c r="J255" s="105">
        <v>295447.91100000002</v>
      </c>
      <c r="K255" s="105"/>
      <c r="L255" s="105"/>
      <c r="M255" s="105">
        <v>210874.15100000001</v>
      </c>
      <c r="N255" s="105">
        <v>-198316.40299999999</v>
      </c>
      <c r="O255" s="104">
        <v>8448.1</v>
      </c>
      <c r="P255" s="105">
        <v>1875.3</v>
      </c>
      <c r="Q255" s="105">
        <v>1413.5</v>
      </c>
      <c r="R255" s="105">
        <v>461.8</v>
      </c>
      <c r="S255" s="105">
        <v>6572.7</v>
      </c>
      <c r="T255" s="105"/>
      <c r="U255" s="104">
        <v>6761.5775599999997</v>
      </c>
      <c r="V255" s="105">
        <v>1260.2405600000002</v>
      </c>
      <c r="W255" s="105">
        <v>738.04929000000004</v>
      </c>
      <c r="X255" s="105">
        <v>522.19127000000003</v>
      </c>
      <c r="Y255" s="105">
        <v>5501.3369999999995</v>
      </c>
      <c r="Z255" s="105"/>
      <c r="AA255" s="104">
        <v>1945.0139999999999</v>
      </c>
      <c r="AB255" s="105">
        <v>187.45</v>
      </c>
      <c r="AC255" s="105">
        <v>181.31</v>
      </c>
      <c r="AD255" s="105">
        <v>6.14</v>
      </c>
      <c r="AE255" s="105">
        <v>1757.5640000000001</v>
      </c>
      <c r="AF255" s="105"/>
      <c r="AG255" s="104">
        <v>61223.250768644641</v>
      </c>
      <c r="AH255" s="105">
        <v>12015.305397776299</v>
      </c>
      <c r="AI255" s="105">
        <v>12015.305397776299</v>
      </c>
      <c r="AJ255" s="105"/>
      <c r="AK255" s="105">
        <v>49180.834715261502</v>
      </c>
      <c r="AL255" s="103"/>
      <c r="AM255" s="104">
        <v>3628942</v>
      </c>
      <c r="AN255" s="105">
        <v>1284405</v>
      </c>
      <c r="AO255" s="105">
        <v>1225684</v>
      </c>
      <c r="AP255" s="105">
        <v>58721</v>
      </c>
      <c r="AQ255" s="105">
        <v>2050354</v>
      </c>
      <c r="AR255" s="105">
        <v>294184</v>
      </c>
      <c r="AS255" s="104">
        <v>61579000</v>
      </c>
      <c r="AT255" s="105">
        <v>-1681236.3740000001</v>
      </c>
      <c r="AU255" s="105">
        <v>-1681236.3740000001</v>
      </c>
      <c r="AV255" s="105"/>
      <c r="AW255" s="105">
        <v>74647447.669999987</v>
      </c>
      <c r="AX255" s="105">
        <v>-11386745.17</v>
      </c>
      <c r="AY255" s="104">
        <v>223670481.84796986</v>
      </c>
      <c r="AZ255" s="105">
        <f t="shared" si="16"/>
        <v>47650975.081541449</v>
      </c>
      <c r="BA255" s="105">
        <v>35317363.965823039</v>
      </c>
      <c r="BB255" s="105">
        <v>12333611.115718409</v>
      </c>
      <c r="BC255" s="105">
        <v>176019506.76642841</v>
      </c>
      <c r="BD255" s="105"/>
      <c r="BE255" s="104">
        <v>8651612.9804423992</v>
      </c>
      <c r="BF255" s="105">
        <v>702885.61685080989</v>
      </c>
      <c r="BG255" s="105">
        <v>617741.23477086995</v>
      </c>
      <c r="BH255" s="105">
        <v>85144.382079939998</v>
      </c>
      <c r="BI255" s="105">
        <v>8644719.7162984088</v>
      </c>
      <c r="BJ255" s="105">
        <v>-695992.35270682001</v>
      </c>
      <c r="BK255" s="104">
        <v>577.13555300000007</v>
      </c>
      <c r="BL255" s="105">
        <v>-139.04944699999999</v>
      </c>
      <c r="BM255" s="105">
        <v>-51.478471999999996</v>
      </c>
      <c r="BN255" s="108">
        <v>-87.570975000000004</v>
      </c>
      <c r="BO255" s="108">
        <v>716.18499999999995</v>
      </c>
      <c r="BP255" s="108"/>
      <c r="BQ255" s="109">
        <v>15347.338988999998</v>
      </c>
      <c r="BR255" s="108">
        <v>-1925.4080799999997</v>
      </c>
      <c r="BS255" s="108">
        <v>-1149.3998219999999</v>
      </c>
      <c r="BT255" s="108">
        <v>-776.00825799999996</v>
      </c>
      <c r="BU255" s="108">
        <v>17272.747068999997</v>
      </c>
      <c r="BV255" s="108"/>
      <c r="BW255" s="109">
        <v>12155.862586364838</v>
      </c>
      <c r="BX255" s="105">
        <v>5206.6682270548354</v>
      </c>
      <c r="BY255" s="105">
        <v>5070.960556594835</v>
      </c>
      <c r="BZ255" s="105">
        <v>135.70767046</v>
      </c>
      <c r="CA255" s="105">
        <v>8755.0528796300023</v>
      </c>
      <c r="CB255" s="105">
        <v>-1805.8585203200009</v>
      </c>
      <c r="CC255" s="104">
        <v>1699.045327</v>
      </c>
      <c r="CD255" s="105">
        <v>-63.10467300000002</v>
      </c>
      <c r="CE255" s="105">
        <v>110.014658</v>
      </c>
      <c r="CF255" s="105">
        <v>-173.11933100000002</v>
      </c>
      <c r="CG255" s="105">
        <v>1762.15</v>
      </c>
      <c r="CH255" s="105"/>
      <c r="CI255" s="104">
        <v>109124</v>
      </c>
      <c r="CJ255" s="105">
        <v>42356</v>
      </c>
      <c r="CK255" s="105">
        <v>27840.400000000001</v>
      </c>
      <c r="CL255" s="105">
        <v>14515.6</v>
      </c>
      <c r="CM255" s="105">
        <v>79378.5</v>
      </c>
      <c r="CN255" s="105">
        <v>-12610.4</v>
      </c>
      <c r="CO255" s="104">
        <v>55446.5</v>
      </c>
      <c r="CP255" s="105">
        <v>-41280.300000000003</v>
      </c>
      <c r="CQ255" s="105">
        <v>-8004.4</v>
      </c>
      <c r="CR255" s="105">
        <v>-33275.9</v>
      </c>
      <c r="CS255" s="105">
        <v>112333.4</v>
      </c>
      <c r="CT255" s="105">
        <v>-15606.6</v>
      </c>
      <c r="CU255" s="104">
        <v>39171.513563844914</v>
      </c>
      <c r="CV255" s="105">
        <v>-2864.0897174800298</v>
      </c>
      <c r="CW255" s="105">
        <v>223.66107298322021</v>
      </c>
      <c r="CX255" s="105">
        <v>-3087.7507904632503</v>
      </c>
      <c r="CY255" s="105">
        <v>42035.60328132494</v>
      </c>
      <c r="CZ255" s="103"/>
      <c r="DA255" s="104">
        <v>99791.164073896391</v>
      </c>
      <c r="DB255" s="105">
        <v>6193.553910661647</v>
      </c>
      <c r="DC255" s="105">
        <v>2677.704971851661</v>
      </c>
      <c r="DD255" s="105">
        <v>3515.5822599899852</v>
      </c>
      <c r="DE255" s="105">
        <v>145654.26461651706</v>
      </c>
      <c r="DF255" s="105">
        <v>-52056.387774462324</v>
      </c>
      <c r="DG255" s="104">
        <v>317242.75297362934</v>
      </c>
      <c r="DH255" s="105">
        <v>132266.22397362936</v>
      </c>
      <c r="DI255" s="105"/>
      <c r="DJ255" s="105"/>
      <c r="DK255" s="105">
        <v>208991.02299999999</v>
      </c>
      <c r="DL255" s="105">
        <v>-24014.493999999999</v>
      </c>
      <c r="DM255" s="104">
        <v>5898355.6349348305</v>
      </c>
      <c r="DN255" s="105">
        <v>2668797.4599348302</v>
      </c>
      <c r="DO255" s="105">
        <v>2258462.1279348303</v>
      </c>
      <c r="DP255" s="105">
        <v>410335.33199999999</v>
      </c>
      <c r="DQ255" s="105">
        <v>3229558.1749999998</v>
      </c>
      <c r="DR255" s="105"/>
      <c r="DS255" s="104">
        <v>65296.471506549133</v>
      </c>
      <c r="DT255" s="105">
        <v>43896.896750845</v>
      </c>
      <c r="DU255" s="105">
        <v>43099.483738985</v>
      </c>
      <c r="DV255" s="105">
        <v>797.41301185999998</v>
      </c>
      <c r="DW255" s="105">
        <v>50112.107937967899</v>
      </c>
      <c r="DX255" s="105">
        <v>-28712.533182263771</v>
      </c>
      <c r="DY255" s="104">
        <v>12075.490344</v>
      </c>
      <c r="DZ255" s="105">
        <f t="shared" si="18"/>
        <v>-51.934144999999944</v>
      </c>
      <c r="EA255" s="105">
        <v>883.22236600000008</v>
      </c>
      <c r="EB255" s="105">
        <v>-935.15651100000002</v>
      </c>
      <c r="EC255" s="105">
        <v>12127.424489000001</v>
      </c>
      <c r="ED255" s="105"/>
      <c r="EE255" s="104">
        <v>16431.333851835661</v>
      </c>
      <c r="EF255" s="105">
        <v>-1831.82132976</v>
      </c>
      <c r="EG255" s="105">
        <v>-1842.8803919900001</v>
      </c>
      <c r="EH255" s="105">
        <v>11.05906223</v>
      </c>
      <c r="EI255" s="105">
        <v>24407.343171</v>
      </c>
      <c r="EJ255" s="105">
        <v>-6144.1879894043395</v>
      </c>
      <c r="EK255" s="104">
        <v>20446265.65008077</v>
      </c>
      <c r="EL255" s="105">
        <v>-6701763.7980814492</v>
      </c>
      <c r="EM255" s="105">
        <v>-5400622.3781753592</v>
      </c>
      <c r="EN255" s="105">
        <v>-1301141.4199060902</v>
      </c>
      <c r="EO255" s="105">
        <v>27693133.499837961</v>
      </c>
      <c r="EP255" s="105">
        <v>-545104.05167574005</v>
      </c>
      <c r="EQ255" s="104">
        <v>94599.978349230019</v>
      </c>
      <c r="ER255" s="105">
        <v>-22383.373650130001</v>
      </c>
      <c r="ES255" s="105"/>
      <c r="ET255" s="105"/>
      <c r="EU255" s="105">
        <v>164468.31439918</v>
      </c>
      <c r="EV255" s="105">
        <v>-47484.962399819982</v>
      </c>
      <c r="EW255" s="104">
        <v>737655.59393214586</v>
      </c>
      <c r="EX255" s="105">
        <f t="shared" si="17"/>
        <v>375658.65842004993</v>
      </c>
      <c r="EY255" s="105">
        <v>366170.63483581995</v>
      </c>
      <c r="EZ255" s="105">
        <v>9488.0235842300008</v>
      </c>
      <c r="FA255" s="105">
        <v>450387.77902540995</v>
      </c>
      <c r="FB255" s="105">
        <v>-88390.843513314001</v>
      </c>
      <c r="FC255" s="104">
        <v>1833.095701</v>
      </c>
      <c r="FD255" s="105">
        <v>476.46270099999987</v>
      </c>
      <c r="FE255" s="105">
        <v>850.91499099999987</v>
      </c>
      <c r="FF255" s="105">
        <v>-374.45229</v>
      </c>
      <c r="FG255" s="105">
        <v>1356.633</v>
      </c>
      <c r="FH255" s="105"/>
      <c r="FI255" s="104">
        <v>891.97928300000001</v>
      </c>
      <c r="FJ255" s="105">
        <v>-68.022716999999986</v>
      </c>
      <c r="FK255" s="105">
        <v>22.327679000000003</v>
      </c>
      <c r="FL255" s="105">
        <v>-90.350395999999989</v>
      </c>
      <c r="FM255" s="105">
        <v>960.00199999999995</v>
      </c>
      <c r="FN255" s="105"/>
      <c r="FO255" s="104">
        <v>3395.2152599999999</v>
      </c>
      <c r="FP255" s="105">
        <v>-392.36074000000008</v>
      </c>
      <c r="FQ255" s="105">
        <v>-52.01286200000002</v>
      </c>
      <c r="FR255" s="105">
        <v>-340.34787800000004</v>
      </c>
      <c r="FS255" s="105">
        <v>3787.576</v>
      </c>
      <c r="FT255" s="105"/>
      <c r="FU255" s="104">
        <v>3250.5</v>
      </c>
      <c r="FV255" s="105">
        <v>286.39999999999998</v>
      </c>
      <c r="FW255" s="105">
        <v>191.4</v>
      </c>
      <c r="FX255" s="105">
        <v>95</v>
      </c>
      <c r="FY255" s="105">
        <v>2904.4</v>
      </c>
      <c r="FZ255" s="105">
        <v>59.7</v>
      </c>
      <c r="GA255" s="104">
        <v>33960.6</v>
      </c>
      <c r="GB255" s="105">
        <v>-5972.5</v>
      </c>
      <c r="GC255" s="105">
        <v>-14173.2</v>
      </c>
      <c r="GD255" s="105">
        <v>8200.7000000000007</v>
      </c>
      <c r="GE255" s="105">
        <v>39933.1</v>
      </c>
      <c r="GF255" s="105"/>
      <c r="GG255" s="104">
        <v>148689.11226187192</v>
      </c>
      <c r="GH255" s="105">
        <v>73769.559368957329</v>
      </c>
      <c r="GI255" s="105">
        <v>71520.53730817452</v>
      </c>
      <c r="GJ255" s="105">
        <v>2249.0220607827987</v>
      </c>
      <c r="GK255" s="105">
        <v>177811.45814454622</v>
      </c>
      <c r="GL255" s="103">
        <v>-102891.90525163163</v>
      </c>
      <c r="GM255" s="104">
        <v>280251.34693544998</v>
      </c>
      <c r="GN255" s="105">
        <v>56468.623233589991</v>
      </c>
      <c r="GO255" s="105">
        <v>50765.123267189992</v>
      </c>
      <c r="GP255" s="105">
        <v>5703.4999663999988</v>
      </c>
      <c r="GQ255" s="105">
        <v>188986.88439681998</v>
      </c>
      <c r="GR255" s="103">
        <v>34795.839305039997</v>
      </c>
    </row>
    <row r="256" spans="1:200">
      <c r="A256" s="86">
        <v>2011</v>
      </c>
      <c r="B256" s="93" t="s">
        <v>489</v>
      </c>
      <c r="C256" s="88">
        <v>2930.5723199999998</v>
      </c>
      <c r="D256" s="87">
        <v>425.17331999999993</v>
      </c>
      <c r="E256" s="87">
        <v>497.31381699999991</v>
      </c>
      <c r="F256" s="87">
        <v>-72.140496999999996</v>
      </c>
      <c r="G256" s="87">
        <v>2505.3989999999999</v>
      </c>
      <c r="H256" s="87"/>
      <c r="I256" s="88">
        <v>351753.598</v>
      </c>
      <c r="J256" s="89">
        <v>342279.44799999997</v>
      </c>
      <c r="K256" s="89"/>
      <c r="L256" s="89"/>
      <c r="M256" s="89">
        <v>216209.99400000001</v>
      </c>
      <c r="N256" s="89">
        <v>-206735.84400000001</v>
      </c>
      <c r="O256" s="88">
        <v>8428.9</v>
      </c>
      <c r="P256" s="89">
        <v>1838.9</v>
      </c>
      <c r="Q256" s="89">
        <v>1377.5</v>
      </c>
      <c r="R256" s="89">
        <v>461.4</v>
      </c>
      <c r="S256" s="89">
        <v>6590</v>
      </c>
      <c r="T256" s="89"/>
      <c r="U256" s="88">
        <v>6703.6300799999999</v>
      </c>
      <c r="V256" s="89">
        <v>1208.1380799999999</v>
      </c>
      <c r="W256" s="89">
        <v>663.14061000000004</v>
      </c>
      <c r="X256" s="89">
        <v>544.99746999999991</v>
      </c>
      <c r="Y256" s="89">
        <v>5495.4920000000002</v>
      </c>
      <c r="Z256" s="89"/>
      <c r="AA256" s="88">
        <v>1934.09</v>
      </c>
      <c r="AB256" s="89">
        <v>186.38800000000001</v>
      </c>
      <c r="AC256" s="89">
        <v>180.435</v>
      </c>
      <c r="AD256" s="89">
        <v>5.9530000000000003</v>
      </c>
      <c r="AE256" s="89">
        <v>1747.702</v>
      </c>
      <c r="AF256" s="89"/>
      <c r="AG256" s="88">
        <v>61138.711887061567</v>
      </c>
      <c r="AH256" s="89">
        <v>11957.877171800068</v>
      </c>
      <c r="AI256" s="89">
        <v>11957.877171800068</v>
      </c>
      <c r="AJ256" s="89"/>
      <c r="AK256" s="89">
        <v>49180.834715261502</v>
      </c>
      <c r="AL256" s="89"/>
      <c r="AM256" s="88">
        <v>3667261</v>
      </c>
      <c r="AN256" s="89">
        <v>1284321</v>
      </c>
      <c r="AO256" s="89">
        <v>1221076</v>
      </c>
      <c r="AP256" s="89">
        <v>63245</v>
      </c>
      <c r="AQ256" s="89">
        <v>2067069</v>
      </c>
      <c r="AR256" s="89">
        <v>315870</v>
      </c>
      <c r="AS256" s="88">
        <v>62409000</v>
      </c>
      <c r="AT256" s="89">
        <v>-2431625.7209999999</v>
      </c>
      <c r="AU256" s="89">
        <v>-2431625.7209999999</v>
      </c>
      <c r="AV256" s="89"/>
      <c r="AW256" s="89">
        <v>75702849.180000007</v>
      </c>
      <c r="AX256" s="89">
        <v>-10861970.869999999</v>
      </c>
      <c r="AY256" s="88">
        <v>227577497.71483657</v>
      </c>
      <c r="AZ256" s="89">
        <f t="shared" si="16"/>
        <v>48938116.270204701</v>
      </c>
      <c r="BA256" s="89">
        <v>36615158.007369272</v>
      </c>
      <c r="BB256" s="89">
        <v>12322958.26283543</v>
      </c>
      <c r="BC256" s="89">
        <v>178639381.44463184</v>
      </c>
      <c r="BD256" s="89"/>
      <c r="BE256" s="88">
        <v>8815541.4879085459</v>
      </c>
      <c r="BF256" s="89">
        <v>802774.56583599024</v>
      </c>
      <c r="BG256" s="89">
        <v>719387.78141308238</v>
      </c>
      <c r="BH256" s="89">
        <v>83386.784422907906</v>
      </c>
      <c r="BI256" s="89">
        <v>8575285.2795100547</v>
      </c>
      <c r="BJ256" s="89">
        <v>-562518.35743749922</v>
      </c>
      <c r="BK256" s="88">
        <v>593.236491</v>
      </c>
      <c r="BL256" s="89">
        <v>-131.157509</v>
      </c>
      <c r="BM256" s="89">
        <v>-43.204172999999997</v>
      </c>
      <c r="BN256" s="89">
        <v>-87.953335999999993</v>
      </c>
      <c r="BO256" s="89">
        <v>724.39400000000001</v>
      </c>
      <c r="BP256" s="89"/>
      <c r="BQ256" s="88">
        <v>15148.222632000001</v>
      </c>
      <c r="BR256" s="89">
        <v>-2280.5399520000001</v>
      </c>
      <c r="BS256" s="89">
        <v>-1371.000485</v>
      </c>
      <c r="BT256" s="89">
        <v>-909.53946700000006</v>
      </c>
      <c r="BU256" s="89">
        <v>17428.762584</v>
      </c>
      <c r="BV256" s="89"/>
      <c r="BW256" s="88">
        <v>12253.536239464835</v>
      </c>
      <c r="BX256" s="89">
        <v>5323.9918192648356</v>
      </c>
      <c r="BY256" s="89">
        <v>5226.7127640448352</v>
      </c>
      <c r="BZ256" s="89">
        <v>97.279055220000004</v>
      </c>
      <c r="CA256" s="89">
        <v>8721.6622583799999</v>
      </c>
      <c r="CB256" s="89">
        <v>-1792.1178381799996</v>
      </c>
      <c r="CC256" s="88">
        <v>1696.742831</v>
      </c>
      <c r="CD256" s="89">
        <v>-62.232169000000013</v>
      </c>
      <c r="CE256" s="89">
        <v>127.45801200000001</v>
      </c>
      <c r="CF256" s="89">
        <v>-189.69018100000002</v>
      </c>
      <c r="CG256" s="89">
        <v>1758.9749999999999</v>
      </c>
      <c r="CH256" s="89"/>
      <c r="CI256" s="88">
        <v>110558.9</v>
      </c>
      <c r="CJ256" s="89">
        <v>42270.2</v>
      </c>
      <c r="CK256" s="89">
        <v>27619.3</v>
      </c>
      <c r="CL256" s="89">
        <v>14650.9</v>
      </c>
      <c r="CM256" s="89">
        <v>80196.600000000006</v>
      </c>
      <c r="CN256" s="89">
        <v>-11907.9</v>
      </c>
      <c r="CO256" s="88">
        <v>65776</v>
      </c>
      <c r="CP256" s="89">
        <v>-31315.3</v>
      </c>
      <c r="CQ256" s="89">
        <v>-1654.1</v>
      </c>
      <c r="CR256" s="89">
        <v>-29661.200000000001</v>
      </c>
      <c r="CS256" s="89">
        <v>112450.9</v>
      </c>
      <c r="CT256" s="89">
        <v>-15359.5</v>
      </c>
      <c r="CU256" s="88">
        <v>36174.753445974085</v>
      </c>
      <c r="CV256" s="89">
        <v>-5960.8443676153138</v>
      </c>
      <c r="CW256" s="89">
        <v>-2782.8322508340702</v>
      </c>
      <c r="CX256" s="89">
        <v>-3178.012116781244</v>
      </c>
      <c r="CY256" s="89">
        <v>42135.597813589397</v>
      </c>
      <c r="CZ256" s="89"/>
      <c r="DA256" s="88">
        <v>103681.20933346734</v>
      </c>
      <c r="DB256" s="89">
        <v>7196.1322194077493</v>
      </c>
      <c r="DC256" s="89">
        <v>3731.3132727834018</v>
      </c>
      <c r="DD256" s="89">
        <v>3464.5908380043497</v>
      </c>
      <c r="DE256" s="89">
        <v>149055.46942556329</v>
      </c>
      <c r="DF256" s="89">
        <v>-52570.16420288368</v>
      </c>
      <c r="DG256" s="88">
        <v>314229.39956881455</v>
      </c>
      <c r="DH256" s="89">
        <v>128116.55256881453</v>
      </c>
      <c r="DI256" s="89"/>
      <c r="DJ256" s="89"/>
      <c r="DK256" s="89">
        <v>206998.69099999999</v>
      </c>
      <c r="DL256" s="89">
        <v>-20885.844000000001</v>
      </c>
      <c r="DM256" s="88">
        <v>5882214.6937665995</v>
      </c>
      <c r="DN256" s="89">
        <v>2635263.8927666</v>
      </c>
      <c r="DO256" s="89">
        <v>2230776.7957665999</v>
      </c>
      <c r="DP256" s="89">
        <v>404487.09699999995</v>
      </c>
      <c r="DQ256" s="89">
        <v>3246950.801</v>
      </c>
      <c r="DR256" s="89"/>
      <c r="DS256" s="88">
        <v>61073.648875320003</v>
      </c>
      <c r="DT256" s="89">
        <v>44461.590146740651</v>
      </c>
      <c r="DU256" s="89">
        <v>43667.440184560648</v>
      </c>
      <c r="DV256" s="89">
        <v>794.14996217999999</v>
      </c>
      <c r="DW256" s="89">
        <v>50477.150621177425</v>
      </c>
      <c r="DX256" s="89">
        <v>-33865.091892598073</v>
      </c>
      <c r="DY256" s="88">
        <v>12066.567445000001</v>
      </c>
      <c r="DZ256" s="89">
        <f t="shared" si="18"/>
        <v>-33.401432</v>
      </c>
      <c r="EA256" s="89">
        <v>936.61069099999997</v>
      </c>
      <c r="EB256" s="89">
        <v>-970.01212299999997</v>
      </c>
      <c r="EC256" s="89">
        <v>12099.968877000001</v>
      </c>
      <c r="ED256" s="89"/>
      <c r="EE256" s="88">
        <v>16195.631306969995</v>
      </c>
      <c r="EF256" s="89">
        <v>-2195.4219488700001</v>
      </c>
      <c r="EG256" s="89">
        <v>-2212.2383280600002</v>
      </c>
      <c r="EH256" s="89">
        <v>16.816379189999999</v>
      </c>
      <c r="EI256" s="89">
        <v>24609.357833109992</v>
      </c>
      <c r="EJ256" s="89">
        <v>-6218.3045772700007</v>
      </c>
      <c r="EK256" s="88">
        <v>20825275.808062781</v>
      </c>
      <c r="EL256" s="89">
        <v>-6948985.4143125881</v>
      </c>
      <c r="EM256" s="89">
        <v>-5503297.6338621285</v>
      </c>
      <c r="EN256" s="89">
        <v>-1445687.7804504598</v>
      </c>
      <c r="EO256" s="89">
        <v>28326578.199112937</v>
      </c>
      <c r="EP256" s="89">
        <v>-552316.9767375699</v>
      </c>
      <c r="EQ256" s="88">
        <v>92065.53776650998</v>
      </c>
      <c r="ER256" s="89">
        <v>-24748.280030130001</v>
      </c>
      <c r="ES256" s="89"/>
      <c r="ET256" s="89"/>
      <c r="EU256" s="89">
        <v>164757.78562275</v>
      </c>
      <c r="EV256" s="89">
        <v>-47943.96782611002</v>
      </c>
      <c r="EW256" s="88">
        <v>729976.59627516032</v>
      </c>
      <c r="EX256" s="89">
        <f t="shared" si="17"/>
        <v>368650.43606089999</v>
      </c>
      <c r="EY256" s="89">
        <v>359209.11676661001</v>
      </c>
      <c r="EZ256" s="89">
        <v>9441.3192942900005</v>
      </c>
      <c r="FA256" s="89">
        <v>449820.63041767001</v>
      </c>
      <c r="FB256" s="89">
        <v>-88494.470203409699</v>
      </c>
      <c r="FC256" s="88">
        <v>1809.905557</v>
      </c>
      <c r="FD256" s="89">
        <v>452.22155699999996</v>
      </c>
      <c r="FE256" s="89">
        <v>826.29684699999996</v>
      </c>
      <c r="FF256" s="89">
        <v>-374.07529</v>
      </c>
      <c r="FG256" s="89">
        <v>1357.684</v>
      </c>
      <c r="FH256" s="89"/>
      <c r="FI256" s="88">
        <v>935.75814800000001</v>
      </c>
      <c r="FJ256" s="89">
        <v>-54.333852000000007</v>
      </c>
      <c r="FK256" s="89">
        <v>36.576646999999994</v>
      </c>
      <c r="FL256" s="89">
        <v>-90.910499000000002</v>
      </c>
      <c r="FM256" s="89">
        <v>990.09199999999998</v>
      </c>
      <c r="FN256" s="89"/>
      <c r="FO256" s="88">
        <v>3435.7477159999999</v>
      </c>
      <c r="FP256" s="89">
        <v>-373.21428400000002</v>
      </c>
      <c r="FQ256" s="89">
        <v>-30.005406000000018</v>
      </c>
      <c r="FR256" s="89">
        <v>-343.20887800000003</v>
      </c>
      <c r="FS256" s="89">
        <v>3808.962</v>
      </c>
      <c r="FT256" s="89"/>
      <c r="FU256" s="88">
        <v>3428.5</v>
      </c>
      <c r="FV256" s="89">
        <v>257.39999999999998</v>
      </c>
      <c r="FW256" s="89">
        <v>151.9</v>
      </c>
      <c r="FX256" s="89">
        <v>105.5</v>
      </c>
      <c r="FY256" s="89">
        <v>3104.9</v>
      </c>
      <c r="FZ256" s="89">
        <v>66.2</v>
      </c>
      <c r="GA256" s="88">
        <v>35225.5</v>
      </c>
      <c r="GB256" s="89">
        <v>-4854</v>
      </c>
      <c r="GC256" s="89">
        <v>-13252.5</v>
      </c>
      <c r="GD256" s="89">
        <v>8398.5</v>
      </c>
      <c r="GE256" s="89">
        <v>40079.5</v>
      </c>
      <c r="GF256" s="89"/>
      <c r="GG256" s="88">
        <v>141185.8018206296</v>
      </c>
      <c r="GH256" s="89">
        <v>51235.938214115246</v>
      </c>
      <c r="GI256" s="89">
        <v>48640.559418657365</v>
      </c>
      <c r="GJ256" s="89">
        <v>2595.3787954578797</v>
      </c>
      <c r="GK256" s="89">
        <v>176500.60062263341</v>
      </c>
      <c r="GL256" s="89">
        <v>-86550.737016119048</v>
      </c>
      <c r="GM256" s="88">
        <v>283414.02336600993</v>
      </c>
      <c r="GN256" s="89">
        <v>64688.583614229996</v>
      </c>
      <c r="GO256" s="89">
        <v>59299.446695270002</v>
      </c>
      <c r="GP256" s="89">
        <v>5389.1369189599936</v>
      </c>
      <c r="GQ256" s="89">
        <v>187819.52256289998</v>
      </c>
      <c r="GR256" s="89">
        <v>30905.917188880005</v>
      </c>
    </row>
    <row r="257" spans="1:200">
      <c r="A257" s="93"/>
      <c r="B257" s="93" t="s">
        <v>490</v>
      </c>
      <c r="C257" s="88">
        <v>2936.04645557</v>
      </c>
      <c r="D257" s="87">
        <v>417.5534555700001</v>
      </c>
      <c r="E257" s="87">
        <v>500.37495286000006</v>
      </c>
      <c r="F257" s="87">
        <v>-82.821497289999996</v>
      </c>
      <c r="G257" s="87">
        <v>2518.4929999999999</v>
      </c>
      <c r="H257" s="87"/>
      <c r="I257" s="88">
        <v>357352.85099999991</v>
      </c>
      <c r="J257" s="89">
        <v>344971.92</v>
      </c>
      <c r="K257" s="89"/>
      <c r="L257" s="89"/>
      <c r="M257" s="89">
        <v>220856.875</v>
      </c>
      <c r="N257" s="89">
        <v>-208475.94399999999</v>
      </c>
      <c r="O257" s="88">
        <v>8295.5</v>
      </c>
      <c r="P257" s="89">
        <v>1805.3</v>
      </c>
      <c r="Q257" s="89">
        <v>1351.8</v>
      </c>
      <c r="R257" s="89">
        <v>453.5</v>
      </c>
      <c r="S257" s="89">
        <v>6490.2</v>
      </c>
      <c r="T257" s="89"/>
      <c r="U257" s="88">
        <v>6712.5233500000004</v>
      </c>
      <c r="V257" s="89">
        <v>1234.23135</v>
      </c>
      <c r="W257" s="89">
        <v>715.92187999999999</v>
      </c>
      <c r="X257" s="89">
        <v>518.30947000000003</v>
      </c>
      <c r="Y257" s="89">
        <v>5478.2920000000004</v>
      </c>
      <c r="Z257" s="89"/>
      <c r="AA257" s="88">
        <v>1974.818</v>
      </c>
      <c r="AB257" s="89">
        <v>222.792</v>
      </c>
      <c r="AC257" s="89">
        <v>216.69900000000001</v>
      </c>
      <c r="AD257" s="89">
        <v>6.093</v>
      </c>
      <c r="AE257" s="89">
        <v>1752.0260000000001</v>
      </c>
      <c r="AF257" s="89"/>
      <c r="AG257" s="88">
        <v>61617.123702010096</v>
      </c>
      <c r="AH257" s="89">
        <v>11959.170642279789</v>
      </c>
      <c r="AI257" s="89">
        <v>11959.170642279789</v>
      </c>
      <c r="AJ257" s="89"/>
      <c r="AK257" s="89">
        <v>49657.953059730309</v>
      </c>
      <c r="AL257" s="89"/>
      <c r="AM257" s="88">
        <v>3732455</v>
      </c>
      <c r="AN257" s="89">
        <v>1293044</v>
      </c>
      <c r="AO257" s="89">
        <v>1233758</v>
      </c>
      <c r="AP257" s="89">
        <v>59286</v>
      </c>
      <c r="AQ257" s="89">
        <v>2114921</v>
      </c>
      <c r="AR257" s="89">
        <v>324491</v>
      </c>
      <c r="AS257" s="88">
        <v>62872000</v>
      </c>
      <c r="AT257" s="89">
        <v>-2692685.2800000003</v>
      </c>
      <c r="AU257" s="89">
        <v>-2692685.2800000003</v>
      </c>
      <c r="AV257" s="89"/>
      <c r="AW257" s="89">
        <v>76366010.400000006</v>
      </c>
      <c r="AX257" s="89">
        <v>-10801416.010000002</v>
      </c>
      <c r="AY257" s="88">
        <v>232914281.48138234</v>
      </c>
      <c r="AZ257" s="89">
        <f t="shared" si="16"/>
        <v>50825357.547000691</v>
      </c>
      <c r="BA257" s="89">
        <v>38240388.624211192</v>
      </c>
      <c r="BB257" s="89">
        <v>12584968.922789501</v>
      </c>
      <c r="BC257" s="89">
        <v>182088923.93438166</v>
      </c>
      <c r="BD257" s="89"/>
      <c r="BE257" s="88">
        <v>8955178.3449206147</v>
      </c>
      <c r="BF257" s="89">
        <v>940667.8003031374</v>
      </c>
      <c r="BG257" s="89">
        <v>857055.01786398271</v>
      </c>
      <c r="BH257" s="89">
        <v>83612.782439154631</v>
      </c>
      <c r="BI257" s="89">
        <v>8625461.5906136781</v>
      </c>
      <c r="BJ257" s="89">
        <v>-610951.04599620076</v>
      </c>
      <c r="BK257" s="88">
        <v>597.30427202999999</v>
      </c>
      <c r="BL257" s="89">
        <v>-134.99872797</v>
      </c>
      <c r="BM257" s="89">
        <v>-47.045391850000001</v>
      </c>
      <c r="BN257" s="89">
        <v>-87.953336120000003</v>
      </c>
      <c r="BO257" s="89">
        <v>732.303</v>
      </c>
      <c r="BP257" s="89"/>
      <c r="BQ257" s="88">
        <v>14744.514640000001</v>
      </c>
      <c r="BR257" s="89">
        <v>-2832.5264370000009</v>
      </c>
      <c r="BS257" s="89">
        <v>-1923.3409530000008</v>
      </c>
      <c r="BT257" s="89">
        <v>-909.18548399999997</v>
      </c>
      <c r="BU257" s="89">
        <v>17577.041077000002</v>
      </c>
      <c r="BV257" s="89"/>
      <c r="BW257" s="88">
        <v>11694.222438151859</v>
      </c>
      <c r="BX257" s="89">
        <v>5034.1789857318581</v>
      </c>
      <c r="BY257" s="89">
        <v>4934.2191292218586</v>
      </c>
      <c r="BZ257" s="89">
        <v>99.959856509999995</v>
      </c>
      <c r="CA257" s="89">
        <v>8715.2013004301189</v>
      </c>
      <c r="CB257" s="89">
        <v>-2055.1578480101184</v>
      </c>
      <c r="CC257" s="88">
        <v>1702.52347566</v>
      </c>
      <c r="CD257" s="89">
        <v>-54.785524339999967</v>
      </c>
      <c r="CE257" s="89">
        <v>138.66565649000003</v>
      </c>
      <c r="CF257" s="89">
        <v>-193.45118083</v>
      </c>
      <c r="CG257" s="89">
        <v>1757.309</v>
      </c>
      <c r="CH257" s="89"/>
      <c r="CI257" s="88">
        <v>111084.4</v>
      </c>
      <c r="CJ257" s="89">
        <v>42133.9</v>
      </c>
      <c r="CK257" s="89">
        <v>27263</v>
      </c>
      <c r="CL257" s="89">
        <v>14870.9</v>
      </c>
      <c r="CM257" s="89">
        <v>80751.8</v>
      </c>
      <c r="CN257" s="89">
        <v>-11801.4</v>
      </c>
      <c r="CO257" s="88">
        <v>67244</v>
      </c>
      <c r="CP257" s="89">
        <v>-30517.7</v>
      </c>
      <c r="CQ257" s="89">
        <v>-1330.4</v>
      </c>
      <c r="CR257" s="89">
        <v>-29187.3</v>
      </c>
      <c r="CS257" s="89">
        <v>113710.8</v>
      </c>
      <c r="CT257" s="89">
        <v>-15949.1</v>
      </c>
      <c r="CU257" s="88">
        <v>35916.658865661251</v>
      </c>
      <c r="CV257" s="89">
        <v>-6552.9657017047048</v>
      </c>
      <c r="CW257" s="89">
        <v>-3275.6045672096238</v>
      </c>
      <c r="CX257" s="89">
        <v>-3277.3611344950818</v>
      </c>
      <c r="CY257" s="89">
        <v>42469.624567365958</v>
      </c>
      <c r="CZ257" s="89"/>
      <c r="DA257" s="88">
        <v>100672.90306396007</v>
      </c>
      <c r="DB257" s="89">
        <v>7960.0151959078394</v>
      </c>
      <c r="DC257" s="89">
        <v>4529.8258225112804</v>
      </c>
      <c r="DD257" s="89">
        <v>3429.9255248065601</v>
      </c>
      <c r="DE257" s="89">
        <v>149467.58399946339</v>
      </c>
      <c r="DF257" s="89">
        <v>-56754.432282821173</v>
      </c>
      <c r="DG257" s="88">
        <v>319283.95822464663</v>
      </c>
      <c r="DH257" s="89">
        <v>134498.34522464659</v>
      </c>
      <c r="DI257" s="89"/>
      <c r="DJ257" s="89"/>
      <c r="DK257" s="89">
        <v>209976.48</v>
      </c>
      <c r="DL257" s="89">
        <v>-25190.866999999998</v>
      </c>
      <c r="DM257" s="88">
        <v>5861122.0890554106</v>
      </c>
      <c r="DN257" s="89">
        <v>2612326.3170554102</v>
      </c>
      <c r="DO257" s="89">
        <v>2197127.3330554101</v>
      </c>
      <c r="DP257" s="89">
        <v>415198.98400000005</v>
      </c>
      <c r="DQ257" s="89">
        <v>3248795.7719999999</v>
      </c>
      <c r="DR257" s="89"/>
      <c r="DS257" s="88">
        <v>61077.671239375981</v>
      </c>
      <c r="DT257" s="89">
        <v>45270.801794696883</v>
      </c>
      <c r="DU257" s="89">
        <v>44506.962516706881</v>
      </c>
      <c r="DV257" s="89">
        <v>763.83927799000003</v>
      </c>
      <c r="DW257" s="89">
        <v>49747.230606912985</v>
      </c>
      <c r="DX257" s="89">
        <v>-33940.361162233879</v>
      </c>
      <c r="DY257" s="88">
        <v>12070.762149</v>
      </c>
      <c r="DZ257" s="89">
        <f t="shared" si="18"/>
        <v>-39.059216999999876</v>
      </c>
      <c r="EA257" s="89">
        <v>920.83841700000005</v>
      </c>
      <c r="EB257" s="89">
        <v>-959.89763399999993</v>
      </c>
      <c r="EC257" s="89">
        <v>12109.821366</v>
      </c>
      <c r="ED257" s="89"/>
      <c r="EE257" s="88">
        <v>16498.176885230001</v>
      </c>
      <c r="EF257" s="89">
        <v>-1685.49373853</v>
      </c>
      <c r="EG257" s="89">
        <v>-1698.56390259</v>
      </c>
      <c r="EH257" s="89">
        <v>13.070164060000002</v>
      </c>
      <c r="EI257" s="89">
        <v>24759.387937380001</v>
      </c>
      <c r="EJ257" s="89">
        <v>-6575.7173136200008</v>
      </c>
      <c r="EK257" s="88">
        <v>20819003.191185661</v>
      </c>
      <c r="EL257" s="89">
        <v>-7439219.5621838197</v>
      </c>
      <c r="EM257" s="89">
        <v>-5822573.3720651194</v>
      </c>
      <c r="EN257" s="89">
        <v>-1616646.1901187</v>
      </c>
      <c r="EO257" s="89">
        <v>28799836.80554723</v>
      </c>
      <c r="EP257" s="89">
        <v>-541614.05217775004</v>
      </c>
      <c r="EQ257" s="88">
        <v>93864.934521820018</v>
      </c>
      <c r="ER257" s="89">
        <v>-25875.10070866</v>
      </c>
      <c r="ES257" s="89"/>
      <c r="ET257" s="89"/>
      <c r="EU257" s="89">
        <v>167765.42883521999</v>
      </c>
      <c r="EV257" s="89">
        <v>-48025.393604739977</v>
      </c>
      <c r="EW257" s="88">
        <v>737162.63438338076</v>
      </c>
      <c r="EX257" s="89">
        <f t="shared" si="17"/>
        <v>386682.95996405999</v>
      </c>
      <c r="EY257" s="89">
        <v>369045.31687356997</v>
      </c>
      <c r="EZ257" s="89">
        <v>17637.643090489997</v>
      </c>
      <c r="FA257" s="89">
        <v>450748.62116662</v>
      </c>
      <c r="FB257" s="89">
        <v>-100268.94674729912</v>
      </c>
      <c r="FC257" s="88">
        <v>1768.0924825500003</v>
      </c>
      <c r="FD257" s="89">
        <v>413.32248254999996</v>
      </c>
      <c r="FE257" s="89">
        <v>793.91277210999999</v>
      </c>
      <c r="FF257" s="89">
        <v>-380.59028956000003</v>
      </c>
      <c r="FG257" s="89">
        <v>1354.77</v>
      </c>
      <c r="FH257" s="89"/>
      <c r="FI257" s="88">
        <v>953.95068956999989</v>
      </c>
      <c r="FJ257" s="89">
        <v>-45.914310430000008</v>
      </c>
      <c r="FK257" s="89">
        <v>45.820698899999989</v>
      </c>
      <c r="FL257" s="89">
        <v>-91.735009329999997</v>
      </c>
      <c r="FM257" s="89">
        <v>999.86500000000001</v>
      </c>
      <c r="FN257" s="89"/>
      <c r="FO257" s="88">
        <v>3456.8677244400001</v>
      </c>
      <c r="FP257" s="89">
        <v>-359.75727555999998</v>
      </c>
      <c r="FQ257" s="89">
        <v>-46.036397219999984</v>
      </c>
      <c r="FR257" s="89">
        <v>-313.72087834000001</v>
      </c>
      <c r="FS257" s="89">
        <v>3816.625</v>
      </c>
      <c r="FT257" s="89"/>
      <c r="FU257" s="88">
        <v>3590</v>
      </c>
      <c r="FV257" s="89">
        <v>399.5</v>
      </c>
      <c r="FW257" s="89">
        <v>293.2</v>
      </c>
      <c r="FX257" s="89">
        <v>106.3</v>
      </c>
      <c r="FY257" s="89">
        <v>3122.8</v>
      </c>
      <c r="FZ257" s="89">
        <v>67.7</v>
      </c>
      <c r="GA257" s="88">
        <v>37070.5</v>
      </c>
      <c r="GB257" s="89">
        <v>-3031.9000000000015</v>
      </c>
      <c r="GC257" s="89">
        <v>-11579</v>
      </c>
      <c r="GD257" s="89">
        <v>8547.1</v>
      </c>
      <c r="GE257" s="89">
        <v>40102.400000000001</v>
      </c>
      <c r="GF257" s="89"/>
      <c r="GG257" s="88">
        <v>139198.23064830582</v>
      </c>
      <c r="GH257" s="89">
        <v>54781.474098250008</v>
      </c>
      <c r="GI257" s="89">
        <v>53263.590555715004</v>
      </c>
      <c r="GJ257" s="89">
        <v>1517.8835425350012</v>
      </c>
      <c r="GK257" s="89">
        <v>169913.047683585</v>
      </c>
      <c r="GL257" s="89">
        <v>-85496.291133529157</v>
      </c>
      <c r="GM257" s="88">
        <v>291960.85107002006</v>
      </c>
      <c r="GN257" s="89">
        <v>69268.349176680014</v>
      </c>
      <c r="GO257" s="89">
        <v>63742.863585250008</v>
      </c>
      <c r="GP257" s="89">
        <v>5525.485591430006</v>
      </c>
      <c r="GQ257" s="89">
        <v>190573.84828217005</v>
      </c>
      <c r="GR257" s="89">
        <v>32118.653611170001</v>
      </c>
    </row>
    <row r="258" spans="1:200">
      <c r="A258" s="93"/>
      <c r="B258" s="93" t="s">
        <v>491</v>
      </c>
      <c r="C258" s="88">
        <v>2937.7294899999997</v>
      </c>
      <c r="D258" s="87">
        <v>423.18748999999997</v>
      </c>
      <c r="E258" s="87">
        <v>505.91898799999996</v>
      </c>
      <c r="F258" s="87">
        <v>-82.731498000000002</v>
      </c>
      <c r="G258" s="87">
        <v>2514.5419999999999</v>
      </c>
      <c r="H258" s="87"/>
      <c r="I258" s="88">
        <v>371347.33900000004</v>
      </c>
      <c r="J258" s="89">
        <v>366235.38900000002</v>
      </c>
      <c r="K258" s="89"/>
      <c r="L258" s="89"/>
      <c r="M258" s="89">
        <v>225157.53</v>
      </c>
      <c r="N258" s="89">
        <v>-220045.58</v>
      </c>
      <c r="O258" s="88">
        <v>8302.1</v>
      </c>
      <c r="P258" s="89">
        <v>1817</v>
      </c>
      <c r="Q258" s="89">
        <v>1366.8</v>
      </c>
      <c r="R258" s="89">
        <v>450.2</v>
      </c>
      <c r="S258" s="89">
        <v>6485.1</v>
      </c>
      <c r="T258" s="89"/>
      <c r="U258" s="88">
        <v>6746.5622000000003</v>
      </c>
      <c r="V258" s="89">
        <v>1278.7411999999999</v>
      </c>
      <c r="W258" s="89">
        <v>749.25172999999995</v>
      </c>
      <c r="X258" s="89">
        <v>529.48946999999998</v>
      </c>
      <c r="Y258" s="89">
        <v>5467.8209999999999</v>
      </c>
      <c r="Z258" s="89"/>
      <c r="AA258" s="88">
        <v>1945.1179999999999</v>
      </c>
      <c r="AB258" s="89">
        <v>198.297</v>
      </c>
      <c r="AC258" s="89">
        <v>192.45599999999999</v>
      </c>
      <c r="AD258" s="89">
        <v>5.8410000000000002</v>
      </c>
      <c r="AE258" s="89">
        <v>1746.8209999999999</v>
      </c>
      <c r="AF258" s="89"/>
      <c r="AG258" s="88">
        <v>62280.960858929313</v>
      </c>
      <c r="AH258" s="89">
        <v>11805.152274855098</v>
      </c>
      <c r="AI258" s="89">
        <v>11460.471631035098</v>
      </c>
      <c r="AJ258" s="89">
        <v>344.68064382</v>
      </c>
      <c r="AK258" s="89">
        <v>50475.808584074213</v>
      </c>
      <c r="AL258" s="89"/>
      <c r="AM258" s="88">
        <v>3784864</v>
      </c>
      <c r="AN258" s="89">
        <v>1303026</v>
      </c>
      <c r="AO258" s="89">
        <v>1244574</v>
      </c>
      <c r="AP258" s="89">
        <v>58452</v>
      </c>
      <c r="AQ258" s="89">
        <v>2146453</v>
      </c>
      <c r="AR258" s="89">
        <v>335385</v>
      </c>
      <c r="AS258" s="88">
        <v>62179000</v>
      </c>
      <c r="AT258" s="89">
        <v>-3444377.09</v>
      </c>
      <c r="AU258" s="89">
        <v>-3444377.09</v>
      </c>
      <c r="AV258" s="89"/>
      <c r="AW258" s="89">
        <v>77496206.840000004</v>
      </c>
      <c r="AX258" s="89">
        <v>-11872398.189999999</v>
      </c>
      <c r="AY258" s="88">
        <v>236754744.22941613</v>
      </c>
      <c r="AZ258" s="89">
        <f t="shared" si="16"/>
        <v>51600434.837903313</v>
      </c>
      <c r="BA258" s="89">
        <v>38919540.764723316</v>
      </c>
      <c r="BB258" s="89">
        <v>12680894.073179999</v>
      </c>
      <c r="BC258" s="89">
        <v>185154309.39151281</v>
      </c>
      <c r="BD258" s="89"/>
      <c r="BE258" s="88">
        <v>9061116.528437648</v>
      </c>
      <c r="BF258" s="89">
        <v>951298.08547641756</v>
      </c>
      <c r="BG258" s="89">
        <v>868447.19423367304</v>
      </c>
      <c r="BH258" s="89">
        <v>82850.891242744547</v>
      </c>
      <c r="BI258" s="89">
        <v>8701805.2999052685</v>
      </c>
      <c r="BJ258" s="89">
        <v>-591986.85694404028</v>
      </c>
      <c r="BK258" s="88">
        <v>598.39190199999996</v>
      </c>
      <c r="BL258" s="89">
        <v>-128.64909800000001</v>
      </c>
      <c r="BM258" s="89">
        <v>-45.471762000000005</v>
      </c>
      <c r="BN258" s="89">
        <v>-83.177335999999997</v>
      </c>
      <c r="BO258" s="89">
        <v>727.04100000000005</v>
      </c>
      <c r="BP258" s="89"/>
      <c r="BQ258" s="88">
        <v>15173.263293</v>
      </c>
      <c r="BR258" s="89">
        <v>-2679.5195370000001</v>
      </c>
      <c r="BS258" s="89">
        <v>-1864.5613430000003</v>
      </c>
      <c r="BT258" s="89">
        <v>-814.95819400000005</v>
      </c>
      <c r="BU258" s="89">
        <v>17852.782829999996</v>
      </c>
      <c r="BV258" s="89"/>
      <c r="BW258" s="88">
        <v>11917.368104641853</v>
      </c>
      <c r="BX258" s="89">
        <v>5166.6412899118577</v>
      </c>
      <c r="BY258" s="89">
        <v>5056.8425791418576</v>
      </c>
      <c r="BZ258" s="89">
        <v>109.79871077000001</v>
      </c>
      <c r="CA258" s="89">
        <v>8696.73455535012</v>
      </c>
      <c r="CB258" s="89">
        <v>-1946.0077406201226</v>
      </c>
      <c r="CC258" s="88">
        <v>1719.8920959999998</v>
      </c>
      <c r="CD258" s="89">
        <v>-39.769903999999997</v>
      </c>
      <c r="CE258" s="89">
        <v>141.427277</v>
      </c>
      <c r="CF258" s="89">
        <v>-181.197181</v>
      </c>
      <c r="CG258" s="89">
        <v>1759.662</v>
      </c>
      <c r="CH258" s="89"/>
      <c r="CI258" s="88">
        <v>112280.4</v>
      </c>
      <c r="CJ258" s="89">
        <v>42582.2</v>
      </c>
      <c r="CK258" s="89">
        <v>27454.5</v>
      </c>
      <c r="CL258" s="89">
        <v>15127.7</v>
      </c>
      <c r="CM258" s="89">
        <v>80995.600000000006</v>
      </c>
      <c r="CN258" s="89">
        <v>-11297.5</v>
      </c>
      <c r="CO258" s="88">
        <v>59511.6</v>
      </c>
      <c r="CP258" s="89">
        <v>-41497.4</v>
      </c>
      <c r="CQ258" s="89">
        <v>-8725.6</v>
      </c>
      <c r="CR258" s="89">
        <v>-32771.800000000003</v>
      </c>
      <c r="CS258" s="89">
        <v>115200.6</v>
      </c>
      <c r="CT258" s="89">
        <v>-14191.6</v>
      </c>
      <c r="CU258" s="88">
        <v>36634.503823236359</v>
      </c>
      <c r="CV258" s="89">
        <v>-6229.6029185287671</v>
      </c>
      <c r="CW258" s="89">
        <v>-2860.4989080917239</v>
      </c>
      <c r="CX258" s="89">
        <v>-3369.1040104370441</v>
      </c>
      <c r="CY258" s="89">
        <v>42864.106741765128</v>
      </c>
      <c r="CZ258" s="89"/>
      <c r="DA258" s="88">
        <v>105013.60120197694</v>
      </c>
      <c r="DB258" s="89">
        <v>8675.9981467800262</v>
      </c>
      <c r="DC258" s="89">
        <v>4955.7269339817503</v>
      </c>
      <c r="DD258" s="89">
        <v>3720.0756430982751</v>
      </c>
      <c r="DE258" s="89">
        <v>149799.88056124412</v>
      </c>
      <c r="DF258" s="89">
        <v>-53462.081936347218</v>
      </c>
      <c r="DG258" s="88">
        <v>307137.02149510791</v>
      </c>
      <c r="DH258" s="89">
        <v>117030.30949510788</v>
      </c>
      <c r="DI258" s="89"/>
      <c r="DJ258" s="89"/>
      <c r="DK258" s="89">
        <v>211875.38099999999</v>
      </c>
      <c r="DL258" s="89">
        <v>-21768.669000000002</v>
      </c>
      <c r="DM258" s="88">
        <v>5965297.1443755301</v>
      </c>
      <c r="DN258" s="89">
        <v>2629252.1283755298</v>
      </c>
      <c r="DO258" s="89">
        <v>2213575.5173755297</v>
      </c>
      <c r="DP258" s="89">
        <v>415676.61100000003</v>
      </c>
      <c r="DQ258" s="89">
        <v>3336045.0159999998</v>
      </c>
      <c r="DR258" s="89"/>
      <c r="DS258" s="88">
        <v>60757.772156149149</v>
      </c>
      <c r="DT258" s="89">
        <v>42309.747409398711</v>
      </c>
      <c r="DU258" s="89">
        <v>41520.601502008714</v>
      </c>
      <c r="DV258" s="89">
        <v>789.14590738999993</v>
      </c>
      <c r="DW258" s="89">
        <v>49288.678326136185</v>
      </c>
      <c r="DX258" s="89">
        <v>-30840.653579385747</v>
      </c>
      <c r="DY258" s="88">
        <v>11717.757095000001</v>
      </c>
      <c r="DZ258" s="89">
        <f t="shared" si="18"/>
        <v>-25.835271000000148</v>
      </c>
      <c r="EA258" s="89">
        <v>1293.6723629999999</v>
      </c>
      <c r="EB258" s="89">
        <v>-1319.5076340000001</v>
      </c>
      <c r="EC258" s="89">
        <v>11743.592366000001</v>
      </c>
      <c r="ED258" s="89"/>
      <c r="EE258" s="88">
        <v>16976.624452550001</v>
      </c>
      <c r="EF258" s="89">
        <v>-1332.0850529299996</v>
      </c>
      <c r="EG258" s="89">
        <v>-1473.8267876399996</v>
      </c>
      <c r="EH258" s="89">
        <v>141.74173471</v>
      </c>
      <c r="EI258" s="89">
        <v>25124.338159469997</v>
      </c>
      <c r="EJ258" s="89">
        <v>-6815.6286539899993</v>
      </c>
      <c r="EK258" s="88">
        <v>20264129.008075502</v>
      </c>
      <c r="EL258" s="89">
        <v>-7430450.3609402105</v>
      </c>
      <c r="EM258" s="89">
        <v>-5686372.1338497</v>
      </c>
      <c r="EN258" s="89">
        <v>-1744078.2270905103</v>
      </c>
      <c r="EO258" s="89">
        <v>28208393.654133972</v>
      </c>
      <c r="EP258" s="89">
        <v>-513814.28511826001</v>
      </c>
      <c r="EQ258" s="88">
        <v>91600.060249200003</v>
      </c>
      <c r="ER258" s="89">
        <v>-28890.438178800003</v>
      </c>
      <c r="ES258" s="89"/>
      <c r="ET258" s="89"/>
      <c r="EU258" s="89">
        <v>170658.99943640002</v>
      </c>
      <c r="EV258" s="89">
        <v>-50168.50100840001</v>
      </c>
      <c r="EW258" s="88">
        <v>754782.56503503502</v>
      </c>
      <c r="EX258" s="89">
        <f t="shared" si="17"/>
        <v>396809.22187536996</v>
      </c>
      <c r="EY258" s="89">
        <v>383668.65351497993</v>
      </c>
      <c r="EZ258" s="89">
        <v>13140.56836039</v>
      </c>
      <c r="FA258" s="89">
        <v>457858.40839607001</v>
      </c>
      <c r="FB258" s="89">
        <v>-99885.065236404858</v>
      </c>
      <c r="FC258" s="88">
        <v>1786.0311749999998</v>
      </c>
      <c r="FD258" s="89">
        <v>422.35417499999994</v>
      </c>
      <c r="FE258" s="89">
        <v>823.5224649999999</v>
      </c>
      <c r="FF258" s="89">
        <v>-401.16828999999996</v>
      </c>
      <c r="FG258" s="89">
        <v>1363.6769999999999</v>
      </c>
      <c r="FH258" s="89"/>
      <c r="FI258" s="88">
        <v>962.45830100000012</v>
      </c>
      <c r="FJ258" s="89">
        <v>-42.459699000000015</v>
      </c>
      <c r="FK258" s="89">
        <v>46.684309999999996</v>
      </c>
      <c r="FL258" s="89">
        <v>-89.144009000000011</v>
      </c>
      <c r="FM258" s="89">
        <v>1004.918</v>
      </c>
      <c r="FN258" s="89"/>
      <c r="FO258" s="88">
        <v>3412.685931</v>
      </c>
      <c r="FP258" s="89">
        <v>-400.32006900000005</v>
      </c>
      <c r="FQ258" s="89">
        <v>-74.922190999999998</v>
      </c>
      <c r="FR258" s="89">
        <v>-325.39787800000005</v>
      </c>
      <c r="FS258" s="89">
        <v>3813.0059999999999</v>
      </c>
      <c r="FT258" s="89"/>
      <c r="FU258" s="88">
        <v>3615.1</v>
      </c>
      <c r="FV258" s="89">
        <v>390.5</v>
      </c>
      <c r="FW258" s="89">
        <v>286.60000000000002</v>
      </c>
      <c r="FX258" s="89">
        <v>103.9</v>
      </c>
      <c r="FY258" s="89">
        <v>3152.7</v>
      </c>
      <c r="FZ258" s="89">
        <v>71.900000000000006</v>
      </c>
      <c r="GA258" s="88">
        <v>37344.1</v>
      </c>
      <c r="GB258" s="89">
        <v>-3095.4000000000015</v>
      </c>
      <c r="GC258" s="89">
        <v>-11423.8</v>
      </c>
      <c r="GD258" s="89">
        <v>8328.4</v>
      </c>
      <c r="GE258" s="89">
        <v>40439.5</v>
      </c>
      <c r="GF258" s="89"/>
      <c r="GG258" s="88">
        <v>145069.34526664374</v>
      </c>
      <c r="GH258" s="89">
        <v>62378.230504374245</v>
      </c>
      <c r="GI258" s="89">
        <v>61082.496875043267</v>
      </c>
      <c r="GJ258" s="89">
        <v>1295.7336293309804</v>
      </c>
      <c r="GK258" s="89">
        <v>171055.27939049414</v>
      </c>
      <c r="GL258" s="89">
        <v>-88364.164628224607</v>
      </c>
      <c r="GM258" s="88">
        <v>300887.78597580001</v>
      </c>
      <c r="GN258" s="89">
        <v>70848.947490880018</v>
      </c>
      <c r="GO258" s="89">
        <v>66177.611198160012</v>
      </c>
      <c r="GP258" s="89">
        <v>4671.3362927200069</v>
      </c>
      <c r="GQ258" s="89">
        <v>196001.87396751999</v>
      </c>
      <c r="GR258" s="89">
        <v>34036.964517399996</v>
      </c>
    </row>
    <row r="259" spans="1:200">
      <c r="A259" s="93"/>
      <c r="B259" s="93" t="s">
        <v>492</v>
      </c>
      <c r="C259" s="88">
        <v>2887.429423</v>
      </c>
      <c r="D259" s="87">
        <v>372.44842299999999</v>
      </c>
      <c r="E259" s="87">
        <v>481.870272</v>
      </c>
      <c r="F259" s="87">
        <v>-109.42184900000001</v>
      </c>
      <c r="G259" s="87">
        <v>2514.9810000000002</v>
      </c>
      <c r="H259" s="87"/>
      <c r="I259" s="88">
        <v>381601.66899999999</v>
      </c>
      <c r="J259" s="89">
        <v>366796.34899999999</v>
      </c>
      <c r="K259" s="89"/>
      <c r="L259" s="89"/>
      <c r="M259" s="89">
        <v>232545.07</v>
      </c>
      <c r="N259" s="89">
        <v>-217739.75</v>
      </c>
      <c r="O259" s="88">
        <v>8136.6</v>
      </c>
      <c r="P259" s="89">
        <v>1621.5</v>
      </c>
      <c r="Q259" s="89">
        <v>1175.5999999999999</v>
      </c>
      <c r="R259" s="89">
        <v>445.9</v>
      </c>
      <c r="S259" s="89">
        <v>6515.1</v>
      </c>
      <c r="T259" s="89"/>
      <c r="U259" s="88">
        <v>6847.8719700000001</v>
      </c>
      <c r="V259" s="89">
        <v>1381.07197</v>
      </c>
      <c r="W259" s="89">
        <v>862.16647</v>
      </c>
      <c r="X259" s="89">
        <v>518.90549999999996</v>
      </c>
      <c r="Y259" s="89">
        <v>5466.8</v>
      </c>
      <c r="Z259" s="89"/>
      <c r="AA259" s="88">
        <v>1934.8040000000001</v>
      </c>
      <c r="AB259" s="89">
        <v>171.774</v>
      </c>
      <c r="AC259" s="89">
        <v>166.179</v>
      </c>
      <c r="AD259" s="89">
        <v>5.5949999999999998</v>
      </c>
      <c r="AE259" s="89">
        <v>1763.03</v>
      </c>
      <c r="AF259" s="89"/>
      <c r="AG259" s="88">
        <v>62905.22781027577</v>
      </c>
      <c r="AH259" s="89">
        <v>11278.73178209071</v>
      </c>
      <c r="AI259" s="89">
        <v>10907.581809190709</v>
      </c>
      <c r="AJ259" s="89">
        <v>371.14997289999997</v>
      </c>
      <c r="AK259" s="89">
        <v>51626.496028185058</v>
      </c>
      <c r="AL259" s="89"/>
      <c r="AM259" s="88">
        <v>3828153</v>
      </c>
      <c r="AN259" s="89">
        <v>1317544</v>
      </c>
      <c r="AO259" s="89">
        <v>1259700</v>
      </c>
      <c r="AP259" s="89">
        <v>57844</v>
      </c>
      <c r="AQ259" s="89">
        <v>2186290</v>
      </c>
      <c r="AR259" s="89">
        <v>324319</v>
      </c>
      <c r="AS259" s="88">
        <v>64104000</v>
      </c>
      <c r="AT259" s="89">
        <v>-3288706.9529999997</v>
      </c>
      <c r="AU259" s="89">
        <v>-3288706.9529999997</v>
      </c>
      <c r="AV259" s="89"/>
      <c r="AW259" s="89">
        <v>78716108.659999996</v>
      </c>
      <c r="AX259" s="89">
        <v>-11323841.66</v>
      </c>
      <c r="AY259" s="88">
        <v>239862284.07325736</v>
      </c>
      <c r="AZ259" s="89">
        <f t="shared" si="16"/>
        <v>51786683.265487969</v>
      </c>
      <c r="BA259" s="89">
        <v>39155000.423668608</v>
      </c>
      <c r="BB259" s="89">
        <v>12631682.841819361</v>
      </c>
      <c r="BC259" s="89">
        <v>188075600.80776936</v>
      </c>
      <c r="BD259" s="89"/>
      <c r="BE259" s="88">
        <v>9078808.2277328148</v>
      </c>
      <c r="BF259" s="89">
        <v>932960.37047954462</v>
      </c>
      <c r="BG259" s="89">
        <v>860082.95028882765</v>
      </c>
      <c r="BH259" s="89">
        <v>72877.420190717021</v>
      </c>
      <c r="BI259" s="89">
        <v>8766152.3511599228</v>
      </c>
      <c r="BJ259" s="89">
        <v>-620304.49390665314</v>
      </c>
      <c r="BK259" s="88">
        <v>600.34410100000002</v>
      </c>
      <c r="BL259" s="89">
        <v>-126.10389899999998</v>
      </c>
      <c r="BM259" s="89">
        <v>-45.199626999999992</v>
      </c>
      <c r="BN259" s="89">
        <v>-80.904271999999992</v>
      </c>
      <c r="BO259" s="89">
        <v>726.44799999999998</v>
      </c>
      <c r="BP259" s="89"/>
      <c r="BQ259" s="88">
        <v>15389.087950000001</v>
      </c>
      <c r="BR259" s="89">
        <v>-2832.7817869999999</v>
      </c>
      <c r="BS259" s="89">
        <v>-2043.2331740000002</v>
      </c>
      <c r="BT259" s="89">
        <v>-789.54861299999993</v>
      </c>
      <c r="BU259" s="89">
        <v>18221.869737000001</v>
      </c>
      <c r="BV259" s="89"/>
      <c r="BW259" s="88">
        <v>11885.112398421859</v>
      </c>
      <c r="BX259" s="89">
        <v>5041.1994047518574</v>
      </c>
      <c r="BY259" s="89">
        <v>4961.1900955518577</v>
      </c>
      <c r="BZ259" s="89">
        <v>80.00930919999999</v>
      </c>
      <c r="CA259" s="89">
        <v>8799.3690921401212</v>
      </c>
      <c r="CB259" s="89">
        <v>-1955.4560984701207</v>
      </c>
      <c r="CC259" s="88">
        <v>1722.578831</v>
      </c>
      <c r="CD259" s="89">
        <v>-32.119168999999999</v>
      </c>
      <c r="CE259" s="89">
        <v>155.60912199999999</v>
      </c>
      <c r="CF259" s="89">
        <v>-187.72829099999998</v>
      </c>
      <c r="CG259" s="89">
        <v>1754.6980000000001</v>
      </c>
      <c r="CH259" s="89"/>
      <c r="CI259" s="88">
        <v>112604.2</v>
      </c>
      <c r="CJ259" s="89">
        <v>42524</v>
      </c>
      <c r="CK259" s="89">
        <v>26947.200000000001</v>
      </c>
      <c r="CL259" s="89">
        <v>15576.8</v>
      </c>
      <c r="CM259" s="89">
        <v>80297.7</v>
      </c>
      <c r="CN259" s="89">
        <v>-10217.4</v>
      </c>
      <c r="CO259" s="88">
        <v>57626.7</v>
      </c>
      <c r="CP259" s="89">
        <v>-42466.400000000001</v>
      </c>
      <c r="CQ259" s="89">
        <v>-8374.6</v>
      </c>
      <c r="CR259" s="89">
        <v>-34091.800000000003</v>
      </c>
      <c r="CS259" s="89">
        <v>117193.9</v>
      </c>
      <c r="CT259" s="89">
        <v>-17100.8</v>
      </c>
      <c r="CU259" s="88">
        <v>36741.648400564525</v>
      </c>
      <c r="CV259" s="89">
        <v>-6874.1394641169982</v>
      </c>
      <c r="CW259" s="89">
        <v>-3357.2497065751777</v>
      </c>
      <c r="CX259" s="89">
        <v>-3516.8897575418205</v>
      </c>
      <c r="CY259" s="89">
        <v>43615.787864681522</v>
      </c>
      <c r="CZ259" s="89"/>
      <c r="DA259" s="88">
        <v>104401.18229712659</v>
      </c>
      <c r="DB259" s="89">
        <v>8012.7985125730047</v>
      </c>
      <c r="DC259" s="89">
        <v>4355.6278216771461</v>
      </c>
      <c r="DD259" s="89">
        <v>3656.9443298958577</v>
      </c>
      <c r="DE259" s="89">
        <v>149513.35572620016</v>
      </c>
      <c r="DF259" s="89">
        <v>-53124.74558064658</v>
      </c>
      <c r="DG259" s="88">
        <v>305678.62397000002</v>
      </c>
      <c r="DH259" s="89">
        <v>116261.42697</v>
      </c>
      <c r="DI259" s="89"/>
      <c r="DJ259" s="89"/>
      <c r="DK259" s="89">
        <v>213149.633</v>
      </c>
      <c r="DL259" s="89">
        <v>-23732.436000000002</v>
      </c>
      <c r="DM259" s="88">
        <v>6015257.1392998202</v>
      </c>
      <c r="DN259" s="89">
        <v>2668479.2312998199</v>
      </c>
      <c r="DO259" s="89">
        <v>2246619.5372998198</v>
      </c>
      <c r="DP259" s="89">
        <v>421859.69400000002</v>
      </c>
      <c r="DQ259" s="89">
        <v>3346777.9079999998</v>
      </c>
      <c r="DR259" s="89"/>
      <c r="DS259" s="88">
        <v>57785.542202978038</v>
      </c>
      <c r="DT259" s="89">
        <v>43138.100015331445</v>
      </c>
      <c r="DU259" s="89">
        <v>42393.575000631448</v>
      </c>
      <c r="DV259" s="89">
        <v>744.52501469999993</v>
      </c>
      <c r="DW259" s="89">
        <v>48920.506462392354</v>
      </c>
      <c r="DX259" s="89">
        <v>-34273.064274745768</v>
      </c>
      <c r="DY259" s="88">
        <v>11570.712199</v>
      </c>
      <c r="DZ259" s="89">
        <f t="shared" si="18"/>
        <v>-93.106864999999971</v>
      </c>
      <c r="EA259" s="89">
        <v>1301.459071</v>
      </c>
      <c r="EB259" s="89">
        <v>-1394.565936</v>
      </c>
      <c r="EC259" s="89">
        <v>11663.819063999999</v>
      </c>
      <c r="ED259" s="89"/>
      <c r="EE259" s="88">
        <v>17236.842322710007</v>
      </c>
      <c r="EF259" s="89">
        <v>-1393.3032509399998</v>
      </c>
      <c r="EG259" s="89">
        <v>-1544.7472541899997</v>
      </c>
      <c r="EH259" s="89">
        <v>151.44400325000001</v>
      </c>
      <c r="EI259" s="89">
        <v>25362.434657050006</v>
      </c>
      <c r="EJ259" s="89">
        <v>-6732.2890833999991</v>
      </c>
      <c r="EK259" s="88">
        <v>20047539.88782585</v>
      </c>
      <c r="EL259" s="89">
        <v>-7966474.0999410488</v>
      </c>
      <c r="EM259" s="89">
        <v>-6067282.1781420587</v>
      </c>
      <c r="EN259" s="89">
        <v>-1899191.9217989899</v>
      </c>
      <c r="EO259" s="89">
        <v>28504918.27716665</v>
      </c>
      <c r="EP259" s="89">
        <v>-490904.28939975018</v>
      </c>
      <c r="EQ259" s="88">
        <v>87409.774322540005</v>
      </c>
      <c r="ER259" s="89">
        <v>-33871.511002859996</v>
      </c>
      <c r="ES259" s="89"/>
      <c r="ET259" s="89"/>
      <c r="EU259" s="89">
        <v>172519.94684444001</v>
      </c>
      <c r="EV259" s="89">
        <v>-51238.661519040004</v>
      </c>
      <c r="EW259" s="88">
        <v>761595.72617677879</v>
      </c>
      <c r="EX259" s="89">
        <f t="shared" si="17"/>
        <v>397353.74552883999</v>
      </c>
      <c r="EY259" s="89">
        <v>384705.68704550999</v>
      </c>
      <c r="EZ259" s="89">
        <v>12648.05848333</v>
      </c>
      <c r="FA259" s="89">
        <v>458848.19211134</v>
      </c>
      <c r="FB259" s="89">
        <v>-94606.21146340108</v>
      </c>
      <c r="FC259" s="88">
        <v>1768.9750409999999</v>
      </c>
      <c r="FD259" s="89">
        <v>401.43504099999996</v>
      </c>
      <c r="FE259" s="89">
        <v>811.63833799999998</v>
      </c>
      <c r="FF259" s="89">
        <v>-410.20329700000002</v>
      </c>
      <c r="FG259" s="89">
        <v>1367.54</v>
      </c>
      <c r="FH259" s="89"/>
      <c r="FI259" s="88">
        <v>953.72096599999998</v>
      </c>
      <c r="FJ259" s="89">
        <v>-51.976033999999999</v>
      </c>
      <c r="FK259" s="89">
        <v>48.986872000000005</v>
      </c>
      <c r="FL259" s="89">
        <v>-100.962906</v>
      </c>
      <c r="FM259" s="89">
        <v>1005.697</v>
      </c>
      <c r="FN259" s="89"/>
      <c r="FO259" s="88">
        <v>3417.7220520000001</v>
      </c>
      <c r="FP259" s="89">
        <v>-392.25694800000002</v>
      </c>
      <c r="FQ259" s="89">
        <v>-55.995070000000005</v>
      </c>
      <c r="FR259" s="89">
        <v>-336.26187800000002</v>
      </c>
      <c r="FS259" s="89">
        <v>3809.9789999999998</v>
      </c>
      <c r="FT259" s="89"/>
      <c r="FU259" s="88">
        <v>3609.7</v>
      </c>
      <c r="FV259" s="89">
        <v>328</v>
      </c>
      <c r="FW259" s="89">
        <v>224.8</v>
      </c>
      <c r="FX259" s="89">
        <v>103.2</v>
      </c>
      <c r="FY259" s="89">
        <v>3212.5</v>
      </c>
      <c r="FZ259" s="89">
        <v>69.2</v>
      </c>
      <c r="GA259" s="88">
        <v>32187.3</v>
      </c>
      <c r="GB259" s="89">
        <v>-8128.6000000000022</v>
      </c>
      <c r="GC259" s="89">
        <v>-16883</v>
      </c>
      <c r="GD259" s="89">
        <v>8754.4</v>
      </c>
      <c r="GE259" s="89">
        <v>40315.9</v>
      </c>
      <c r="GF259" s="89"/>
      <c r="GG259" s="88">
        <v>140353.28818419491</v>
      </c>
      <c r="GH259" s="89">
        <v>60722.126364871998</v>
      </c>
      <c r="GI259" s="89">
        <v>59932.228896009001</v>
      </c>
      <c r="GJ259" s="89">
        <v>789.89746886300009</v>
      </c>
      <c r="GK259" s="89">
        <v>174991.59188321003</v>
      </c>
      <c r="GL259" s="89">
        <v>-95360.430063887135</v>
      </c>
      <c r="GM259" s="88">
        <v>309126.49178735993</v>
      </c>
      <c r="GN259" s="89">
        <v>87720.390288979994</v>
      </c>
      <c r="GO259" s="89">
        <v>82898.337572649994</v>
      </c>
      <c r="GP259" s="89">
        <v>4822.0527163299994</v>
      </c>
      <c r="GQ259" s="89">
        <v>200307.29979241994</v>
      </c>
      <c r="GR259" s="89">
        <v>21098.801705960002</v>
      </c>
    </row>
    <row r="260" spans="1:200">
      <c r="A260" s="93"/>
      <c r="B260" s="93" t="s">
        <v>493</v>
      </c>
      <c r="C260" s="88">
        <v>2863.3919943699998</v>
      </c>
      <c r="D260" s="87">
        <v>354.97299437000004</v>
      </c>
      <c r="E260" s="87">
        <v>485.42984325000003</v>
      </c>
      <c r="F260" s="87">
        <v>-130.45684888</v>
      </c>
      <c r="G260" s="87">
        <v>2508.4189999999999</v>
      </c>
      <c r="H260" s="87"/>
      <c r="I260" s="88">
        <v>394377.38600000006</v>
      </c>
      <c r="J260" s="89">
        <v>369210.109</v>
      </c>
      <c r="K260" s="89"/>
      <c r="L260" s="89"/>
      <c r="M260" s="89">
        <v>241171.65400000001</v>
      </c>
      <c r="N260" s="89">
        <v>-216004.37700000001</v>
      </c>
      <c r="O260" s="88">
        <v>8145.7</v>
      </c>
      <c r="P260" s="89">
        <v>1637.5</v>
      </c>
      <c r="Q260" s="89">
        <v>1196.5</v>
      </c>
      <c r="R260" s="89">
        <v>441</v>
      </c>
      <c r="S260" s="89">
        <v>6508.2</v>
      </c>
      <c r="T260" s="89"/>
      <c r="U260" s="88">
        <v>6799.1411600000001</v>
      </c>
      <c r="V260" s="89">
        <v>1380.5821599999999</v>
      </c>
      <c r="W260" s="89">
        <v>871.87666000000002</v>
      </c>
      <c r="X260" s="89">
        <v>508.70550000000003</v>
      </c>
      <c r="Y260" s="89">
        <v>5418.5590000000002</v>
      </c>
      <c r="Z260" s="89"/>
      <c r="AA260" s="88">
        <v>1917.6030000000001</v>
      </c>
      <c r="AB260" s="89">
        <v>152.899</v>
      </c>
      <c r="AC260" s="89">
        <v>146.971</v>
      </c>
      <c r="AD260" s="89">
        <v>5.9279999999999999</v>
      </c>
      <c r="AE260" s="89">
        <v>1764.704</v>
      </c>
      <c r="AF260" s="89"/>
      <c r="AG260" s="88">
        <v>64667.77039809776</v>
      </c>
      <c r="AH260" s="89">
        <v>11351.865789533704</v>
      </c>
      <c r="AI260" s="89">
        <v>10847.431357083704</v>
      </c>
      <c r="AJ260" s="89">
        <v>504.43443244999997</v>
      </c>
      <c r="AK260" s="89">
        <v>53315.904608564058</v>
      </c>
      <c r="AL260" s="89"/>
      <c r="AM260" s="88">
        <v>3884223</v>
      </c>
      <c r="AN260" s="89">
        <v>1340863</v>
      </c>
      <c r="AO260" s="89">
        <v>1282055</v>
      </c>
      <c r="AP260" s="89">
        <v>58808</v>
      </c>
      <c r="AQ260" s="89">
        <v>2217506</v>
      </c>
      <c r="AR260" s="89">
        <v>325855</v>
      </c>
      <c r="AS260" s="88">
        <v>64856000</v>
      </c>
      <c r="AT260" s="89">
        <v>-3046313.145</v>
      </c>
      <c r="AU260" s="89">
        <v>-3046313.145</v>
      </c>
      <c r="AV260" s="89"/>
      <c r="AW260" s="89">
        <v>79953614.010000005</v>
      </c>
      <c r="AX260" s="89">
        <v>-12051742.260000002</v>
      </c>
      <c r="AY260" s="88">
        <v>239739344.41812691</v>
      </c>
      <c r="AZ260" s="89">
        <f t="shared" si="16"/>
        <v>47042978.679635599</v>
      </c>
      <c r="BA260" s="89">
        <v>34345628.674958132</v>
      </c>
      <c r="BB260" s="89">
        <v>12697350.004677469</v>
      </c>
      <c r="BC260" s="89">
        <v>192696365.7384913</v>
      </c>
      <c r="BD260" s="89"/>
      <c r="BE260" s="88">
        <v>9102175.2710806597</v>
      </c>
      <c r="BF260" s="89">
        <v>907120.28271351359</v>
      </c>
      <c r="BG260" s="89">
        <v>827882.98307243851</v>
      </c>
      <c r="BH260" s="89">
        <v>79237.299641075078</v>
      </c>
      <c r="BI260" s="89">
        <v>8885241.705853574</v>
      </c>
      <c r="BJ260" s="89">
        <v>-690186.7174864274</v>
      </c>
      <c r="BK260" s="88">
        <v>603.25065299999994</v>
      </c>
      <c r="BL260" s="89">
        <v>-135.35834700000001</v>
      </c>
      <c r="BM260" s="89">
        <v>-55.431797000000003</v>
      </c>
      <c r="BN260" s="89">
        <v>-79.926550000000006</v>
      </c>
      <c r="BO260" s="89">
        <v>738.60900000000004</v>
      </c>
      <c r="BP260" s="89"/>
      <c r="BQ260" s="88">
        <v>15974.067455</v>
      </c>
      <c r="BR260" s="89">
        <v>-2539.9193800000003</v>
      </c>
      <c r="BS260" s="89">
        <v>-1694.7652630000002</v>
      </c>
      <c r="BT260" s="89">
        <v>-845.15411700000004</v>
      </c>
      <c r="BU260" s="89">
        <v>18513.986835</v>
      </c>
      <c r="BV260" s="89"/>
      <c r="BW260" s="88">
        <v>11942.111932444863</v>
      </c>
      <c r="BX260" s="89">
        <v>5183.3109461348567</v>
      </c>
      <c r="BY260" s="89">
        <v>5099.5037057048567</v>
      </c>
      <c r="BZ260" s="89">
        <v>83.807240430000007</v>
      </c>
      <c r="CA260" s="89">
        <v>8765.7037016601244</v>
      </c>
      <c r="CB260" s="89">
        <v>-2006.9027153501206</v>
      </c>
      <c r="CC260" s="88">
        <v>1700.3554945000001</v>
      </c>
      <c r="CD260" s="89">
        <v>-53.397505499999994</v>
      </c>
      <c r="CE260" s="89">
        <v>148.78219870000001</v>
      </c>
      <c r="CF260" s="89">
        <v>-202.1797042</v>
      </c>
      <c r="CG260" s="89">
        <v>1753.7529999999999</v>
      </c>
      <c r="CH260" s="89"/>
      <c r="CI260" s="88">
        <v>112876.7</v>
      </c>
      <c r="CJ260" s="89">
        <v>42327.5</v>
      </c>
      <c r="CK260" s="89">
        <v>26786.3</v>
      </c>
      <c r="CL260" s="89">
        <v>15541.199999999999</v>
      </c>
      <c r="CM260" s="89">
        <v>81735.299999999988</v>
      </c>
      <c r="CN260" s="89">
        <v>-11186.2</v>
      </c>
      <c r="CO260" s="88">
        <v>67191.600000000006</v>
      </c>
      <c r="CP260" s="89">
        <v>-34355</v>
      </c>
      <c r="CQ260" s="89">
        <v>-3867.6</v>
      </c>
      <c r="CR260" s="89">
        <v>-30487.4</v>
      </c>
      <c r="CS260" s="89">
        <v>119292</v>
      </c>
      <c r="CT260" s="89">
        <v>-17745.400000000001</v>
      </c>
      <c r="CU260" s="88">
        <v>35961.125250463534</v>
      </c>
      <c r="CV260" s="89">
        <v>-7969.4822487044985</v>
      </c>
      <c r="CW260" s="89">
        <v>-4427.5807119282481</v>
      </c>
      <c r="CX260" s="89">
        <v>-3541.9015367762509</v>
      </c>
      <c r="CY260" s="89">
        <v>43930.607499168036</v>
      </c>
      <c r="CZ260" s="89"/>
      <c r="DA260" s="88">
        <v>104659.67998024847</v>
      </c>
      <c r="DB260" s="89">
        <v>8447.6861843261031</v>
      </c>
      <c r="DC260" s="89">
        <v>4864.4128878800366</v>
      </c>
      <c r="DD260" s="89">
        <v>3583.0503833260655</v>
      </c>
      <c r="DE260" s="89">
        <v>150135.78524953959</v>
      </c>
      <c r="DF260" s="89">
        <v>-53923.568540497188</v>
      </c>
      <c r="DG260" s="88">
        <v>311086.07657999999</v>
      </c>
      <c r="DH260" s="89">
        <v>118283.98557999999</v>
      </c>
      <c r="DI260" s="89"/>
      <c r="DJ260" s="89"/>
      <c r="DK260" s="89">
        <v>215517.40400000001</v>
      </c>
      <c r="DL260" s="89">
        <v>-22715.312999999998</v>
      </c>
      <c r="DM260" s="88">
        <v>6077803.1987931104</v>
      </c>
      <c r="DN260" s="89">
        <v>2670618.60779311</v>
      </c>
      <c r="DO260" s="89">
        <v>2246821.7987931101</v>
      </c>
      <c r="DP260" s="89">
        <v>423796.80900000001</v>
      </c>
      <c r="DQ260" s="89">
        <v>3407184.591</v>
      </c>
      <c r="DR260" s="89"/>
      <c r="DS260" s="88">
        <v>57404.613935207446</v>
      </c>
      <c r="DT260" s="89">
        <v>43094.328183078964</v>
      </c>
      <c r="DU260" s="89">
        <v>42356.044547518963</v>
      </c>
      <c r="DV260" s="89">
        <v>738.28363555999999</v>
      </c>
      <c r="DW260" s="89">
        <v>49127.75944861515</v>
      </c>
      <c r="DX260" s="89">
        <v>-34817.473696486668</v>
      </c>
      <c r="DY260" s="88">
        <v>11417.221654999999</v>
      </c>
      <c r="DZ260" s="89">
        <f t="shared" si="18"/>
        <v>-231.82050300000014</v>
      </c>
      <c r="EA260" s="89">
        <v>1313.6003389999998</v>
      </c>
      <c r="EB260" s="89">
        <v>-1545.420842</v>
      </c>
      <c r="EC260" s="89">
        <v>11649.042158</v>
      </c>
      <c r="ED260" s="89"/>
      <c r="EE260" s="88">
        <v>16277.478681410003</v>
      </c>
      <c r="EF260" s="89">
        <v>-1310.0401555699998</v>
      </c>
      <c r="EG260" s="89">
        <v>-1456.6177815199999</v>
      </c>
      <c r="EH260" s="89">
        <v>146.57762595</v>
      </c>
      <c r="EI260" s="89">
        <v>24342.772307369996</v>
      </c>
      <c r="EJ260" s="89">
        <v>-6755.2534703899964</v>
      </c>
      <c r="EK260" s="88">
        <v>19914102.113395829</v>
      </c>
      <c r="EL260" s="89">
        <v>-8695370.09343246</v>
      </c>
      <c r="EM260" s="89">
        <v>-6462468.5485001598</v>
      </c>
      <c r="EN260" s="89">
        <v>-2232901.5449323002</v>
      </c>
      <c r="EO260" s="89">
        <v>29133942.966673888</v>
      </c>
      <c r="EP260" s="89">
        <v>-524470.75984560011</v>
      </c>
      <c r="EQ260" s="88">
        <v>94661.602807650008</v>
      </c>
      <c r="ER260" s="89">
        <v>-34323.315195730007</v>
      </c>
      <c r="ES260" s="89"/>
      <c r="ET260" s="89"/>
      <c r="EU260" s="89">
        <v>177546.38656364998</v>
      </c>
      <c r="EV260" s="89">
        <v>-48561.468560269976</v>
      </c>
      <c r="EW260" s="88">
        <v>772437.65450500895</v>
      </c>
      <c r="EX260" s="89">
        <f t="shared" si="17"/>
        <v>415605.87074058998</v>
      </c>
      <c r="EY260" s="89">
        <v>402392.28656335</v>
      </c>
      <c r="EZ260" s="89">
        <v>13213.58417724</v>
      </c>
      <c r="FA260" s="89">
        <v>463142.4834157399</v>
      </c>
      <c r="FB260" s="89">
        <v>-106310.69965132089</v>
      </c>
      <c r="FC260" s="88">
        <v>1778.4181389999997</v>
      </c>
      <c r="FD260" s="89">
        <v>299.23413899999991</v>
      </c>
      <c r="FE260" s="89">
        <v>810.16243599999996</v>
      </c>
      <c r="FF260" s="89">
        <v>-510.92829700000004</v>
      </c>
      <c r="FG260" s="89">
        <v>1479.184</v>
      </c>
      <c r="FH260" s="89"/>
      <c r="FI260" s="88">
        <v>956.65452300000004</v>
      </c>
      <c r="FJ260" s="89">
        <v>-54.811477000000011</v>
      </c>
      <c r="FK260" s="89">
        <v>64.814643999999987</v>
      </c>
      <c r="FL260" s="89">
        <v>-119.626121</v>
      </c>
      <c r="FM260" s="89">
        <v>1011.466</v>
      </c>
      <c r="FN260" s="89"/>
      <c r="FO260" s="88">
        <v>3468.83772</v>
      </c>
      <c r="FP260" s="89">
        <v>-370.01328000000001</v>
      </c>
      <c r="FQ260" s="89">
        <v>-38.577401999999999</v>
      </c>
      <c r="FR260" s="89">
        <v>-331.435878</v>
      </c>
      <c r="FS260" s="89">
        <v>3838.8510000000001</v>
      </c>
      <c r="FT260" s="89"/>
      <c r="FU260" s="88">
        <v>3660.9</v>
      </c>
      <c r="FV260" s="89">
        <v>364.9</v>
      </c>
      <c r="FW260" s="89">
        <v>261</v>
      </c>
      <c r="FX260" s="89">
        <v>103.9</v>
      </c>
      <c r="FY260" s="89">
        <v>3225.2</v>
      </c>
      <c r="FZ260" s="89">
        <v>70.8</v>
      </c>
      <c r="GA260" s="88">
        <v>32937.5</v>
      </c>
      <c r="GB260" s="89">
        <v>-7145.8000000000029</v>
      </c>
      <c r="GC260" s="89">
        <v>-15778.7</v>
      </c>
      <c r="GD260" s="89">
        <v>8632.7999999999993</v>
      </c>
      <c r="GE260" s="89">
        <v>40083.300000000003</v>
      </c>
      <c r="GF260" s="89"/>
      <c r="GG260" s="88">
        <v>133214.27484154742</v>
      </c>
      <c r="GH260" s="89">
        <v>59162.94322867001</v>
      </c>
      <c r="GI260" s="89">
        <v>57952.166439868015</v>
      </c>
      <c r="GJ260" s="89">
        <v>1210.7767888019989</v>
      </c>
      <c r="GK260" s="89">
        <v>175705.672798068</v>
      </c>
      <c r="GL260" s="89">
        <v>-101654.34118519063</v>
      </c>
      <c r="GM260" s="88">
        <v>318312.11376358999</v>
      </c>
      <c r="GN260" s="89">
        <v>76301.262680659973</v>
      </c>
      <c r="GO260" s="89">
        <v>71954.90908130999</v>
      </c>
      <c r="GP260" s="89">
        <v>4346.3535993499827</v>
      </c>
      <c r="GQ260" s="89">
        <v>207118.4684859</v>
      </c>
      <c r="GR260" s="89">
        <v>34892.382597030002</v>
      </c>
    </row>
    <row r="261" spans="1:200">
      <c r="B261" s="93" t="s">
        <v>494</v>
      </c>
      <c r="C261" s="88">
        <v>2902.5875392800003</v>
      </c>
      <c r="D261" s="87">
        <v>411.88853928000003</v>
      </c>
      <c r="E261" s="87">
        <v>501.71638816000001</v>
      </c>
      <c r="F261" s="87">
        <v>-89.827848880000005</v>
      </c>
      <c r="G261" s="87">
        <v>2490.6990000000001</v>
      </c>
      <c r="H261" s="87"/>
      <c r="I261" s="88">
        <v>412561.27500000002</v>
      </c>
      <c r="J261" s="89">
        <v>375097.43099999998</v>
      </c>
      <c r="K261" s="89"/>
      <c r="L261" s="89"/>
      <c r="M261" s="89">
        <v>251062.30900000001</v>
      </c>
      <c r="N261" s="89">
        <v>-213598.465</v>
      </c>
      <c r="O261" s="88">
        <v>8213.2000000000007</v>
      </c>
      <c r="P261" s="89">
        <v>1710.3000000000002</v>
      </c>
      <c r="Q261" s="89">
        <v>1259.2</v>
      </c>
      <c r="R261" s="89">
        <v>451.1</v>
      </c>
      <c r="S261" s="89">
        <v>6502.9</v>
      </c>
      <c r="T261" s="89"/>
      <c r="U261" s="88">
        <v>6880.3016500000012</v>
      </c>
      <c r="V261" s="89">
        <v>1459.7626500000001</v>
      </c>
      <c r="W261" s="89">
        <v>944.71465000000001</v>
      </c>
      <c r="X261" s="89">
        <v>515.048</v>
      </c>
      <c r="Y261" s="89">
        <v>5420.5390000000007</v>
      </c>
      <c r="Z261" s="89"/>
      <c r="AA261" s="88">
        <v>1907.3140000000001</v>
      </c>
      <c r="AB261" s="89">
        <v>146.22</v>
      </c>
      <c r="AC261" s="89">
        <v>140.69999999999999</v>
      </c>
      <c r="AD261" s="89">
        <v>5.52</v>
      </c>
      <c r="AE261" s="89">
        <v>1761.0940000000001</v>
      </c>
      <c r="AF261" s="89"/>
      <c r="AG261" s="88">
        <v>65958.844264647691</v>
      </c>
      <c r="AH261" s="89">
        <v>11480.059611278535</v>
      </c>
      <c r="AI261" s="89">
        <v>10791.173784468536</v>
      </c>
      <c r="AJ261" s="89">
        <v>688.88582681000003</v>
      </c>
      <c r="AK261" s="89">
        <v>54478.784653369155</v>
      </c>
      <c r="AL261" s="89"/>
      <c r="AM261" s="88">
        <v>3913965</v>
      </c>
      <c r="AN261" s="89">
        <v>1307373</v>
      </c>
      <c r="AO261" s="89">
        <v>1248392</v>
      </c>
      <c r="AP261" s="89">
        <v>58981</v>
      </c>
      <c r="AQ261" s="89">
        <v>2264505</v>
      </c>
      <c r="AR261" s="89">
        <v>342088</v>
      </c>
      <c r="AS261" s="88">
        <v>65391000</v>
      </c>
      <c r="AT261" s="89">
        <v>-3071556.125</v>
      </c>
      <c r="AU261" s="89">
        <v>-3071556.125</v>
      </c>
      <c r="AV261" s="89"/>
      <c r="AW261" s="89">
        <v>80542939.710000008</v>
      </c>
      <c r="AX261" s="89">
        <v>-12080742.66</v>
      </c>
      <c r="AY261" s="88">
        <v>243890273.33246979</v>
      </c>
      <c r="AZ261" s="89">
        <f t="shared" si="16"/>
        <v>47927497.744307987</v>
      </c>
      <c r="BA261" s="89">
        <v>35213376.18597395</v>
      </c>
      <c r="BB261" s="89">
        <v>12714121.558334038</v>
      </c>
      <c r="BC261" s="89">
        <v>195962775.5881618</v>
      </c>
      <c r="BD261" s="89"/>
      <c r="BE261" s="88">
        <v>9087101.1363515202</v>
      </c>
      <c r="BF261" s="89">
        <v>815117.81819391844</v>
      </c>
      <c r="BG261" s="89">
        <v>732871.86445973814</v>
      </c>
      <c r="BH261" s="89">
        <v>82245.953734180337</v>
      </c>
      <c r="BI261" s="89">
        <v>8985725.0673123375</v>
      </c>
      <c r="BJ261" s="89">
        <v>-713741.74915473606</v>
      </c>
      <c r="BK261" s="88">
        <v>590.75566221000008</v>
      </c>
      <c r="BL261" s="89">
        <v>-142.02333779000003</v>
      </c>
      <c r="BM261" s="89">
        <v>-65.935861110000005</v>
      </c>
      <c r="BN261" s="89">
        <v>-76.087476680000009</v>
      </c>
      <c r="BO261" s="89">
        <v>732.779</v>
      </c>
      <c r="BP261" s="89"/>
      <c r="BQ261" s="88">
        <v>16206.616253</v>
      </c>
      <c r="BR261" s="89">
        <v>-2658.4390780000003</v>
      </c>
      <c r="BS261" s="89">
        <v>-1816.0519920000004</v>
      </c>
      <c r="BT261" s="89">
        <v>-842.38708600000007</v>
      </c>
      <c r="BU261" s="89">
        <v>18865.055331</v>
      </c>
      <c r="BV261" s="89"/>
      <c r="BW261" s="88">
        <v>12180.482209701859</v>
      </c>
      <c r="BX261" s="89">
        <v>5417.0033277018592</v>
      </c>
      <c r="BY261" s="89">
        <v>5318.5207502918593</v>
      </c>
      <c r="BZ261" s="89">
        <v>98.482577410000005</v>
      </c>
      <c r="CA261" s="89">
        <v>8746.5874777501231</v>
      </c>
      <c r="CB261" s="89">
        <v>-1983.1085957501227</v>
      </c>
      <c r="CC261" s="88">
        <v>1719.3716330699999</v>
      </c>
      <c r="CD261" s="89">
        <v>-46.445366929999977</v>
      </c>
      <c r="CE261" s="89">
        <v>152.61933727000002</v>
      </c>
      <c r="CF261" s="89">
        <v>-199.06470419999999</v>
      </c>
      <c r="CG261" s="89">
        <v>1765.817</v>
      </c>
      <c r="CH261" s="89"/>
      <c r="CI261" s="88">
        <v>116478.3</v>
      </c>
      <c r="CJ261" s="89">
        <v>44308.6</v>
      </c>
      <c r="CK261" s="89">
        <v>28483.599999999999</v>
      </c>
      <c r="CL261" s="89">
        <v>15825</v>
      </c>
      <c r="CM261" s="89">
        <v>83005.3</v>
      </c>
      <c r="CN261" s="89">
        <v>-10835.6</v>
      </c>
      <c r="CO261" s="88">
        <v>63897.5</v>
      </c>
      <c r="CP261" s="89">
        <v>-38741.1</v>
      </c>
      <c r="CQ261" s="89">
        <v>-6744.2</v>
      </c>
      <c r="CR261" s="89">
        <v>-31996.899999999998</v>
      </c>
      <c r="CS261" s="89">
        <v>119821.7</v>
      </c>
      <c r="CT261" s="89">
        <v>-17183.099999999999</v>
      </c>
      <c r="CU261" s="88">
        <v>35280.180447731342</v>
      </c>
      <c r="CV261" s="89">
        <v>-8847.4663550968762</v>
      </c>
      <c r="CW261" s="89">
        <v>-5251.2516415195914</v>
      </c>
      <c r="CX261" s="89">
        <v>-3596.2147135772852</v>
      </c>
      <c r="CY261" s="89">
        <v>44127.646802828218</v>
      </c>
      <c r="CZ261" s="89"/>
      <c r="DA261" s="88">
        <v>107247.28814055389</v>
      </c>
      <c r="DB261" s="89">
        <v>10360.398826926354</v>
      </c>
      <c r="DC261" s="89">
        <v>6312.4533618428031</v>
      </c>
      <c r="DD261" s="89">
        <v>4047.7300251235501</v>
      </c>
      <c r="DE261" s="89">
        <v>150938.6234684271</v>
      </c>
      <c r="DF261" s="89">
        <v>-54051.518714839571</v>
      </c>
      <c r="DG261" s="88">
        <v>315522.83172268234</v>
      </c>
      <c r="DH261" s="89">
        <v>121478.33772268235</v>
      </c>
      <c r="DI261" s="89"/>
      <c r="DJ261" s="89"/>
      <c r="DK261" s="89">
        <v>214212.11900000001</v>
      </c>
      <c r="DL261" s="89">
        <v>-20167.625</v>
      </c>
      <c r="DM261" s="88">
        <v>6148271.0929003097</v>
      </c>
      <c r="DN261" s="89">
        <v>2682448.80790031</v>
      </c>
      <c r="DO261" s="89">
        <v>2276341.9579003099</v>
      </c>
      <c r="DP261" s="89">
        <v>406106.85</v>
      </c>
      <c r="DQ261" s="89">
        <v>3465822.2850000001</v>
      </c>
      <c r="DR261" s="89"/>
      <c r="DS261" s="88">
        <v>55758.883370014359</v>
      </c>
      <c r="DT261" s="89">
        <v>42258.844070310013</v>
      </c>
      <c r="DU261" s="89">
        <v>41526.072368390014</v>
      </c>
      <c r="DV261" s="89">
        <v>732.77170192000005</v>
      </c>
      <c r="DW261" s="89">
        <v>49020.947508549827</v>
      </c>
      <c r="DX261" s="89">
        <v>-35520.908208845474</v>
      </c>
      <c r="DY261" s="88">
        <v>11598.318115</v>
      </c>
      <c r="DZ261" s="89">
        <f t="shared" si="18"/>
        <v>-101.52872900000011</v>
      </c>
      <c r="EA261" s="89">
        <v>1287.8134269999998</v>
      </c>
      <c r="EB261" s="89">
        <v>-1389.3421559999999</v>
      </c>
      <c r="EC261" s="89">
        <v>11699.846844</v>
      </c>
      <c r="ED261" s="89"/>
      <c r="EE261" s="88">
        <v>17959.253255430005</v>
      </c>
      <c r="EF261" s="89">
        <v>-1475.1386102000001</v>
      </c>
      <c r="EG261" s="89">
        <v>-1617.3278825400002</v>
      </c>
      <c r="EH261" s="89">
        <v>142.18927234</v>
      </c>
      <c r="EI261" s="89">
        <v>26074.428873890007</v>
      </c>
      <c r="EJ261" s="89">
        <v>-6640.0370082599984</v>
      </c>
      <c r="EK261" s="88">
        <v>20783909.785156235</v>
      </c>
      <c r="EL261" s="89">
        <v>-8081087.6563130608</v>
      </c>
      <c r="EM261" s="89">
        <v>-6584692.2481157007</v>
      </c>
      <c r="EN261" s="89">
        <v>-1496395.4081973601</v>
      </c>
      <c r="EO261" s="89">
        <v>29385168.967498455</v>
      </c>
      <c r="EP261" s="89">
        <v>-520171.52602915996</v>
      </c>
      <c r="EQ261" s="88">
        <v>93183.578551000028</v>
      </c>
      <c r="ER261" s="89">
        <v>-35465.512188749999</v>
      </c>
      <c r="ES261" s="89"/>
      <c r="ET261" s="89"/>
      <c r="EU261" s="89">
        <v>177001.06122949999</v>
      </c>
      <c r="EV261" s="89">
        <v>-48351.970489749961</v>
      </c>
      <c r="EW261" s="88">
        <v>783479.31993428268</v>
      </c>
      <c r="EX261" s="89">
        <f t="shared" si="17"/>
        <v>432130.09515420004</v>
      </c>
      <c r="EY261" s="89">
        <v>418475.32614331006</v>
      </c>
      <c r="EZ261" s="89">
        <v>13654.769010889999</v>
      </c>
      <c r="FA261" s="89">
        <v>466397.04253623</v>
      </c>
      <c r="FB261" s="89">
        <v>-115047.81775614733</v>
      </c>
      <c r="FC261" s="88">
        <v>1747.8622386900004</v>
      </c>
      <c r="FD261" s="89">
        <v>372.86723869000014</v>
      </c>
      <c r="FE261" s="89">
        <v>792.30853533000015</v>
      </c>
      <c r="FF261" s="89">
        <v>-419.44129664000002</v>
      </c>
      <c r="FG261" s="89">
        <v>1374.9949999999999</v>
      </c>
      <c r="FH261" s="89"/>
      <c r="FI261" s="88">
        <v>926.51855981000006</v>
      </c>
      <c r="FJ261" s="89">
        <v>-74.442440189999985</v>
      </c>
      <c r="FK261" s="89">
        <v>40.614067400000003</v>
      </c>
      <c r="FL261" s="89">
        <v>-115.05650759</v>
      </c>
      <c r="FM261" s="89">
        <v>1000.961</v>
      </c>
      <c r="FN261" s="89"/>
      <c r="FO261" s="88">
        <v>3497.2817569700001</v>
      </c>
      <c r="FP261" s="89">
        <v>-356.23624302999997</v>
      </c>
      <c r="FQ261" s="89">
        <v>-40.953364690000015</v>
      </c>
      <c r="FR261" s="89">
        <v>-315.28287833999997</v>
      </c>
      <c r="FS261" s="89">
        <v>3853.518</v>
      </c>
      <c r="FT261" s="89"/>
      <c r="FU261" s="88">
        <v>3728.7</v>
      </c>
      <c r="FV261" s="89">
        <v>380.2</v>
      </c>
      <c r="FW261" s="89">
        <v>280.7</v>
      </c>
      <c r="FX261" s="89">
        <v>99.5</v>
      </c>
      <c r="FY261" s="89">
        <v>3267.1</v>
      </c>
      <c r="FZ261" s="89">
        <v>81.400000000000006</v>
      </c>
      <c r="GA261" s="88">
        <v>30826.2</v>
      </c>
      <c r="GB261" s="89">
        <v>-9399.7000000000007</v>
      </c>
      <c r="GC261" s="89">
        <v>-17954.3</v>
      </c>
      <c r="GD261" s="89">
        <v>8554.6</v>
      </c>
      <c r="GE261" s="89">
        <v>40225.9</v>
      </c>
      <c r="GF261" s="89"/>
      <c r="GG261" s="88">
        <v>130350.48847579214</v>
      </c>
      <c r="GH261" s="89">
        <v>57500.674820220018</v>
      </c>
      <c r="GI261" s="89">
        <v>56294.311666804017</v>
      </c>
      <c r="GJ261" s="89">
        <v>1206.3631534160013</v>
      </c>
      <c r="GK261" s="89">
        <v>177889.33916112399</v>
      </c>
      <c r="GL261" s="89">
        <v>-105039.52550555188</v>
      </c>
      <c r="GM261" s="88">
        <v>337846.01449456002</v>
      </c>
      <c r="GN261" s="89">
        <v>83740.396053689998</v>
      </c>
      <c r="GO261" s="89">
        <v>80800.437389500003</v>
      </c>
      <c r="GP261" s="89">
        <v>2939.958664189995</v>
      </c>
      <c r="GQ261" s="89">
        <v>220149.8253769</v>
      </c>
      <c r="GR261" s="89">
        <v>33955.793063969999</v>
      </c>
    </row>
    <row r="262" spans="1:200">
      <c r="B262" s="93" t="s">
        <v>495</v>
      </c>
      <c r="C262" s="88">
        <v>2835.51212652</v>
      </c>
      <c r="D262" s="87">
        <v>381.97012651999995</v>
      </c>
      <c r="E262" s="87">
        <v>510.64218352999995</v>
      </c>
      <c r="F262" s="87">
        <v>-128.67205701</v>
      </c>
      <c r="G262" s="87">
        <v>2453.5419999999999</v>
      </c>
      <c r="H262" s="87"/>
      <c r="I262" s="88">
        <v>419996.45999999996</v>
      </c>
      <c r="J262" s="89">
        <v>374872.07799999998</v>
      </c>
      <c r="K262" s="89"/>
      <c r="L262" s="89"/>
      <c r="M262" s="89">
        <v>261341.519</v>
      </c>
      <c r="N262" s="89">
        <v>-216217.13699999999</v>
      </c>
      <c r="O262" s="88">
        <v>8272.2999999999993</v>
      </c>
      <c r="P262" s="89">
        <v>1774.4</v>
      </c>
      <c r="Q262" s="89">
        <v>1328.9</v>
      </c>
      <c r="R262" s="89">
        <v>445.5</v>
      </c>
      <c r="S262" s="89">
        <v>6497.9</v>
      </c>
      <c r="T262" s="89"/>
      <c r="U262" s="88">
        <v>6810.8221900000008</v>
      </c>
      <c r="V262" s="89">
        <v>1401.9481899999998</v>
      </c>
      <c r="W262" s="89">
        <v>887.5321899999999</v>
      </c>
      <c r="X262" s="89">
        <v>514.41599999999994</v>
      </c>
      <c r="Y262" s="89">
        <v>5408.8740000000007</v>
      </c>
      <c r="Z262" s="89"/>
      <c r="AA262" s="88">
        <v>1896.204</v>
      </c>
      <c r="AB262" s="89">
        <v>130.71100000000001</v>
      </c>
      <c r="AC262" s="89">
        <v>125.17</v>
      </c>
      <c r="AD262" s="89">
        <v>5.5410000000000004</v>
      </c>
      <c r="AE262" s="89">
        <v>1765.4929999999999</v>
      </c>
      <c r="AF262" s="89"/>
      <c r="AG262" s="88">
        <v>67045.728369909237</v>
      </c>
      <c r="AH262" s="89">
        <v>11504.38164254454</v>
      </c>
      <c r="AI262" s="89">
        <v>10807.53862189454</v>
      </c>
      <c r="AJ262" s="89">
        <v>696.84302064999997</v>
      </c>
      <c r="AK262" s="89">
        <v>55541.346727364697</v>
      </c>
      <c r="AL262" s="89"/>
      <c r="AM262" s="88">
        <v>3932416</v>
      </c>
      <c r="AN262" s="89">
        <v>1312670</v>
      </c>
      <c r="AO262" s="89">
        <v>1253042</v>
      </c>
      <c r="AP262" s="89">
        <v>59628</v>
      </c>
      <c r="AQ262" s="89">
        <v>2287765</v>
      </c>
      <c r="AR262" s="89">
        <v>331980</v>
      </c>
      <c r="AS262" s="88">
        <v>67478000</v>
      </c>
      <c r="AT262" s="89">
        <v>-2345039.4390000002</v>
      </c>
      <c r="AU262" s="89">
        <v>-2345039.4390000002</v>
      </c>
      <c r="AV262" s="89"/>
      <c r="AW262" s="89">
        <v>81201936.360000014</v>
      </c>
      <c r="AX262" s="89">
        <v>-11378454.879999999</v>
      </c>
      <c r="AY262" s="88">
        <v>245994642.25223368</v>
      </c>
      <c r="AZ262" s="89">
        <f t="shared" si="16"/>
        <v>47344477.203596085</v>
      </c>
      <c r="BA262" s="89">
        <v>34622830.995282501</v>
      </c>
      <c r="BB262" s="89">
        <v>12721646.208313581</v>
      </c>
      <c r="BC262" s="89">
        <v>198650165.0486376</v>
      </c>
      <c r="BD262" s="89"/>
      <c r="BE262" s="88">
        <v>9265217.399940053</v>
      </c>
      <c r="BF262" s="89">
        <v>910435.76205148816</v>
      </c>
      <c r="BG262" s="89">
        <v>829471.94994596788</v>
      </c>
      <c r="BH262" s="89">
        <v>80963.81210552025</v>
      </c>
      <c r="BI262" s="89">
        <v>9125745.8057276569</v>
      </c>
      <c r="BJ262" s="89">
        <v>-770964.16783909104</v>
      </c>
      <c r="BK262" s="88">
        <v>603.51602109999988</v>
      </c>
      <c r="BL262" s="89">
        <v>-137.8499789</v>
      </c>
      <c r="BM262" s="89">
        <v>-62.107502210000007</v>
      </c>
      <c r="BN262" s="89">
        <v>-75.74247668999999</v>
      </c>
      <c r="BO262" s="89">
        <v>741.36599999999999</v>
      </c>
      <c r="BP262" s="89"/>
      <c r="BQ262" s="88">
        <v>16631.565484000002</v>
      </c>
      <c r="BR262" s="89">
        <v>-2542.8239619999999</v>
      </c>
      <c r="BS262" s="89">
        <v>-1762.9601089999999</v>
      </c>
      <c r="BT262" s="89">
        <v>-779.86385299999995</v>
      </c>
      <c r="BU262" s="89">
        <v>19174.389446000001</v>
      </c>
      <c r="BV262" s="89"/>
      <c r="BW262" s="88">
        <v>12623.641895081862</v>
      </c>
      <c r="BX262" s="89">
        <v>5731.5172164518581</v>
      </c>
      <c r="BY262" s="89">
        <v>5640.9129303718582</v>
      </c>
      <c r="BZ262" s="89">
        <v>90.604286079999994</v>
      </c>
      <c r="CA262" s="89">
        <v>8801.8282787101216</v>
      </c>
      <c r="CB262" s="89">
        <v>-1909.7036000801186</v>
      </c>
      <c r="CC262" s="88">
        <v>1731.4600174</v>
      </c>
      <c r="CD262" s="89">
        <v>-46.000982599999986</v>
      </c>
      <c r="CE262" s="89">
        <v>158.92683636000001</v>
      </c>
      <c r="CF262" s="89">
        <v>-204.92781896</v>
      </c>
      <c r="CG262" s="89">
        <v>1777.461</v>
      </c>
      <c r="CH262" s="89"/>
      <c r="CI262" s="88">
        <v>117532.9</v>
      </c>
      <c r="CJ262" s="89">
        <v>44773.299999999996</v>
      </c>
      <c r="CK262" s="89">
        <v>28750.1</v>
      </c>
      <c r="CL262" s="89">
        <v>16023.199999999999</v>
      </c>
      <c r="CM262" s="89">
        <v>83270.5</v>
      </c>
      <c r="CN262" s="89">
        <v>-10510.9</v>
      </c>
      <c r="CO262" s="88">
        <v>71551.3</v>
      </c>
      <c r="CP262" s="89">
        <v>-34708.199999999997</v>
      </c>
      <c r="CQ262" s="89">
        <v>-5509.8</v>
      </c>
      <c r="CR262" s="89">
        <v>-29198.399999999998</v>
      </c>
      <c r="CS262" s="89">
        <v>122236.7</v>
      </c>
      <c r="CT262" s="89">
        <v>-15977.2</v>
      </c>
      <c r="CU262" s="88">
        <v>33655.93332190119</v>
      </c>
      <c r="CV262" s="89">
        <v>-11827.862858394963</v>
      </c>
      <c r="CW262" s="89">
        <v>-8162.6438309528085</v>
      </c>
      <c r="CX262" s="89">
        <v>-3665.219027442155</v>
      </c>
      <c r="CY262" s="89">
        <v>45483.796180296151</v>
      </c>
      <c r="CZ262" s="89"/>
      <c r="DA262" s="88">
        <v>107791.79613249209</v>
      </c>
      <c r="DB262" s="89">
        <v>12218.19496843363</v>
      </c>
      <c r="DC262" s="89">
        <v>8167.1967512372175</v>
      </c>
      <c r="DD262" s="89">
        <v>4050.7101202964136</v>
      </c>
      <c r="DE262" s="89">
        <v>152023.94062596024</v>
      </c>
      <c r="DF262" s="89">
        <v>-56450.051365001782</v>
      </c>
      <c r="DG262" s="88">
        <v>318897.99867999996</v>
      </c>
      <c r="DH262" s="89">
        <v>122755.24068</v>
      </c>
      <c r="DI262" s="89"/>
      <c r="DJ262" s="89"/>
      <c r="DK262" s="89">
        <v>215183.71299999999</v>
      </c>
      <c r="DL262" s="89">
        <v>-19040.955000000002</v>
      </c>
      <c r="DM262" s="88">
        <v>6202007.2683250699</v>
      </c>
      <c r="DN262" s="89">
        <v>2680035.2963250699</v>
      </c>
      <c r="DO262" s="89">
        <v>2266859.3443250698</v>
      </c>
      <c r="DP262" s="89">
        <v>413175.95199999999</v>
      </c>
      <c r="DQ262" s="89">
        <v>3521971.9720000001</v>
      </c>
      <c r="DR262" s="89"/>
      <c r="DS262" s="88">
        <v>56830.261482658272</v>
      </c>
      <c r="DT262" s="89">
        <v>42483.766713469784</v>
      </c>
      <c r="DU262" s="89">
        <v>41621.555525909782</v>
      </c>
      <c r="DV262" s="89">
        <v>862.21118755999998</v>
      </c>
      <c r="DW262" s="89">
        <v>49524.072811613398</v>
      </c>
      <c r="DX262" s="89">
        <v>-35177.57804242491</v>
      </c>
      <c r="DY262" s="88">
        <v>11486.123814999999</v>
      </c>
      <c r="DZ262" s="89">
        <f t="shared" si="18"/>
        <v>-146.59766800000011</v>
      </c>
      <c r="EA262" s="89">
        <v>1298.637849</v>
      </c>
      <c r="EB262" s="89">
        <v>-1445.2355170000001</v>
      </c>
      <c r="EC262" s="89">
        <v>11632.721482999999</v>
      </c>
      <c r="ED262" s="89"/>
      <c r="EE262" s="88">
        <v>18485.031710120002</v>
      </c>
      <c r="EF262" s="89">
        <v>-1224.3899542500008</v>
      </c>
      <c r="EG262" s="89">
        <v>-1365.8293057200008</v>
      </c>
      <c r="EH262" s="89">
        <v>141.43935147000002</v>
      </c>
      <c r="EI262" s="89">
        <v>26467.690293790001</v>
      </c>
      <c r="EJ262" s="89">
        <v>-6758.2686294200003</v>
      </c>
      <c r="EK262" s="88">
        <v>20123893.280318152</v>
      </c>
      <c r="EL262" s="89">
        <v>-8643701.6635233797</v>
      </c>
      <c r="EM262" s="89">
        <v>-7040573.9607178997</v>
      </c>
      <c r="EN262" s="89">
        <v>-1603127.7028054805</v>
      </c>
      <c r="EO262" s="89">
        <v>29319202.443982653</v>
      </c>
      <c r="EP262" s="89">
        <v>-551607.50014112005</v>
      </c>
      <c r="EQ262" s="88">
        <v>96324.676602200023</v>
      </c>
      <c r="ER262" s="89">
        <v>-35609.821960779998</v>
      </c>
      <c r="ES262" s="89"/>
      <c r="ET262" s="89"/>
      <c r="EU262" s="89">
        <v>181161.47652138001</v>
      </c>
      <c r="EV262" s="89">
        <v>-49226.977958399977</v>
      </c>
      <c r="EW262" s="88">
        <v>764657.28743931209</v>
      </c>
      <c r="EX262" s="89">
        <f t="shared" si="17"/>
        <v>405433.62477683998</v>
      </c>
      <c r="EY262" s="89">
        <v>384129.83055848</v>
      </c>
      <c r="EZ262" s="89">
        <v>21303.794218359999</v>
      </c>
      <c r="FA262" s="89">
        <v>472754.44577190012</v>
      </c>
      <c r="FB262" s="89">
        <v>-113530.78310942804</v>
      </c>
      <c r="FC262" s="88">
        <v>1692.4453585499998</v>
      </c>
      <c r="FD262" s="89">
        <v>307.10135854999993</v>
      </c>
      <c r="FE262" s="89">
        <v>727.36307836999993</v>
      </c>
      <c r="FF262" s="89">
        <v>-420.26171982</v>
      </c>
      <c r="FG262" s="89">
        <v>1385.3440000000001</v>
      </c>
      <c r="FH262" s="89"/>
      <c r="FI262" s="88">
        <v>929.58137382999996</v>
      </c>
      <c r="FJ262" s="89">
        <v>-70.265626170000004</v>
      </c>
      <c r="FK262" s="89">
        <v>38.651494999999997</v>
      </c>
      <c r="FL262" s="89">
        <v>-108.91712117</v>
      </c>
      <c r="FM262" s="89">
        <v>999.84699999999998</v>
      </c>
      <c r="FN262" s="89"/>
      <c r="FO262" s="88">
        <v>3518.1195591400001</v>
      </c>
      <c r="FP262" s="89">
        <v>-336.55344085999997</v>
      </c>
      <c r="FQ262" s="89">
        <v>-7.0745625199999775</v>
      </c>
      <c r="FR262" s="89">
        <v>-329.47887833999999</v>
      </c>
      <c r="FS262" s="89">
        <v>3854.6729999999998</v>
      </c>
      <c r="FT262" s="89"/>
      <c r="FU262" s="88">
        <v>3738.4</v>
      </c>
      <c r="FV262" s="89">
        <v>352.9</v>
      </c>
      <c r="FW262" s="89">
        <v>253.4</v>
      </c>
      <c r="FX262" s="89">
        <v>99.5</v>
      </c>
      <c r="FY262" s="89">
        <v>3297.6</v>
      </c>
      <c r="FZ262" s="89">
        <v>87.9</v>
      </c>
      <c r="GA262" s="88">
        <v>32508.9</v>
      </c>
      <c r="GB262" s="89">
        <v>-8053</v>
      </c>
      <c r="GC262" s="89">
        <v>-16376.6</v>
      </c>
      <c r="GD262" s="89">
        <v>8323.6</v>
      </c>
      <c r="GE262" s="89">
        <v>40561.9</v>
      </c>
      <c r="GF262" s="89"/>
      <c r="GG262" s="88">
        <v>125376.62009113492</v>
      </c>
      <c r="GH262" s="89">
        <v>57501.239813526423</v>
      </c>
      <c r="GI262" s="89">
        <v>56061.694295828784</v>
      </c>
      <c r="GJ262" s="89">
        <v>1439.5455176976411</v>
      </c>
      <c r="GK262" s="89">
        <v>178811.44995651464</v>
      </c>
      <c r="GL262" s="89">
        <v>-110936.06967890615</v>
      </c>
      <c r="GM262" s="88">
        <v>351351.41579531995</v>
      </c>
      <c r="GN262" s="89">
        <v>87767.373522099966</v>
      </c>
      <c r="GO262" s="89">
        <v>80913.615074739981</v>
      </c>
      <c r="GP262" s="89">
        <v>6853.7584473599854</v>
      </c>
      <c r="GQ262" s="89">
        <v>228047.38307254002</v>
      </c>
      <c r="GR262" s="89">
        <v>35536.659200680006</v>
      </c>
    </row>
    <row r="263" spans="1:200">
      <c r="B263" s="93" t="s">
        <v>496</v>
      </c>
      <c r="C263" s="88">
        <v>2852.9255210000001</v>
      </c>
      <c r="D263" s="87">
        <v>394.54652099999998</v>
      </c>
      <c r="E263" s="87">
        <v>521.818577</v>
      </c>
      <c r="F263" s="87">
        <v>-127.27205599999999</v>
      </c>
      <c r="G263" s="87">
        <v>2458.3789999999999</v>
      </c>
      <c r="H263" s="87"/>
      <c r="I263" s="88">
        <v>420231.51299999992</v>
      </c>
      <c r="J263" s="89">
        <v>376201.63</v>
      </c>
      <c r="K263" s="89"/>
      <c r="L263" s="89"/>
      <c r="M263" s="89">
        <v>270875.95199999999</v>
      </c>
      <c r="N263" s="89">
        <v>-226846.06899999999</v>
      </c>
      <c r="O263" s="88">
        <v>8315.2999999999993</v>
      </c>
      <c r="P263" s="89">
        <v>1807.3000000000002</v>
      </c>
      <c r="Q263" s="89">
        <v>1360.2</v>
      </c>
      <c r="R263" s="89">
        <v>447.1</v>
      </c>
      <c r="S263" s="89">
        <v>6508</v>
      </c>
      <c r="T263" s="89"/>
      <c r="U263" s="88">
        <v>6821.8825000000006</v>
      </c>
      <c r="V263" s="89">
        <v>1407.3705</v>
      </c>
      <c r="W263" s="89">
        <v>904.91250000000002</v>
      </c>
      <c r="X263" s="89">
        <v>502.45800000000003</v>
      </c>
      <c r="Y263" s="89">
        <v>5414.5120000000006</v>
      </c>
      <c r="Z263" s="89"/>
      <c r="AA263" s="88">
        <v>1937.732</v>
      </c>
      <c r="AB263" s="89">
        <v>163.208</v>
      </c>
      <c r="AC263" s="89">
        <v>157.69800000000001</v>
      </c>
      <c r="AD263" s="89">
        <v>5.51</v>
      </c>
      <c r="AE263" s="89">
        <v>1774.5239999999999</v>
      </c>
      <c r="AF263" s="89"/>
      <c r="AG263" s="88">
        <v>68467.635923130234</v>
      </c>
      <c r="AH263" s="89">
        <v>12036.03579635978</v>
      </c>
      <c r="AI263" s="89">
        <v>10913.928307919779</v>
      </c>
      <c r="AJ263" s="89">
        <v>1122.10748844</v>
      </c>
      <c r="AK263" s="89">
        <v>56431.600126770449</v>
      </c>
      <c r="AL263" s="89"/>
      <c r="AM263" s="88">
        <v>4005704</v>
      </c>
      <c r="AN263" s="89">
        <v>1340729</v>
      </c>
      <c r="AO263" s="89">
        <v>1279737</v>
      </c>
      <c r="AP263" s="89">
        <v>60992</v>
      </c>
      <c r="AQ263" s="89">
        <v>2330513</v>
      </c>
      <c r="AR263" s="89">
        <v>334463</v>
      </c>
      <c r="AS263" s="88">
        <v>67279000</v>
      </c>
      <c r="AT263" s="89">
        <v>-2256006.8190000001</v>
      </c>
      <c r="AU263" s="89">
        <v>-2256006.8190000001</v>
      </c>
      <c r="AV263" s="89"/>
      <c r="AW263" s="89">
        <v>82388955.859999999</v>
      </c>
      <c r="AX263" s="89">
        <v>-12853471.65</v>
      </c>
      <c r="AY263" s="88">
        <v>251768071.1513592</v>
      </c>
      <c r="AZ263" s="89">
        <f t="shared" si="16"/>
        <v>50260512.544742867</v>
      </c>
      <c r="BA263" s="89">
        <v>37065456.18252492</v>
      </c>
      <c r="BB263" s="89">
        <v>13195056.362217952</v>
      </c>
      <c r="BC263" s="89">
        <v>201507558.60661635</v>
      </c>
      <c r="BD263" s="89"/>
      <c r="BE263" s="88">
        <v>9305349.9852455296</v>
      </c>
      <c r="BF263" s="89">
        <v>821530.44971785694</v>
      </c>
      <c r="BG263" s="89">
        <v>739256.84567030903</v>
      </c>
      <c r="BH263" s="89">
        <v>82273.604047547851</v>
      </c>
      <c r="BI263" s="89">
        <v>9284368.7507235501</v>
      </c>
      <c r="BJ263" s="89">
        <v>-800549.21519587783</v>
      </c>
      <c r="BK263" s="88">
        <v>607.51493556999992</v>
      </c>
      <c r="BL263" s="89">
        <v>-138.89906442999998</v>
      </c>
      <c r="BM263" s="89">
        <v>-61.375587739999986</v>
      </c>
      <c r="BN263" s="89">
        <v>-77.523476689999995</v>
      </c>
      <c r="BO263" s="89">
        <v>746.41399999999999</v>
      </c>
      <c r="BP263" s="89"/>
      <c r="BQ263" s="88">
        <v>17070.903709000002</v>
      </c>
      <c r="BR263" s="89">
        <v>-2494.0394260000003</v>
      </c>
      <c r="BS263" s="89">
        <v>-1705.5843500000001</v>
      </c>
      <c r="BT263" s="89">
        <v>-788.45507600000019</v>
      </c>
      <c r="BU263" s="89">
        <v>19564.943135000001</v>
      </c>
      <c r="BV263" s="89"/>
      <c r="BW263" s="88">
        <v>12672.422701711857</v>
      </c>
      <c r="BX263" s="89">
        <v>5859.9506625718577</v>
      </c>
      <c r="BY263" s="89">
        <v>5763.787471661858</v>
      </c>
      <c r="BZ263" s="89">
        <v>96.163190909999997</v>
      </c>
      <c r="CA263" s="89">
        <v>8777.7937350201209</v>
      </c>
      <c r="CB263" s="89">
        <v>-1965.3216958801197</v>
      </c>
      <c r="CC263" s="88">
        <v>1700.2338180000002</v>
      </c>
      <c r="CD263" s="89">
        <v>-70.188182000000012</v>
      </c>
      <c r="CE263" s="89">
        <v>132.91663699999998</v>
      </c>
      <c r="CF263" s="89">
        <v>-203.10481899999999</v>
      </c>
      <c r="CG263" s="89">
        <v>1770.422</v>
      </c>
      <c r="CH263" s="89"/>
      <c r="CI263" s="88">
        <v>118272</v>
      </c>
      <c r="CJ263" s="89">
        <v>45348.3</v>
      </c>
      <c r="CK263" s="89">
        <v>29108.5</v>
      </c>
      <c r="CL263" s="89">
        <v>16239.8</v>
      </c>
      <c r="CM263" s="89">
        <v>83399</v>
      </c>
      <c r="CN263" s="89">
        <v>-10475.299999999999</v>
      </c>
      <c r="CO263" s="88">
        <v>74881.600000000006</v>
      </c>
      <c r="CP263" s="89">
        <v>-34141.1</v>
      </c>
      <c r="CQ263" s="89">
        <v>-4464.3</v>
      </c>
      <c r="CR263" s="89">
        <v>-29676.799999999999</v>
      </c>
      <c r="CS263" s="89">
        <v>125243.4</v>
      </c>
      <c r="CT263" s="89">
        <v>-16220.7</v>
      </c>
      <c r="CU263" s="88">
        <v>32563.358661094317</v>
      </c>
      <c r="CV263" s="89">
        <v>-15471.603672533549</v>
      </c>
      <c r="CW263" s="89">
        <v>-11731.026679824032</v>
      </c>
      <c r="CX263" s="89">
        <v>-3740.5769927095171</v>
      </c>
      <c r="CY263" s="89">
        <v>48034.962333627867</v>
      </c>
      <c r="CZ263" s="89"/>
      <c r="DA263" s="88">
        <v>111394.221509029</v>
      </c>
      <c r="DB263" s="89">
        <v>12988.946857124893</v>
      </c>
      <c r="DC263" s="89">
        <v>8664.067649009281</v>
      </c>
      <c r="DD263" s="89">
        <v>4324.6385554956087</v>
      </c>
      <c r="DE263" s="89">
        <v>153163.64866470383</v>
      </c>
      <c r="DF263" s="89">
        <v>-54758.133360179709</v>
      </c>
      <c r="DG263" s="88">
        <v>313813.15204000002</v>
      </c>
      <c r="DH263" s="89">
        <v>115882.37704000001</v>
      </c>
      <c r="DI263" s="89"/>
      <c r="DJ263" s="89"/>
      <c r="DK263" s="89">
        <v>216899.804</v>
      </c>
      <c r="DL263" s="89">
        <v>-18969.028999999999</v>
      </c>
      <c r="DM263" s="88">
        <v>6296883.5205132095</v>
      </c>
      <c r="DN263" s="89">
        <v>2731425.1235132096</v>
      </c>
      <c r="DO263" s="89">
        <v>2291454.8515132098</v>
      </c>
      <c r="DP263" s="89">
        <v>439970.272</v>
      </c>
      <c r="DQ263" s="89">
        <v>3565458.3969999999</v>
      </c>
      <c r="DR263" s="89"/>
      <c r="DS263" s="88">
        <v>58911.452372835935</v>
      </c>
      <c r="DT263" s="89">
        <v>42570.181233940762</v>
      </c>
      <c r="DU263" s="89">
        <v>41716.83095195076</v>
      </c>
      <c r="DV263" s="89">
        <v>853.35028198999998</v>
      </c>
      <c r="DW263" s="89">
        <v>50557.488034394511</v>
      </c>
      <c r="DX263" s="89">
        <v>-34216.216895499339</v>
      </c>
      <c r="DY263" s="88">
        <v>11520.434630999998</v>
      </c>
      <c r="DZ263" s="89">
        <f t="shared" si="18"/>
        <v>-106.72675900000013</v>
      </c>
      <c r="EA263" s="89">
        <v>1357.114851</v>
      </c>
      <c r="EB263" s="89">
        <v>-1463.8416100000002</v>
      </c>
      <c r="EC263" s="89">
        <v>11627.161390000001</v>
      </c>
      <c r="ED263" s="89"/>
      <c r="EE263" s="88">
        <v>19408.727970661759</v>
      </c>
      <c r="EF263" s="89">
        <v>-1096.0156943199988</v>
      </c>
      <c r="EG263" s="89">
        <v>-1238.8647142999989</v>
      </c>
      <c r="EH263" s="89">
        <v>142.84901998000001</v>
      </c>
      <c r="EI263" s="89">
        <v>27116.414136549996</v>
      </c>
      <c r="EJ263" s="89">
        <v>-6611.670471568239</v>
      </c>
      <c r="EK263" s="88">
        <v>20839509.877954759</v>
      </c>
      <c r="EL263" s="89">
        <v>-8761632.1013980601</v>
      </c>
      <c r="EM263" s="89">
        <v>-7116976.2128509302</v>
      </c>
      <c r="EN263" s="89">
        <v>-1644655.8885471299</v>
      </c>
      <c r="EO263" s="89">
        <v>30159926.389937531</v>
      </c>
      <c r="EP263" s="89">
        <v>-558784.41058471007</v>
      </c>
      <c r="EQ263" s="88">
        <v>95674.592733399972</v>
      </c>
      <c r="ER263" s="89">
        <v>-36734.873202130002</v>
      </c>
      <c r="ES263" s="89"/>
      <c r="ET263" s="89"/>
      <c r="EU263" s="89">
        <v>181811.44683393999</v>
      </c>
      <c r="EV263" s="89">
        <v>-49401.980898410024</v>
      </c>
      <c r="EW263" s="88">
        <v>768646.13154562726</v>
      </c>
      <c r="EX263" s="89">
        <f t="shared" si="17"/>
        <v>409502.3092514</v>
      </c>
      <c r="EY263" s="89">
        <v>390650.86251890002</v>
      </c>
      <c r="EZ263" s="89">
        <v>18851.446732500001</v>
      </c>
      <c r="FA263" s="89">
        <v>477330.45406380005</v>
      </c>
      <c r="FB263" s="89">
        <v>-118186.63176957273</v>
      </c>
      <c r="FC263" s="88">
        <v>1729.2211100000002</v>
      </c>
      <c r="FD263" s="89">
        <v>338.55210999999991</v>
      </c>
      <c r="FE263" s="89">
        <v>758.81182999999987</v>
      </c>
      <c r="FF263" s="89">
        <v>-420.25971999999996</v>
      </c>
      <c r="FG263" s="89">
        <v>1390.6690000000001</v>
      </c>
      <c r="FH263" s="89"/>
      <c r="FI263" s="88">
        <v>918.318669</v>
      </c>
      <c r="FJ263" s="89">
        <v>-74.344331000000011</v>
      </c>
      <c r="FK263" s="89">
        <v>52.402883999999993</v>
      </c>
      <c r="FL263" s="89">
        <v>-126.747215</v>
      </c>
      <c r="FM263" s="89">
        <v>992.66300000000001</v>
      </c>
      <c r="FN263" s="89"/>
      <c r="FO263" s="88">
        <v>3567.9053196300001</v>
      </c>
      <c r="FP263" s="89">
        <v>-301.24268036999996</v>
      </c>
      <c r="FQ263" s="89">
        <v>31.297197970000038</v>
      </c>
      <c r="FR263" s="89">
        <v>-332.53987833999997</v>
      </c>
      <c r="FS263" s="89">
        <v>3869.1480000000001</v>
      </c>
      <c r="FT263" s="89"/>
      <c r="FU263" s="88">
        <v>3749.6</v>
      </c>
      <c r="FV263" s="89">
        <v>336</v>
      </c>
      <c r="FW263" s="89">
        <v>237.2</v>
      </c>
      <c r="FX263" s="89">
        <v>98.8</v>
      </c>
      <c r="FY263" s="89">
        <v>3320.9</v>
      </c>
      <c r="FZ263" s="89">
        <v>92.7</v>
      </c>
      <c r="GA263" s="88">
        <v>35848</v>
      </c>
      <c r="GB263" s="89">
        <v>-4911.6999999999971</v>
      </c>
      <c r="GC263" s="89">
        <v>-12963</v>
      </c>
      <c r="GD263" s="89">
        <v>8051.4</v>
      </c>
      <c r="GE263" s="89">
        <v>40759.699999999997</v>
      </c>
      <c r="GF263" s="89"/>
      <c r="GG263" s="88">
        <v>125687.41609260553</v>
      </c>
      <c r="GH263" s="89">
        <v>57151.748267946576</v>
      </c>
      <c r="GI263" s="89">
        <v>55338.717213738222</v>
      </c>
      <c r="GJ263" s="89">
        <v>1813.0310542083585</v>
      </c>
      <c r="GK263" s="89">
        <v>184624.99270782847</v>
      </c>
      <c r="GL263" s="89">
        <v>-116089.32488316949</v>
      </c>
      <c r="GM263" s="88">
        <v>364643.35698585986</v>
      </c>
      <c r="GN263" s="89">
        <v>94121.058286349988</v>
      </c>
      <c r="GO263" s="89">
        <v>86784.76213464998</v>
      </c>
      <c r="GP263" s="89">
        <v>7336.2961517000076</v>
      </c>
      <c r="GQ263" s="89">
        <v>234595.62738638991</v>
      </c>
      <c r="GR263" s="89">
        <v>35926.671313119994</v>
      </c>
    </row>
    <row r="264" spans="1:200">
      <c r="B264" s="93" t="s">
        <v>497</v>
      </c>
      <c r="C264" s="88">
        <v>2824.991129</v>
      </c>
      <c r="D264" s="87">
        <v>365.01002900000003</v>
      </c>
      <c r="E264" s="87">
        <v>487.50820500000003</v>
      </c>
      <c r="F264" s="87">
        <v>-122.498176</v>
      </c>
      <c r="G264" s="87">
        <v>2459.9811</v>
      </c>
      <c r="H264" s="87"/>
      <c r="I264" s="88">
        <v>436359.59900000005</v>
      </c>
      <c r="J264" s="89">
        <v>371221.16399999999</v>
      </c>
      <c r="K264" s="89"/>
      <c r="L264" s="89"/>
      <c r="M264" s="89">
        <v>282428.27</v>
      </c>
      <c r="N264" s="89">
        <v>-217289.83499999999</v>
      </c>
      <c r="O264" s="88">
        <v>8415.2000000000007</v>
      </c>
      <c r="P264" s="89">
        <v>1815.7</v>
      </c>
      <c r="Q264" s="89">
        <v>1401.4</v>
      </c>
      <c r="R264" s="89">
        <v>414.3</v>
      </c>
      <c r="S264" s="89">
        <v>6599.5</v>
      </c>
      <c r="T264" s="89"/>
      <c r="U264" s="88">
        <v>6877.1061399999999</v>
      </c>
      <c r="V264" s="89">
        <v>1452.5941400000002</v>
      </c>
      <c r="W264" s="89">
        <v>967.79214000000002</v>
      </c>
      <c r="X264" s="89">
        <v>484.80200000000002</v>
      </c>
      <c r="Y264" s="89">
        <v>5424.5119999999997</v>
      </c>
      <c r="Z264" s="89"/>
      <c r="AA264" s="88">
        <v>1939.6579999999999</v>
      </c>
      <c r="AB264" s="89">
        <v>167.28899999999999</v>
      </c>
      <c r="AC264" s="89">
        <v>161.99199999999999</v>
      </c>
      <c r="AD264" s="89">
        <v>5.2969999999999997</v>
      </c>
      <c r="AE264" s="89">
        <v>1772.3689999999999</v>
      </c>
      <c r="AF264" s="89"/>
      <c r="AG264" s="88">
        <v>69423.751219635436</v>
      </c>
      <c r="AH264" s="89">
        <v>12004.681365670691</v>
      </c>
      <c r="AI264" s="89">
        <v>10846.959138950691</v>
      </c>
      <c r="AJ264" s="89">
        <v>1157.72222672</v>
      </c>
      <c r="AK264" s="89">
        <v>57419.069853964749</v>
      </c>
      <c r="AL264" s="89"/>
      <c r="AM264" s="88">
        <v>4007687</v>
      </c>
      <c r="AN264" s="89">
        <v>1274297</v>
      </c>
      <c r="AO264" s="89">
        <v>1209497</v>
      </c>
      <c r="AP264" s="89">
        <v>64800</v>
      </c>
      <c r="AQ264" s="89">
        <v>2379433</v>
      </c>
      <c r="AR264" s="89">
        <v>353957</v>
      </c>
      <c r="AS264" s="88">
        <v>68932000</v>
      </c>
      <c r="AT264" s="89">
        <v>-2350761.65</v>
      </c>
      <c r="AU264" s="89">
        <v>-2350761.65</v>
      </c>
      <c r="AV264" s="89"/>
      <c r="AW264" s="89">
        <v>84301869.049999997</v>
      </c>
      <c r="AX264" s="89">
        <v>-13018621.09</v>
      </c>
      <c r="AY264" s="88">
        <v>256041111.78594351</v>
      </c>
      <c r="AZ264" s="89">
        <f t="shared" si="16"/>
        <v>49792259.706873693</v>
      </c>
      <c r="BA264" s="89">
        <v>36579921.751534864</v>
      </c>
      <c r="BB264" s="89">
        <v>13212337.955338828</v>
      </c>
      <c r="BC264" s="89">
        <v>206248852.07906982</v>
      </c>
      <c r="BD264" s="89"/>
      <c r="BE264" s="88">
        <v>9513910.5658309087</v>
      </c>
      <c r="BF264" s="89">
        <v>878541.29370257515</v>
      </c>
      <c r="BG264" s="89">
        <v>801290.54748739803</v>
      </c>
      <c r="BH264" s="89">
        <v>77250.74621517706</v>
      </c>
      <c r="BI264" s="89">
        <v>9436316.5685531534</v>
      </c>
      <c r="BJ264" s="89">
        <v>-800947.29642482032</v>
      </c>
      <c r="BK264" s="88">
        <v>615.18056478999995</v>
      </c>
      <c r="BL264" s="89">
        <v>-137.00343520999999</v>
      </c>
      <c r="BM264" s="89">
        <v>-56.508958519999986</v>
      </c>
      <c r="BN264" s="89">
        <v>-80.494476689999999</v>
      </c>
      <c r="BO264" s="89">
        <v>752.18399999999997</v>
      </c>
      <c r="BP264" s="89"/>
      <c r="BQ264" s="88">
        <v>17627.366037999996</v>
      </c>
      <c r="BR264" s="89">
        <v>-2502.5741379999999</v>
      </c>
      <c r="BS264" s="89">
        <v>-1718.045748</v>
      </c>
      <c r="BT264" s="89">
        <v>-784.52838999999994</v>
      </c>
      <c r="BU264" s="89">
        <v>20129.940175999996</v>
      </c>
      <c r="BV264" s="89"/>
      <c r="BW264" s="88">
        <v>12721.41214261186</v>
      </c>
      <c r="BX264" s="89">
        <v>5869.5497570900015</v>
      </c>
      <c r="BY264" s="89">
        <v>5763.5962765799995</v>
      </c>
      <c r="BZ264" s="89">
        <v>105.95348051000174</v>
      </c>
      <c r="CA264" s="89">
        <v>8852.5322865099988</v>
      </c>
      <c r="CB264" s="89">
        <v>-2000.6699003781396</v>
      </c>
      <c r="CC264" s="88">
        <v>1742.2264630000002</v>
      </c>
      <c r="CD264" s="89">
        <v>-47.241536999999965</v>
      </c>
      <c r="CE264" s="89">
        <v>148.67028200000001</v>
      </c>
      <c r="CF264" s="89">
        <v>-195.91181899999998</v>
      </c>
      <c r="CG264" s="89">
        <v>1789.4680000000001</v>
      </c>
      <c r="CH264" s="89"/>
      <c r="CI264" s="88">
        <v>120021.6</v>
      </c>
      <c r="CJ264" s="89">
        <v>45846.600000000006</v>
      </c>
      <c r="CK264" s="89">
        <v>29322.9</v>
      </c>
      <c r="CL264" s="89">
        <v>16523.7</v>
      </c>
      <c r="CM264" s="89">
        <v>84807.5</v>
      </c>
      <c r="CN264" s="89">
        <v>-10632.5</v>
      </c>
      <c r="CO264" s="88">
        <v>78850.899999999994</v>
      </c>
      <c r="CP264" s="89">
        <v>-36381.599999999999</v>
      </c>
      <c r="CQ264" s="89">
        <v>-9956.5</v>
      </c>
      <c r="CR264" s="89">
        <v>-26425.1</v>
      </c>
      <c r="CS264" s="89">
        <v>128537.2</v>
      </c>
      <c r="CT264" s="89">
        <v>-13304.7</v>
      </c>
      <c r="CU264" s="88">
        <v>37573.579263326152</v>
      </c>
      <c r="CV264" s="89">
        <v>-12952.06522573421</v>
      </c>
      <c r="CW264" s="89">
        <v>-8900.8689442453906</v>
      </c>
      <c r="CX264" s="89">
        <v>-4051.1962814888184</v>
      </c>
      <c r="CY264" s="89">
        <v>50525.64448906036</v>
      </c>
      <c r="CZ264" s="89"/>
      <c r="DA264" s="88">
        <v>107035.55403962302</v>
      </c>
      <c r="DB264" s="89">
        <v>11497.446331396723</v>
      </c>
      <c r="DC264" s="89">
        <v>7201.1167254897882</v>
      </c>
      <c r="DD264" s="89">
        <v>4296.0834255269347</v>
      </c>
      <c r="DE264" s="89">
        <v>154621.33504495225</v>
      </c>
      <c r="DF264" s="89">
        <v>-59082.981156345966</v>
      </c>
      <c r="DG264" s="88">
        <v>308996.63584802486</v>
      </c>
      <c r="DH264" s="89">
        <v>108986.55984802486</v>
      </c>
      <c r="DI264" s="89"/>
      <c r="DJ264" s="89"/>
      <c r="DK264" s="89">
        <v>219151.73800000001</v>
      </c>
      <c r="DL264" s="89">
        <v>-19141.662</v>
      </c>
      <c r="DM264" s="88">
        <v>6343743.7613109006</v>
      </c>
      <c r="DN264" s="89">
        <v>2750258.1033108998</v>
      </c>
      <c r="DO264" s="89">
        <v>2301116.4873108999</v>
      </c>
      <c r="DP264" s="89">
        <v>449141.61599999998</v>
      </c>
      <c r="DQ264" s="89">
        <v>3593485.6579999998</v>
      </c>
      <c r="DR264" s="89"/>
      <c r="DS264" s="88">
        <v>59561.573307079627</v>
      </c>
      <c r="DT264" s="89">
        <v>42600.647515302298</v>
      </c>
      <c r="DU264" s="89">
        <v>41704.420515782302</v>
      </c>
      <c r="DV264" s="89">
        <v>896.22699952000005</v>
      </c>
      <c r="DW264" s="89">
        <v>51995.60378351291</v>
      </c>
      <c r="DX264" s="89">
        <v>-35034.677991735589</v>
      </c>
      <c r="DY264" s="88">
        <v>11524.449283</v>
      </c>
      <c r="DZ264" s="89">
        <f t="shared" si="18"/>
        <v>-204.74373499999979</v>
      </c>
      <c r="EA264" s="89">
        <v>1243.360347</v>
      </c>
      <c r="EB264" s="89">
        <v>-1448.1040819999998</v>
      </c>
      <c r="EC264" s="89">
        <v>11729.193018</v>
      </c>
      <c r="ED264" s="89"/>
      <c r="EE264" s="88">
        <v>19770.085926669926</v>
      </c>
      <c r="EF264" s="89">
        <v>-864.68369535999966</v>
      </c>
      <c r="EG264" s="89">
        <v>-1016.1473171999996</v>
      </c>
      <c r="EH264" s="89">
        <v>151.46362183999997</v>
      </c>
      <c r="EI264" s="89">
        <v>27639.505803910004</v>
      </c>
      <c r="EJ264" s="89">
        <v>-7004.7361818800782</v>
      </c>
      <c r="EK264" s="88">
        <v>21816030.578989405</v>
      </c>
      <c r="EL264" s="89">
        <v>-9260796.7108852807</v>
      </c>
      <c r="EM264" s="89">
        <v>-7622401.0240706801</v>
      </c>
      <c r="EN264" s="89">
        <v>-1638395.6868146001</v>
      </c>
      <c r="EO264" s="89">
        <v>31641870.423889473</v>
      </c>
      <c r="EP264" s="89">
        <v>-565043.13401478995</v>
      </c>
      <c r="EQ264" s="88">
        <v>92331.832644389971</v>
      </c>
      <c r="ER264" s="89">
        <v>-38351.569636639993</v>
      </c>
      <c r="ES264" s="89"/>
      <c r="ET264" s="89"/>
      <c r="EU264" s="89">
        <v>180470.90788865002</v>
      </c>
      <c r="EV264" s="89">
        <v>-49787.505607620056</v>
      </c>
      <c r="EW264" s="88">
        <v>789217.65005497681</v>
      </c>
      <c r="EX264" s="89">
        <f t="shared" si="17"/>
        <v>420727.28694112995</v>
      </c>
      <c r="EY264" s="89">
        <v>407467.82381748996</v>
      </c>
      <c r="EZ264" s="89">
        <v>13259.463123640002</v>
      </c>
      <c r="FA264" s="89">
        <v>481738.36294317996</v>
      </c>
      <c r="FB264" s="89">
        <v>-113247.99982933303</v>
      </c>
      <c r="FC264" s="88">
        <v>1747.8929660000001</v>
      </c>
      <c r="FD264" s="89">
        <v>345.59396599999997</v>
      </c>
      <c r="FE264" s="89">
        <v>770.06129299999998</v>
      </c>
      <c r="FF264" s="89">
        <v>-424.46732700000001</v>
      </c>
      <c r="FG264" s="89">
        <v>1402.299</v>
      </c>
      <c r="FH264" s="89"/>
      <c r="FI264" s="88">
        <v>922.38926700000002</v>
      </c>
      <c r="FJ264" s="89">
        <v>-71.846733</v>
      </c>
      <c r="FK264" s="89">
        <v>51.509228</v>
      </c>
      <c r="FL264" s="89">
        <v>-123.35596099999999</v>
      </c>
      <c r="FM264" s="89">
        <v>994.23599999999999</v>
      </c>
      <c r="FN264" s="89"/>
      <c r="FO264" s="88">
        <v>3572.9296409999997</v>
      </c>
      <c r="FP264" s="89">
        <v>-320.52335900000003</v>
      </c>
      <c r="FQ264" s="89">
        <v>5.742519000000029</v>
      </c>
      <c r="FR264" s="89">
        <v>-326.26587800000004</v>
      </c>
      <c r="FS264" s="89">
        <v>3893.453</v>
      </c>
      <c r="FT264" s="89"/>
      <c r="FU264" s="88">
        <v>3801.7000000000003</v>
      </c>
      <c r="FV264" s="89">
        <v>348.4</v>
      </c>
      <c r="FW264" s="89">
        <v>251.7</v>
      </c>
      <c r="FX264" s="89">
        <v>96.7</v>
      </c>
      <c r="FY264" s="89">
        <v>3360.4</v>
      </c>
      <c r="FZ264" s="89">
        <v>92.9</v>
      </c>
      <c r="GA264" s="88">
        <v>34923.4</v>
      </c>
      <c r="GB264" s="89">
        <v>-6058.5</v>
      </c>
      <c r="GC264" s="89">
        <v>-14254.7</v>
      </c>
      <c r="GD264" s="89">
        <v>8196.2000000000007</v>
      </c>
      <c r="GE264" s="89">
        <v>40981.9</v>
      </c>
      <c r="GF264" s="89"/>
      <c r="GG264" s="88">
        <v>140754.67486339906</v>
      </c>
      <c r="GH264" s="89">
        <v>60489.192472482522</v>
      </c>
      <c r="GI264" s="89">
        <v>58039.540244535019</v>
      </c>
      <c r="GJ264" s="89">
        <v>2449.6522279474998</v>
      </c>
      <c r="GK264" s="89">
        <v>196700.85046436251</v>
      </c>
      <c r="GL264" s="89">
        <v>-116435.36807344601</v>
      </c>
      <c r="GM264" s="88">
        <v>374608.84435083985</v>
      </c>
      <c r="GN264" s="89">
        <v>96173.949971949973</v>
      </c>
      <c r="GO264" s="89">
        <v>88237.928045529989</v>
      </c>
      <c r="GP264" s="89">
        <v>7936.0219264199841</v>
      </c>
      <c r="GQ264" s="89">
        <v>242989.58556396991</v>
      </c>
      <c r="GR264" s="89">
        <v>35445.30881491999</v>
      </c>
    </row>
    <row r="265" spans="1:200">
      <c r="B265" s="93" t="s">
        <v>498</v>
      </c>
      <c r="C265" s="88">
        <v>2879.2809876599995</v>
      </c>
      <c r="D265" s="87">
        <v>432.94598766000001</v>
      </c>
      <c r="E265" s="87">
        <v>533.08320441000001</v>
      </c>
      <c r="F265" s="87">
        <v>-100.13721675000001</v>
      </c>
      <c r="G265" s="87">
        <v>2446.335</v>
      </c>
      <c r="H265" s="87"/>
      <c r="I265" s="88">
        <v>442314.255</v>
      </c>
      <c r="J265" s="89">
        <v>374113.25599999999</v>
      </c>
      <c r="K265" s="89"/>
      <c r="L265" s="89"/>
      <c r="M265" s="89">
        <v>292309.489</v>
      </c>
      <c r="N265" s="89">
        <v>-224108.49</v>
      </c>
      <c r="O265" s="88">
        <v>8462</v>
      </c>
      <c r="P265" s="89">
        <v>1848.1999999999998</v>
      </c>
      <c r="Q265" s="89">
        <v>1446.8</v>
      </c>
      <c r="R265" s="89">
        <v>401.4</v>
      </c>
      <c r="S265" s="89">
        <v>6613.7</v>
      </c>
      <c r="T265" s="89"/>
      <c r="U265" s="88">
        <v>6896.9307900000003</v>
      </c>
      <c r="V265" s="89">
        <v>1436.4797899999999</v>
      </c>
      <c r="W265" s="89">
        <v>961.55079000000001</v>
      </c>
      <c r="X265" s="89">
        <v>474.92899999999997</v>
      </c>
      <c r="Y265" s="89">
        <v>5460.451</v>
      </c>
      <c r="Z265" s="89"/>
      <c r="AA265" s="88">
        <v>1932.1559999999999</v>
      </c>
      <c r="AB265" s="89">
        <v>156.25399999999999</v>
      </c>
      <c r="AC265" s="89">
        <v>150.785</v>
      </c>
      <c r="AD265" s="89">
        <v>5.4690000000000003</v>
      </c>
      <c r="AE265" s="89">
        <v>1775.902</v>
      </c>
      <c r="AF265" s="89"/>
      <c r="AG265" s="88">
        <v>70580.833514506099</v>
      </c>
      <c r="AH265" s="89">
        <v>12464.078808555987</v>
      </c>
      <c r="AI265" s="89">
        <v>10804.922081065986</v>
      </c>
      <c r="AJ265" s="89">
        <v>1659.1567274899999</v>
      </c>
      <c r="AK265" s="89">
        <v>58116.754705950108</v>
      </c>
      <c r="AL265" s="89"/>
      <c r="AM265" s="88">
        <v>4100210</v>
      </c>
      <c r="AN265" s="89">
        <v>1329821</v>
      </c>
      <c r="AO265" s="89">
        <v>1267015</v>
      </c>
      <c r="AP265" s="89">
        <v>62806</v>
      </c>
      <c r="AQ265" s="89">
        <v>2410027</v>
      </c>
      <c r="AR265" s="89">
        <v>360361</v>
      </c>
      <c r="AS265" s="88">
        <v>71219000</v>
      </c>
      <c r="AT265" s="89">
        <v>-1395105.588</v>
      </c>
      <c r="AU265" s="89">
        <v>-1395105.588</v>
      </c>
      <c r="AV265" s="89"/>
      <c r="AW265" s="89">
        <v>84930569.629999995</v>
      </c>
      <c r="AX265" s="89">
        <v>-12316197.75</v>
      </c>
      <c r="AY265" s="88">
        <v>257662223.71591723</v>
      </c>
      <c r="AZ265" s="89">
        <f t="shared" si="16"/>
        <v>49452244.602025196</v>
      </c>
      <c r="BA265" s="89">
        <v>36401999.970721163</v>
      </c>
      <c r="BB265" s="89">
        <v>13050244.631304031</v>
      </c>
      <c r="BC265" s="89">
        <v>208209979.11389205</v>
      </c>
      <c r="BD265" s="89"/>
      <c r="BE265" s="88">
        <v>9701011.6631111335</v>
      </c>
      <c r="BF265" s="89">
        <v>908240.60585667158</v>
      </c>
      <c r="BG265" s="89">
        <v>825012.95495001785</v>
      </c>
      <c r="BH265" s="89">
        <v>83227.650906653755</v>
      </c>
      <c r="BI265" s="89">
        <v>9582956.7888718322</v>
      </c>
      <c r="BJ265" s="89">
        <v>-790185.73161737015</v>
      </c>
      <c r="BK265" s="88">
        <v>629.34620149</v>
      </c>
      <c r="BL265" s="89">
        <v>-128.20279851000001</v>
      </c>
      <c r="BM265" s="89">
        <v>-49.31705302000001</v>
      </c>
      <c r="BN265" s="89">
        <v>-78.885745490000005</v>
      </c>
      <c r="BO265" s="89">
        <v>757.54899999999998</v>
      </c>
      <c r="BP265" s="89"/>
      <c r="BQ265" s="88">
        <v>17036.931669999998</v>
      </c>
      <c r="BR265" s="89">
        <v>-3424.6249789999997</v>
      </c>
      <c r="BS265" s="89">
        <v>-2663.0809929999996</v>
      </c>
      <c r="BT265" s="89">
        <v>-761.54398600000002</v>
      </c>
      <c r="BU265" s="89">
        <v>20461.556648999998</v>
      </c>
      <c r="BV265" s="89"/>
      <c r="BW265" s="88">
        <v>12686.992637601857</v>
      </c>
      <c r="BX265" s="89">
        <v>6024.4250346418585</v>
      </c>
      <c r="BY265" s="89">
        <v>5931.9075004418582</v>
      </c>
      <c r="BZ265" s="89">
        <v>92.5175342</v>
      </c>
      <c r="CA265" s="89">
        <v>8903.4178253201208</v>
      </c>
      <c r="CB265" s="89">
        <v>-2240.8502223601204</v>
      </c>
      <c r="CC265" s="88">
        <v>1758.5667979700002</v>
      </c>
      <c r="CD265" s="89">
        <v>-28.846202030000001</v>
      </c>
      <c r="CE265" s="89">
        <v>161.80014998999999</v>
      </c>
      <c r="CF265" s="89">
        <v>-190.64635201999999</v>
      </c>
      <c r="CG265" s="89">
        <v>1787.413</v>
      </c>
      <c r="CH265" s="89"/>
      <c r="CI265" s="88">
        <v>119140.4</v>
      </c>
      <c r="CJ265" s="89">
        <v>43715.3</v>
      </c>
      <c r="CK265" s="89">
        <v>26811.8</v>
      </c>
      <c r="CL265" s="89">
        <v>16903.5</v>
      </c>
      <c r="CM265" s="89">
        <v>85858.5</v>
      </c>
      <c r="CN265" s="89">
        <v>-10433.6</v>
      </c>
      <c r="CO265" s="88">
        <v>84236.7</v>
      </c>
      <c r="CP265" s="89">
        <v>-32092.9</v>
      </c>
      <c r="CQ265" s="89">
        <v>-2412.6</v>
      </c>
      <c r="CR265" s="89">
        <v>-29680.300000000003</v>
      </c>
      <c r="CS265" s="89">
        <v>130132.7</v>
      </c>
      <c r="CT265" s="89">
        <v>-13803.2</v>
      </c>
      <c r="CU265" s="88">
        <v>36031.843284094575</v>
      </c>
      <c r="CV265" s="89">
        <v>-15425.973086762948</v>
      </c>
      <c r="CW265" s="89">
        <v>-11405.735234550968</v>
      </c>
      <c r="CX265" s="89">
        <v>-4020.2378522119802</v>
      </c>
      <c r="CY265" s="89">
        <v>51457.816370857523</v>
      </c>
      <c r="CZ265" s="89"/>
      <c r="DA265" s="88">
        <v>112015.02529494846</v>
      </c>
      <c r="DB265" s="89">
        <v>12479.351789039474</v>
      </c>
      <c r="DC265" s="89">
        <v>8205.5552846373248</v>
      </c>
      <c r="DD265" s="89">
        <v>4273.5470638021488</v>
      </c>
      <c r="DE265" s="89">
        <v>155670.17369388783</v>
      </c>
      <c r="DF265" s="89">
        <v>-56134.250747378857</v>
      </c>
      <c r="DG265" s="88">
        <v>335994.70114564133</v>
      </c>
      <c r="DH265" s="89">
        <v>132688.87714564131</v>
      </c>
      <c r="DI265" s="89"/>
      <c r="DJ265" s="89"/>
      <c r="DK265" s="89">
        <v>220800.80300000001</v>
      </c>
      <c r="DL265" s="89">
        <v>-17494.978999999999</v>
      </c>
      <c r="DM265" s="88">
        <v>6376759.33625584</v>
      </c>
      <c r="DN265" s="89">
        <v>2763629.6282558395</v>
      </c>
      <c r="DO265" s="89">
        <v>2318190.7632558397</v>
      </c>
      <c r="DP265" s="89">
        <v>445438.86499999999</v>
      </c>
      <c r="DQ265" s="89">
        <v>3613129.7080000001</v>
      </c>
      <c r="DR265" s="89"/>
      <c r="DS265" s="88">
        <v>62687.890971455163</v>
      </c>
      <c r="DT265" s="89">
        <v>42417.307999803706</v>
      </c>
      <c r="DU265" s="89">
        <v>41523.514966713708</v>
      </c>
      <c r="DV265" s="89">
        <v>893.79303309000011</v>
      </c>
      <c r="DW265" s="89">
        <v>53692.454280271064</v>
      </c>
      <c r="DX265" s="89">
        <v>-33421.8713086196</v>
      </c>
      <c r="DY265" s="88">
        <v>11740.530289</v>
      </c>
      <c r="DZ265" s="89">
        <f t="shared" si="18"/>
        <v>3.1667779999997947</v>
      </c>
      <c r="EA265" s="89">
        <v>1424.7412669999999</v>
      </c>
      <c r="EB265" s="89">
        <v>-1421.5744890000001</v>
      </c>
      <c r="EC265" s="89">
        <v>11737.363511</v>
      </c>
      <c r="ED265" s="89"/>
      <c r="EE265" s="88">
        <v>20240.373038244401</v>
      </c>
      <c r="EF265" s="89">
        <v>-693.64456654999958</v>
      </c>
      <c r="EG265" s="89">
        <v>-844.54089267999962</v>
      </c>
      <c r="EH265" s="89">
        <v>150.89632613000001</v>
      </c>
      <c r="EI265" s="89">
        <v>28165.261152210001</v>
      </c>
      <c r="EJ265" s="89">
        <v>-7231.2435474156009</v>
      </c>
      <c r="EK265" s="88">
        <v>22002930.993570499</v>
      </c>
      <c r="EL265" s="89">
        <v>-9706097.8146260902</v>
      </c>
      <c r="EM265" s="89">
        <v>-7947525.3819762096</v>
      </c>
      <c r="EN265" s="89">
        <v>-1758572.4326498797</v>
      </c>
      <c r="EO265" s="89">
        <v>32274460.796151299</v>
      </c>
      <c r="EP265" s="89">
        <v>-565431.98795470991</v>
      </c>
      <c r="EQ265" s="88">
        <v>93538.480299880001</v>
      </c>
      <c r="ER265" s="89">
        <v>-38753.339796250002</v>
      </c>
      <c r="ES265" s="89"/>
      <c r="ET265" s="89"/>
      <c r="EU265" s="89">
        <v>182554.88966975</v>
      </c>
      <c r="EV265" s="89">
        <v>-50263.069573619985</v>
      </c>
      <c r="EW265" s="88">
        <v>792563.79080613819</v>
      </c>
      <c r="EX265" s="89">
        <f t="shared" si="17"/>
        <v>417960.15300335002</v>
      </c>
      <c r="EY265" s="89">
        <v>406251.98622677999</v>
      </c>
      <c r="EZ265" s="89">
        <v>11708.16677657</v>
      </c>
      <c r="FA265" s="89">
        <v>488490.85708084004</v>
      </c>
      <c r="FB265" s="89">
        <v>-113887.21927805177</v>
      </c>
      <c r="FC265" s="88">
        <v>1748.8892129999999</v>
      </c>
      <c r="FD265" s="89">
        <v>345.1162129999999</v>
      </c>
      <c r="FE265" s="89">
        <v>759.84238599999992</v>
      </c>
      <c r="FF265" s="89">
        <v>-414.72617300000002</v>
      </c>
      <c r="FG265" s="89">
        <v>1403.7729999999999</v>
      </c>
      <c r="FH265" s="89"/>
      <c r="FI265" s="88">
        <v>936.02190215999997</v>
      </c>
      <c r="FJ265" s="89">
        <v>-59.736097840000014</v>
      </c>
      <c r="FK265" s="89">
        <v>64.492579429999992</v>
      </c>
      <c r="FL265" s="89">
        <v>-124.22867727000001</v>
      </c>
      <c r="FM265" s="89">
        <v>995.75800000000004</v>
      </c>
      <c r="FN265" s="89"/>
      <c r="FO265" s="88">
        <v>3609.5062894900002</v>
      </c>
      <c r="FP265" s="89">
        <v>-285.50571050999997</v>
      </c>
      <c r="FQ265" s="89">
        <v>41.726167830000023</v>
      </c>
      <c r="FR265" s="89">
        <v>-327.23187833999998</v>
      </c>
      <c r="FS265" s="89">
        <v>3895.0120000000002</v>
      </c>
      <c r="FT265" s="89"/>
      <c r="FU265" s="88">
        <v>3893.7999999999997</v>
      </c>
      <c r="FV265" s="89">
        <v>410.7</v>
      </c>
      <c r="FW265" s="89">
        <v>285.2</v>
      </c>
      <c r="FX265" s="89">
        <v>125.5</v>
      </c>
      <c r="FY265" s="89">
        <v>3387.9</v>
      </c>
      <c r="FZ265" s="89">
        <v>95.2</v>
      </c>
      <c r="GA265" s="88">
        <v>33017</v>
      </c>
      <c r="GB265" s="89">
        <v>-8042.1999999999971</v>
      </c>
      <c r="GC265" s="89">
        <v>-15990</v>
      </c>
      <c r="GD265" s="89">
        <v>7947.8</v>
      </c>
      <c r="GE265" s="89">
        <v>41059.199999999997</v>
      </c>
      <c r="GF265" s="89"/>
      <c r="GG265" s="88">
        <v>141955.95639018127</v>
      </c>
      <c r="GH265" s="89">
        <v>61046.631899291744</v>
      </c>
      <c r="GI265" s="89">
        <v>58634.701905048023</v>
      </c>
      <c r="GJ265" s="89">
        <v>2411.9299942437201</v>
      </c>
      <c r="GK265" s="89">
        <v>195331.21108738679</v>
      </c>
      <c r="GL265" s="89">
        <v>-114421.88659649729</v>
      </c>
      <c r="GM265" s="88">
        <v>389539.75948727987</v>
      </c>
      <c r="GN265" s="89">
        <v>103396.25707531998</v>
      </c>
      <c r="GO265" s="89">
        <v>94729.011781799985</v>
      </c>
      <c r="GP265" s="89">
        <v>8667.2452935199981</v>
      </c>
      <c r="GQ265" s="89">
        <v>252167.21169417992</v>
      </c>
      <c r="GR265" s="89">
        <v>33976.290717780001</v>
      </c>
    </row>
    <row r="266" spans="1:200">
      <c r="B266" s="93" t="s">
        <v>499</v>
      </c>
      <c r="C266" s="88">
        <v>2887.89787544</v>
      </c>
      <c r="D266" s="87">
        <v>443.99087543999997</v>
      </c>
      <c r="E266" s="87">
        <v>535.48909218999995</v>
      </c>
      <c r="F266" s="87">
        <v>-91.498216750000012</v>
      </c>
      <c r="G266" s="87">
        <v>2443.9070000000002</v>
      </c>
      <c r="H266" s="87"/>
      <c r="I266" s="88">
        <v>447137.66300000006</v>
      </c>
      <c r="J266" s="89">
        <v>373599.17200000002</v>
      </c>
      <c r="K266" s="89"/>
      <c r="L266" s="89"/>
      <c r="M266" s="89">
        <v>298052.29200000002</v>
      </c>
      <c r="N266" s="89">
        <v>-224513.80100000001</v>
      </c>
      <c r="O266" s="88">
        <v>8486.9</v>
      </c>
      <c r="P266" s="89">
        <v>1846.6999999999998</v>
      </c>
      <c r="Q266" s="89">
        <v>1445.6</v>
      </c>
      <c r="R266" s="89">
        <v>401.1</v>
      </c>
      <c r="S266" s="89">
        <v>6640.2</v>
      </c>
      <c r="T266" s="89"/>
      <c r="U266" s="88">
        <v>7335.0266900000006</v>
      </c>
      <c r="V266" s="89">
        <v>1459.7706899999998</v>
      </c>
      <c r="W266" s="89">
        <v>980.02968999999996</v>
      </c>
      <c r="X266" s="89">
        <v>479.74099999999999</v>
      </c>
      <c r="Y266" s="89">
        <v>5875.2560000000003</v>
      </c>
      <c r="Z266" s="89"/>
      <c r="AA266" s="88">
        <v>1906.6479999999999</v>
      </c>
      <c r="AB266" s="89">
        <v>155.38999999999999</v>
      </c>
      <c r="AC266" s="89">
        <v>149.77799999999999</v>
      </c>
      <c r="AD266" s="89">
        <v>5.6120000000000001</v>
      </c>
      <c r="AE266" s="89">
        <v>1751.258</v>
      </c>
      <c r="AF266" s="89"/>
      <c r="AG266" s="88">
        <v>72779.857288991625</v>
      </c>
      <c r="AH266" s="89">
        <v>13656.589995735454</v>
      </c>
      <c r="AI266" s="89">
        <v>10824.012767445454</v>
      </c>
      <c r="AJ266" s="89">
        <v>2832.5772282900002</v>
      </c>
      <c r="AK266" s="89">
        <v>59123.267293256169</v>
      </c>
      <c r="AL266" s="89"/>
      <c r="AM266" s="88">
        <v>4137868</v>
      </c>
      <c r="AN266" s="89">
        <v>1308855</v>
      </c>
      <c r="AO266" s="89">
        <v>1242983</v>
      </c>
      <c r="AP266" s="89">
        <v>65872</v>
      </c>
      <c r="AQ266" s="89">
        <v>2472145</v>
      </c>
      <c r="AR266" s="89">
        <v>356869</v>
      </c>
      <c r="AS266" s="88">
        <v>70991000</v>
      </c>
      <c r="AT266" s="89">
        <v>-1867934.5360000001</v>
      </c>
      <c r="AU266" s="89">
        <v>-1867934.5360000001</v>
      </c>
      <c r="AV266" s="89"/>
      <c r="AW266" s="89">
        <v>86420686.549999997</v>
      </c>
      <c r="AX266" s="89">
        <v>-13561430.290000001</v>
      </c>
      <c r="AY266" s="88">
        <v>263793916.38108703</v>
      </c>
      <c r="AZ266" s="89">
        <f t="shared" si="16"/>
        <v>49083063.269419163</v>
      </c>
      <c r="BA266" s="89">
        <v>36725622.397977345</v>
      </c>
      <c r="BB266" s="89">
        <v>12357440.871441821</v>
      </c>
      <c r="BC266" s="89">
        <v>214710853.11166787</v>
      </c>
      <c r="BD266" s="89"/>
      <c r="BE266" s="88">
        <v>9891803.2793896366</v>
      </c>
      <c r="BF266" s="89">
        <v>898874.48087050847</v>
      </c>
      <c r="BG266" s="89">
        <v>801983.40514696366</v>
      </c>
      <c r="BH266" s="89">
        <v>96891.075723544796</v>
      </c>
      <c r="BI266" s="89">
        <v>9687116.5730779283</v>
      </c>
      <c r="BJ266" s="89">
        <v>-694187.7745588012</v>
      </c>
      <c r="BK266" s="88">
        <v>638.04357256000003</v>
      </c>
      <c r="BL266" s="89">
        <v>-123.66942743999999</v>
      </c>
      <c r="BM266" s="89">
        <v>-45.380987949999998</v>
      </c>
      <c r="BN266" s="89">
        <v>-78.288439490000002</v>
      </c>
      <c r="BO266" s="89">
        <v>761.71299999999997</v>
      </c>
      <c r="BP266" s="89"/>
      <c r="BQ266" s="88">
        <v>17574.544397999995</v>
      </c>
      <c r="BR266" s="89">
        <v>-3260.5658410000001</v>
      </c>
      <c r="BS266" s="89">
        <v>-2368.538395</v>
      </c>
      <c r="BT266" s="89">
        <v>-892.02744599999994</v>
      </c>
      <c r="BU266" s="89">
        <v>20835.110238999994</v>
      </c>
      <c r="BV266" s="89"/>
      <c r="BW266" s="88">
        <v>12808.951200611857</v>
      </c>
      <c r="BX266" s="89">
        <v>6013.5150154118573</v>
      </c>
      <c r="BY266" s="89">
        <v>5910.0665794618571</v>
      </c>
      <c r="BZ266" s="89">
        <v>103.44843595</v>
      </c>
      <c r="CA266" s="89">
        <v>8997.1089190801231</v>
      </c>
      <c r="CB266" s="89">
        <v>-2201.6727338801202</v>
      </c>
      <c r="CC266" s="88">
        <v>1776.1680764100001</v>
      </c>
      <c r="CD266" s="89">
        <v>-17.016923589999976</v>
      </c>
      <c r="CE266" s="89">
        <v>161.33142843000002</v>
      </c>
      <c r="CF266" s="89">
        <v>-178.34835201999999</v>
      </c>
      <c r="CG266" s="89">
        <v>1793.1849999999999</v>
      </c>
      <c r="CH266" s="89"/>
      <c r="CI266" s="88">
        <v>122463.1</v>
      </c>
      <c r="CJ266" s="89">
        <v>45357.5</v>
      </c>
      <c r="CK266" s="89">
        <v>28052.7</v>
      </c>
      <c r="CL266" s="89">
        <v>17304.8</v>
      </c>
      <c r="CM266" s="89">
        <v>87789.8</v>
      </c>
      <c r="CN266" s="89">
        <v>-10684.2</v>
      </c>
      <c r="CO266" s="88">
        <v>85959.5</v>
      </c>
      <c r="CP266" s="89">
        <v>-31354.400000000001</v>
      </c>
      <c r="CQ266" s="89">
        <v>2496.1</v>
      </c>
      <c r="CR266" s="89">
        <v>-33850.5</v>
      </c>
      <c r="CS266" s="89">
        <v>132107.70000000001</v>
      </c>
      <c r="CT266" s="89">
        <v>-14793.8</v>
      </c>
      <c r="CU266" s="88">
        <v>35948.464838637214</v>
      </c>
      <c r="CV266" s="89">
        <v>-16179.224296749364</v>
      </c>
      <c r="CW266" s="89">
        <v>-11792.135917087331</v>
      </c>
      <c r="CX266" s="89">
        <v>-4387.0883796620337</v>
      </c>
      <c r="CY266" s="89">
        <v>52127.689135386579</v>
      </c>
      <c r="CZ266" s="89"/>
      <c r="DA266" s="88">
        <v>114415.00364014061</v>
      </c>
      <c r="DB266" s="89">
        <v>13449.511961565204</v>
      </c>
      <c r="DC266" s="89">
        <v>8716.2362893210811</v>
      </c>
      <c r="DD266" s="89">
        <v>4733.0257561841217</v>
      </c>
      <c r="DE266" s="89">
        <v>158786.39628153219</v>
      </c>
      <c r="DF266" s="89">
        <v>-57820.654686896771</v>
      </c>
      <c r="DG266" s="88">
        <v>335878.04936</v>
      </c>
      <c r="DH266" s="89">
        <v>127308.83435999999</v>
      </c>
      <c r="DI266" s="89"/>
      <c r="DJ266" s="89"/>
      <c r="DK266" s="89">
        <v>226365.56700000001</v>
      </c>
      <c r="DL266" s="89">
        <v>-17796.351999999999</v>
      </c>
      <c r="DM266" s="88">
        <v>6438333.9004161702</v>
      </c>
      <c r="DN266" s="89">
        <v>2747583.89041617</v>
      </c>
      <c r="DO266" s="89">
        <v>2287070.4264161699</v>
      </c>
      <c r="DP266" s="89">
        <v>460513.46400000004</v>
      </c>
      <c r="DQ266" s="89">
        <v>3690750.01</v>
      </c>
      <c r="DR266" s="89"/>
      <c r="DS266" s="88">
        <v>66145.222808238817</v>
      </c>
      <c r="DT266" s="89">
        <v>43103.413873780941</v>
      </c>
      <c r="DU266" s="89">
        <v>42220.969743140944</v>
      </c>
      <c r="DV266" s="89">
        <v>882.44413064000003</v>
      </c>
      <c r="DW266" s="89">
        <v>55958.408085340197</v>
      </c>
      <c r="DX266" s="89">
        <v>-32916.599150882328</v>
      </c>
      <c r="DY266" s="88">
        <v>11762.104571</v>
      </c>
      <c r="DZ266" s="89">
        <f t="shared" si="18"/>
        <v>-38.606964000000289</v>
      </c>
      <c r="EA266" s="89">
        <v>1344.9305009999998</v>
      </c>
      <c r="EB266" s="89">
        <v>-1383.5374650000001</v>
      </c>
      <c r="EC266" s="89">
        <v>11800.711535</v>
      </c>
      <c r="ED266" s="89"/>
      <c r="EE266" s="88">
        <v>19959.285559296884</v>
      </c>
      <c r="EF266" s="89">
        <v>-1111.21175223</v>
      </c>
      <c r="EG266" s="89">
        <v>-1252.08930315</v>
      </c>
      <c r="EH266" s="89">
        <v>140.87755092</v>
      </c>
      <c r="EI266" s="89">
        <v>28435.818728220009</v>
      </c>
      <c r="EJ266" s="89">
        <v>-7365.3214166931202</v>
      </c>
      <c r="EK266" s="88">
        <v>23782638.857122887</v>
      </c>
      <c r="EL266" s="89">
        <v>-9755174.5828314405</v>
      </c>
      <c r="EM266" s="89">
        <v>-8133000.9794686306</v>
      </c>
      <c r="EN266" s="89">
        <v>-1622173.6033628101</v>
      </c>
      <c r="EO266" s="89">
        <v>34082664.456761681</v>
      </c>
      <c r="EP266" s="89">
        <v>-544851.01680734998</v>
      </c>
      <c r="EQ266" s="88">
        <v>95624.009478299995</v>
      </c>
      <c r="ER266" s="89">
        <v>-39817.614280500005</v>
      </c>
      <c r="ES266" s="89"/>
      <c r="ET266" s="89"/>
      <c r="EU266" s="89">
        <v>184655.43763950001</v>
      </c>
      <c r="EV266" s="89">
        <v>-49213.813880700007</v>
      </c>
      <c r="EW266" s="88">
        <v>793318.97614167852</v>
      </c>
      <c r="EX266" s="89">
        <f t="shared" si="17"/>
        <v>405281.32672199007</v>
      </c>
      <c r="EY266" s="89">
        <v>393943.76338095008</v>
      </c>
      <c r="EZ266" s="89">
        <v>11337.563341040001</v>
      </c>
      <c r="FA266" s="89">
        <v>498360.79791795003</v>
      </c>
      <c r="FB266" s="89">
        <v>-110323.14849826174</v>
      </c>
      <c r="FC266" s="88">
        <v>1753.5001050000001</v>
      </c>
      <c r="FD266" s="89">
        <v>347.16810500000003</v>
      </c>
      <c r="FE266" s="89">
        <v>767.40127800000005</v>
      </c>
      <c r="FF266" s="89">
        <v>-420.23317300000002</v>
      </c>
      <c r="FG266" s="89">
        <v>1406.3320000000001</v>
      </c>
      <c r="FH266" s="89"/>
      <c r="FI266" s="88">
        <v>860.89773653999998</v>
      </c>
      <c r="FJ266" s="89">
        <v>-139.84026346000002</v>
      </c>
      <c r="FK266" s="89">
        <v>-11.159303670000023</v>
      </c>
      <c r="FL266" s="89">
        <v>-128.68095979</v>
      </c>
      <c r="FM266" s="89">
        <v>1000.7380000000001</v>
      </c>
      <c r="FN266" s="89"/>
      <c r="FO266" s="88">
        <v>3613.7748106900003</v>
      </c>
      <c r="FP266" s="89">
        <v>-290.19018930999999</v>
      </c>
      <c r="FQ266" s="89">
        <v>2.9426890300000088</v>
      </c>
      <c r="FR266" s="89">
        <v>-293.13287833999999</v>
      </c>
      <c r="FS266" s="89">
        <v>3903.9650000000001</v>
      </c>
      <c r="FT266" s="89"/>
      <c r="FU266" s="88">
        <v>3881</v>
      </c>
      <c r="FV266" s="89">
        <v>371.5</v>
      </c>
      <c r="FW266" s="89">
        <v>251.6</v>
      </c>
      <c r="FX266" s="89">
        <v>119.9</v>
      </c>
      <c r="FY266" s="89">
        <v>3413.8</v>
      </c>
      <c r="FZ266" s="89">
        <v>95.7</v>
      </c>
      <c r="GA266" s="88">
        <v>34542.199999999997</v>
      </c>
      <c r="GB266" s="89">
        <v>-6908.1000000000058</v>
      </c>
      <c r="GC266" s="89">
        <v>-15054.2</v>
      </c>
      <c r="GD266" s="89">
        <v>8146</v>
      </c>
      <c r="GE266" s="89">
        <v>41450.300000000003</v>
      </c>
      <c r="GF266" s="89"/>
      <c r="GG266" s="88">
        <v>146250.04343371291</v>
      </c>
      <c r="GH266" s="89">
        <v>58965.612586274947</v>
      </c>
      <c r="GI266" s="89">
        <v>56560.616560074159</v>
      </c>
      <c r="GJ266" s="89">
        <v>2404.9960262007899</v>
      </c>
      <c r="GK266" s="89">
        <v>201734.68065861048</v>
      </c>
      <c r="GL266" s="89">
        <v>-114450.24981117251</v>
      </c>
      <c r="GM266" s="88">
        <v>412381.03023869992</v>
      </c>
      <c r="GN266" s="89">
        <v>108562.72586723995</v>
      </c>
      <c r="GO266" s="89">
        <v>96690.562903409955</v>
      </c>
      <c r="GP266" s="89">
        <v>11872.162963829993</v>
      </c>
      <c r="GQ266" s="89">
        <v>266995.12480293994</v>
      </c>
      <c r="GR266" s="101">
        <v>36823.179568520005</v>
      </c>
    </row>
    <row r="267" spans="1:200">
      <c r="A267" s="132"/>
      <c r="B267" s="130" t="s">
        <v>500</v>
      </c>
      <c r="C267" s="104">
        <v>2861.7703579199997</v>
      </c>
      <c r="D267" s="105">
        <v>419.43035791999995</v>
      </c>
      <c r="E267" s="105">
        <v>543.69857466999997</v>
      </c>
      <c r="F267" s="105">
        <v>-124.26821675000001</v>
      </c>
      <c r="G267" s="105">
        <v>2442.34</v>
      </c>
      <c r="H267" s="105"/>
      <c r="I267" s="104">
        <v>444365.32699999999</v>
      </c>
      <c r="J267" s="105">
        <v>365929.353</v>
      </c>
      <c r="K267" s="105"/>
      <c r="L267" s="105"/>
      <c r="M267" s="105">
        <v>305253.27899999998</v>
      </c>
      <c r="N267" s="105">
        <v>-226817.30499999999</v>
      </c>
      <c r="O267" s="104">
        <v>8536.9</v>
      </c>
      <c r="P267" s="105">
        <v>1889.4</v>
      </c>
      <c r="Q267" s="105">
        <v>1439.2</v>
      </c>
      <c r="R267" s="105">
        <v>450.2</v>
      </c>
      <c r="S267" s="105">
        <v>6647.5</v>
      </c>
      <c r="T267" s="105"/>
      <c r="U267" s="104">
        <v>6841.6439699999992</v>
      </c>
      <c r="V267" s="105">
        <v>1372.01197</v>
      </c>
      <c r="W267" s="105">
        <v>897.03496999999993</v>
      </c>
      <c r="X267" s="105">
        <v>474.97700000000003</v>
      </c>
      <c r="Y267" s="105">
        <v>5469.6319999999996</v>
      </c>
      <c r="Z267" s="105"/>
      <c r="AA267" s="104">
        <v>1915.4259999999999</v>
      </c>
      <c r="AB267" s="105">
        <v>163.12300000000002</v>
      </c>
      <c r="AC267" s="105">
        <v>156.76400000000001</v>
      </c>
      <c r="AD267" s="105">
        <v>6.359</v>
      </c>
      <c r="AE267" s="105">
        <v>1752.3030000000001</v>
      </c>
      <c r="AF267" s="105"/>
      <c r="AG267" s="104">
        <v>74595.277607719167</v>
      </c>
      <c r="AH267" s="105">
        <v>14173.140713755127</v>
      </c>
      <c r="AI267" s="105">
        <v>10931.764847205126</v>
      </c>
      <c r="AJ267" s="105">
        <v>3241.3758665500004</v>
      </c>
      <c r="AK267" s="105">
        <v>60422.136893964038</v>
      </c>
      <c r="AL267" s="105"/>
      <c r="AM267" s="104">
        <v>4164366</v>
      </c>
      <c r="AN267" s="105">
        <v>1279918</v>
      </c>
      <c r="AO267" s="105">
        <v>1210141</v>
      </c>
      <c r="AP267" s="105">
        <v>69777</v>
      </c>
      <c r="AQ267" s="105">
        <v>2541737</v>
      </c>
      <c r="AR267" s="105">
        <v>342711</v>
      </c>
      <c r="AS267" s="104">
        <v>72888000</v>
      </c>
      <c r="AT267" s="105">
        <v>-1565842.5729999999</v>
      </c>
      <c r="AU267" s="105">
        <v>-1565842.5729999999</v>
      </c>
      <c r="AV267" s="105"/>
      <c r="AW267" s="105">
        <v>87081030.299999997</v>
      </c>
      <c r="AX267" s="105">
        <v>-12626952.49</v>
      </c>
      <c r="AY267" s="104">
        <v>266856309.28205028</v>
      </c>
      <c r="AZ267" s="105">
        <f t="shared" si="16"/>
        <v>50446030.12271326</v>
      </c>
      <c r="BA267" s="105">
        <v>37982817.535039373</v>
      </c>
      <c r="BB267" s="105">
        <v>12463212.587673889</v>
      </c>
      <c r="BC267" s="105">
        <v>216410279.15933704</v>
      </c>
      <c r="BD267" s="105"/>
      <c r="BE267" s="104">
        <v>9960120.1110354997</v>
      </c>
      <c r="BF267" s="105">
        <v>942788.68182637729</v>
      </c>
      <c r="BG267" s="105">
        <v>844474.10862403479</v>
      </c>
      <c r="BH267" s="105">
        <v>98314.573202342479</v>
      </c>
      <c r="BI267" s="105">
        <v>9831843.5653922651</v>
      </c>
      <c r="BJ267" s="105">
        <v>-814512.13618314359</v>
      </c>
      <c r="BK267" s="104">
        <v>652.90149612999994</v>
      </c>
      <c r="BL267" s="105">
        <v>-110.45250387</v>
      </c>
      <c r="BM267" s="105">
        <v>-32.537492299999997</v>
      </c>
      <c r="BN267" s="105">
        <v>-77.915011570000004</v>
      </c>
      <c r="BO267" s="105">
        <v>763.35400000000004</v>
      </c>
      <c r="BP267" s="105"/>
      <c r="BQ267" s="104">
        <v>18729.510806999995</v>
      </c>
      <c r="BR267" s="105">
        <v>-2423.1093899999996</v>
      </c>
      <c r="BS267" s="105">
        <v>-1674.3498059999997</v>
      </c>
      <c r="BT267" s="105">
        <v>-748.75958400000002</v>
      </c>
      <c r="BU267" s="105">
        <v>21152.620196999997</v>
      </c>
      <c r="BV267" s="105"/>
      <c r="BW267" s="104">
        <v>13129.453542601859</v>
      </c>
      <c r="BX267" s="105">
        <v>6123.5746253200005</v>
      </c>
      <c r="BY267" s="105">
        <v>6007.5025118800004</v>
      </c>
      <c r="BZ267" s="105">
        <v>116.07211344000001</v>
      </c>
      <c r="CA267" s="105">
        <v>9198.6749363199997</v>
      </c>
      <c r="CB267" s="105">
        <v>-2192.7960190381409</v>
      </c>
      <c r="CC267" s="104">
        <v>1782.5454577</v>
      </c>
      <c r="CD267" s="105">
        <v>-17.772542299999969</v>
      </c>
      <c r="CE267" s="105">
        <v>150.40105245000001</v>
      </c>
      <c r="CF267" s="105">
        <v>-168.17359474999998</v>
      </c>
      <c r="CG267" s="105">
        <v>1800.318</v>
      </c>
      <c r="CH267" s="105"/>
      <c r="CI267" s="104">
        <v>125904.6</v>
      </c>
      <c r="CJ267" s="105">
        <v>48874</v>
      </c>
      <c r="CK267" s="105">
        <v>31364.1</v>
      </c>
      <c r="CL267" s="105">
        <v>17509.900000000001</v>
      </c>
      <c r="CM267" s="105">
        <v>87826</v>
      </c>
      <c r="CN267" s="105">
        <v>-10795.3</v>
      </c>
      <c r="CO267" s="104">
        <v>93479.1</v>
      </c>
      <c r="CP267" s="105">
        <v>-25994.7</v>
      </c>
      <c r="CQ267" s="105">
        <v>7191.8</v>
      </c>
      <c r="CR267" s="105">
        <v>-33186.5</v>
      </c>
      <c r="CS267" s="105">
        <v>134637.6</v>
      </c>
      <c r="CT267" s="105">
        <v>-15163.8</v>
      </c>
      <c r="CU267" s="104">
        <v>37208.303199332586</v>
      </c>
      <c r="CV267" s="105">
        <v>-15822.938227002098</v>
      </c>
      <c r="CW267" s="105">
        <v>-11450.272503219887</v>
      </c>
      <c r="CX267" s="105">
        <v>-4372.665723782211</v>
      </c>
      <c r="CY267" s="105">
        <v>53031.24142633468</v>
      </c>
      <c r="CZ267" s="105"/>
      <c r="DA267" s="104">
        <v>117930.43229984255</v>
      </c>
      <c r="DB267" s="105">
        <v>13714.605190173717</v>
      </c>
      <c r="DC267" s="105">
        <v>8933.4978204409817</v>
      </c>
      <c r="DD267" s="105">
        <v>4781.1073697327356</v>
      </c>
      <c r="DE267" s="105">
        <v>160805.12840618208</v>
      </c>
      <c r="DF267" s="105">
        <v>-56589.301296513251</v>
      </c>
      <c r="DG267" s="104">
        <v>345091.52763000003</v>
      </c>
      <c r="DH267" s="105">
        <v>128952.85463</v>
      </c>
      <c r="DI267" s="105"/>
      <c r="DJ267" s="105"/>
      <c r="DK267" s="105">
        <v>235446.52900000001</v>
      </c>
      <c r="DL267" s="105">
        <v>-19307.856</v>
      </c>
      <c r="DM267" s="104">
        <v>6527830.8671163302</v>
      </c>
      <c r="DN267" s="105">
        <v>2786912.6021163301</v>
      </c>
      <c r="DO267" s="105">
        <v>2300205.2801163299</v>
      </c>
      <c r="DP267" s="105">
        <v>486707.32199999999</v>
      </c>
      <c r="DQ267" s="105">
        <v>3740918.2650000001</v>
      </c>
      <c r="DR267" s="105"/>
      <c r="DS267" s="104">
        <v>68028.300477324054</v>
      </c>
      <c r="DT267" s="105">
        <v>44077.932867676158</v>
      </c>
      <c r="DU267" s="105">
        <v>43190.329632896159</v>
      </c>
      <c r="DV267" s="105">
        <v>887.60323477999998</v>
      </c>
      <c r="DW267" s="105">
        <v>57426.630324288075</v>
      </c>
      <c r="DX267" s="105">
        <v>-33476.262714640172</v>
      </c>
      <c r="DY267" s="104">
        <v>11721.550629000001</v>
      </c>
      <c r="DZ267" s="105">
        <f t="shared" si="18"/>
        <v>-57.636278000000175</v>
      </c>
      <c r="EA267" s="105">
        <v>1360.4208149999999</v>
      </c>
      <c r="EB267" s="105">
        <v>-1418.0570930000001</v>
      </c>
      <c r="EC267" s="105">
        <v>11779.186906999999</v>
      </c>
      <c r="ED267" s="103"/>
      <c r="EE267" s="104">
        <v>19903.39156635946</v>
      </c>
      <c r="EF267" s="105">
        <v>-1220.9183577299993</v>
      </c>
      <c r="EG267" s="105">
        <v>-1359.2146651499993</v>
      </c>
      <c r="EH267" s="105">
        <v>138.29630742000001</v>
      </c>
      <c r="EI267" s="105">
        <v>28160.945434320001</v>
      </c>
      <c r="EJ267" s="105">
        <v>-7036.6355102305406</v>
      </c>
      <c r="EK267" s="104">
        <v>25421000.121080469</v>
      </c>
      <c r="EL267" s="105">
        <v>-8481188.2083472814</v>
      </c>
      <c r="EM267" s="105">
        <v>-7224781.2931974716</v>
      </c>
      <c r="EN267" s="105">
        <v>-1256406.9151498103</v>
      </c>
      <c r="EO267" s="105">
        <v>34672565.502937034</v>
      </c>
      <c r="EP267" s="105">
        <v>-770377.17350927996</v>
      </c>
      <c r="EQ267" s="104">
        <v>102650.89416090002</v>
      </c>
      <c r="ER267" s="105">
        <v>-36299.565045399999</v>
      </c>
      <c r="ES267" s="105"/>
      <c r="ET267" s="105"/>
      <c r="EU267" s="105">
        <v>187547.2758453</v>
      </c>
      <c r="EV267" s="105">
        <v>-48596.816638999968</v>
      </c>
      <c r="EW267" s="104">
        <v>831673.83571401983</v>
      </c>
      <c r="EX267" s="105">
        <f t="shared" si="17"/>
        <v>419357.26617695001</v>
      </c>
      <c r="EY267" s="105">
        <v>410956.35863387003</v>
      </c>
      <c r="EZ267" s="105">
        <v>8400.9075430800003</v>
      </c>
      <c r="FA267" s="105">
        <v>506254.31963285001</v>
      </c>
      <c r="FB267" s="105">
        <v>-93937.750095780109</v>
      </c>
      <c r="FC267" s="104">
        <v>1712.1761059800001</v>
      </c>
      <c r="FD267" s="105">
        <v>305.79410598000004</v>
      </c>
      <c r="FE267" s="105">
        <v>726.28327862000003</v>
      </c>
      <c r="FF267" s="105">
        <v>-420.48917263999999</v>
      </c>
      <c r="FG267" s="105">
        <v>1406.3820000000001</v>
      </c>
      <c r="FH267" s="105"/>
      <c r="FI267" s="104">
        <v>906.66547473000003</v>
      </c>
      <c r="FJ267" s="105">
        <v>-92.58052527000001</v>
      </c>
      <c r="FK267" s="105">
        <v>44.493247630000013</v>
      </c>
      <c r="FL267" s="105">
        <v>-137.07377290000002</v>
      </c>
      <c r="FM267" s="105">
        <v>999.24599999999998</v>
      </c>
      <c r="FN267" s="105"/>
      <c r="FO267" s="104">
        <v>3597.62625153</v>
      </c>
      <c r="FP267" s="105">
        <v>-289.86674847</v>
      </c>
      <c r="FQ267" s="105">
        <v>-0.96187012999999566</v>
      </c>
      <c r="FR267" s="105">
        <v>-288.90487833999998</v>
      </c>
      <c r="FS267" s="105">
        <v>3887.4929999999999</v>
      </c>
      <c r="FT267" s="105"/>
      <c r="FU267" s="104">
        <v>3606.1000000000004</v>
      </c>
      <c r="FV267" s="105">
        <v>61.899999999999991</v>
      </c>
      <c r="FW267" s="105">
        <v>-63.2</v>
      </c>
      <c r="FX267" s="105">
        <v>125.1</v>
      </c>
      <c r="FY267" s="105">
        <v>3441.9</v>
      </c>
      <c r="FZ267" s="105">
        <v>102.3</v>
      </c>
      <c r="GA267" s="104">
        <v>33635.599999999999</v>
      </c>
      <c r="GB267" s="105">
        <v>-8339.9000000000015</v>
      </c>
      <c r="GC267" s="105">
        <v>-15665.6</v>
      </c>
      <c r="GD267" s="105">
        <v>7325.6</v>
      </c>
      <c r="GE267" s="105">
        <v>41975.5</v>
      </c>
      <c r="GF267" s="105"/>
      <c r="GG267" s="104">
        <v>169461.87610614911</v>
      </c>
      <c r="GH267" s="105">
        <v>64159.373270665223</v>
      </c>
      <c r="GI267" s="105">
        <v>60497.677205447697</v>
      </c>
      <c r="GJ267" s="105">
        <v>3661.6960652175203</v>
      </c>
      <c r="GK267" s="105">
        <v>211749.59928201485</v>
      </c>
      <c r="GL267" s="105">
        <v>-106447.09644653095</v>
      </c>
      <c r="GM267" s="104">
        <v>418031.14012722991</v>
      </c>
      <c r="GN267" s="105">
        <v>106331.12822125996</v>
      </c>
      <c r="GO267" s="105">
        <v>94081.051236859974</v>
      </c>
      <c r="GP267" s="105">
        <v>12250.076984399988</v>
      </c>
      <c r="GQ267" s="105">
        <v>276357.44447685994</v>
      </c>
      <c r="GR267" s="103">
        <v>35342.567429110008</v>
      </c>
    </row>
    <row r="268" spans="1:200">
      <c r="A268" s="86">
        <v>2012</v>
      </c>
      <c r="B268" s="93" t="s">
        <v>489</v>
      </c>
      <c r="C268" s="88">
        <v>2823.0769066600001</v>
      </c>
      <c r="D268" s="87">
        <v>424.11390665999994</v>
      </c>
      <c r="E268" s="87">
        <v>554.52396638999994</v>
      </c>
      <c r="F268" s="87">
        <v>-130.41005973</v>
      </c>
      <c r="G268" s="87">
        <v>2398.9630000000002</v>
      </c>
      <c r="H268" s="87"/>
      <c r="I268" s="88">
        <v>464005.88499999995</v>
      </c>
      <c r="J268" s="89">
        <v>400832.11599999998</v>
      </c>
      <c r="K268" s="89"/>
      <c r="L268" s="89"/>
      <c r="M268" s="89">
        <v>309098.36800000002</v>
      </c>
      <c r="N268" s="89">
        <v>-245924.59899999999</v>
      </c>
      <c r="O268" s="88">
        <v>8470.9500000000007</v>
      </c>
      <c r="P268" s="89">
        <v>1926</v>
      </c>
      <c r="Q268" s="89">
        <v>1468.2</v>
      </c>
      <c r="R268" s="89">
        <v>457.8</v>
      </c>
      <c r="S268" s="89">
        <v>6645.7</v>
      </c>
      <c r="T268" s="89"/>
      <c r="U268" s="88">
        <v>6884.3729599999997</v>
      </c>
      <c r="V268" s="89">
        <v>1418.37996</v>
      </c>
      <c r="W268" s="89">
        <v>953.79995999999994</v>
      </c>
      <c r="X268" s="89">
        <v>464.58000000000004</v>
      </c>
      <c r="Y268" s="89">
        <v>5465.9929999999995</v>
      </c>
      <c r="Z268" s="89"/>
      <c r="AA268" s="88">
        <v>1903.674</v>
      </c>
      <c r="AB268" s="89">
        <v>148.10999999999999</v>
      </c>
      <c r="AC268" s="89">
        <v>142.19499999999999</v>
      </c>
      <c r="AD268" s="89">
        <v>5.915</v>
      </c>
      <c r="AE268" s="89">
        <v>1755.5640000000001</v>
      </c>
      <c r="AF268" s="89"/>
      <c r="AG268" s="88">
        <v>74821.45063619467</v>
      </c>
      <c r="AH268" s="89">
        <v>14189.327115552751</v>
      </c>
      <c r="AI268" s="89">
        <v>10945.157300412751</v>
      </c>
      <c r="AJ268" s="89">
        <v>3244.1698151400001</v>
      </c>
      <c r="AK268" s="89">
        <v>60632.123520641915</v>
      </c>
      <c r="AL268" s="89"/>
      <c r="AM268" s="88">
        <v>4312305</v>
      </c>
      <c r="AN268" s="89">
        <v>1383903</v>
      </c>
      <c r="AO268" s="89">
        <v>1314262</v>
      </c>
      <c r="AP268" s="89">
        <v>69641</v>
      </c>
      <c r="AQ268" s="89">
        <v>2561569</v>
      </c>
      <c r="AR268" s="89">
        <v>366834</v>
      </c>
      <c r="AS268" s="88">
        <v>73872212.829999998</v>
      </c>
      <c r="AT268" s="89">
        <v>-857853.34250000003</v>
      </c>
      <c r="AU268" s="89">
        <v>-857853.34250000003</v>
      </c>
      <c r="AV268" s="89"/>
      <c r="AW268" s="89">
        <v>87483621.679999992</v>
      </c>
      <c r="AX268" s="89">
        <v>-12753555.51</v>
      </c>
      <c r="AY268" s="88">
        <v>268674335.69093919</v>
      </c>
      <c r="AZ268" s="89">
        <f t="shared" si="16"/>
        <v>51350726.372943163</v>
      </c>
      <c r="BA268" s="89">
        <v>38982202.253054157</v>
      </c>
      <c r="BB268" s="89">
        <v>12368524.119889002</v>
      </c>
      <c r="BC268" s="89">
        <v>217323609.317996</v>
      </c>
      <c r="BD268" s="89"/>
      <c r="BE268" s="88">
        <v>10115363.082786318</v>
      </c>
      <c r="BF268" s="89">
        <v>1133979.7349420548</v>
      </c>
      <c r="BG268" s="89">
        <v>1033579.1313733738</v>
      </c>
      <c r="BH268" s="89">
        <v>100400.60356868114</v>
      </c>
      <c r="BI268" s="89">
        <v>9863484.2900575101</v>
      </c>
      <c r="BJ268" s="89">
        <v>-882100.94221324753</v>
      </c>
      <c r="BK268" s="88">
        <v>658.11193905999994</v>
      </c>
      <c r="BL268" s="89">
        <v>-109.02906094000001</v>
      </c>
      <c r="BM268" s="89">
        <v>-29.536049360000003</v>
      </c>
      <c r="BN268" s="89">
        <v>-79.493011580000001</v>
      </c>
      <c r="BO268" s="89">
        <v>767.14099999999996</v>
      </c>
      <c r="BP268" s="89"/>
      <c r="BQ268" s="88">
        <v>18741.407348000004</v>
      </c>
      <c r="BR268" s="89">
        <v>-2391.7401119999995</v>
      </c>
      <c r="BS268" s="89">
        <v>-1595.5245119999995</v>
      </c>
      <c r="BT268" s="89">
        <v>-796.21559999999999</v>
      </c>
      <c r="BU268" s="89">
        <v>21133.147460000004</v>
      </c>
      <c r="BV268" s="89"/>
      <c r="BW268" s="88">
        <v>13123.380618641859</v>
      </c>
      <c r="BX268" s="89">
        <v>6193.5428255518573</v>
      </c>
      <c r="BY268" s="89">
        <v>6081.7936294618576</v>
      </c>
      <c r="BZ268" s="89">
        <v>111.74919609000001</v>
      </c>
      <c r="CA268" s="89">
        <v>9162.7941458301211</v>
      </c>
      <c r="CB268" s="89">
        <v>-2232.9563527401178</v>
      </c>
      <c r="CC268" s="88">
        <v>1777.9017222</v>
      </c>
      <c r="CD268" s="89">
        <v>-19.191277799999966</v>
      </c>
      <c r="CE268" s="89">
        <v>146.70331695000002</v>
      </c>
      <c r="CF268" s="89">
        <v>-165.89459474999998</v>
      </c>
      <c r="CG268" s="89">
        <v>1797.0930000000001</v>
      </c>
      <c r="CH268" s="89"/>
      <c r="CI268" s="88">
        <v>126530.8</v>
      </c>
      <c r="CJ268" s="89">
        <v>49604.5</v>
      </c>
      <c r="CK268" s="89">
        <v>31824.9</v>
      </c>
      <c r="CL268" s="89">
        <v>17779.599999999999</v>
      </c>
      <c r="CM268" s="89">
        <v>88379.200000000012</v>
      </c>
      <c r="CN268" s="89">
        <v>-11453</v>
      </c>
      <c r="CO268" s="88">
        <v>93852.4</v>
      </c>
      <c r="CP268" s="89">
        <v>-26725.7</v>
      </c>
      <c r="CQ268" s="89">
        <v>2862.5</v>
      </c>
      <c r="CR268" s="89">
        <v>-29588.2</v>
      </c>
      <c r="CS268" s="89">
        <v>134542.29999999999</v>
      </c>
      <c r="CT268" s="89">
        <v>-13964.2</v>
      </c>
      <c r="CU268" s="88">
        <v>36268.727271455784</v>
      </c>
      <c r="CV268" s="89">
        <v>-17560.869427435471</v>
      </c>
      <c r="CW268" s="89">
        <v>-12882.884036114909</v>
      </c>
      <c r="CX268" s="89">
        <v>-4677.9853913205634</v>
      </c>
      <c r="CY268" s="89">
        <v>53829.596698891255</v>
      </c>
      <c r="CZ268" s="89"/>
      <c r="DA268" s="88">
        <v>120230.48934512777</v>
      </c>
      <c r="DB268" s="89">
        <v>14292.982601645599</v>
      </c>
      <c r="DC268" s="89">
        <v>9540.5686621843997</v>
      </c>
      <c r="DD268" s="89">
        <v>4752.4139394612002</v>
      </c>
      <c r="DE268" s="89">
        <v>164348.5342764362</v>
      </c>
      <c r="DF268" s="89">
        <v>-58411.027532954067</v>
      </c>
      <c r="DG268" s="88">
        <v>347373.85093999997</v>
      </c>
      <c r="DH268" s="89">
        <v>125704.02294</v>
      </c>
      <c r="DI268" s="89"/>
      <c r="DJ268" s="89"/>
      <c r="DK268" s="89">
        <v>239619.704</v>
      </c>
      <c r="DL268" s="89">
        <v>-17949.876</v>
      </c>
      <c r="DM268" s="88">
        <v>6569707.55406636</v>
      </c>
      <c r="DN268" s="89">
        <v>2788334.4900663598</v>
      </c>
      <c r="DO268" s="89">
        <v>2302452.0110663599</v>
      </c>
      <c r="DP268" s="89">
        <v>485882.47900000005</v>
      </c>
      <c r="DQ268" s="89">
        <v>3781373.0639999998</v>
      </c>
      <c r="DR268" s="89"/>
      <c r="DS268" s="88">
        <v>67148.424706837759</v>
      </c>
      <c r="DT268" s="89">
        <v>43649.059367653317</v>
      </c>
      <c r="DU268" s="89">
        <v>42778.502936633318</v>
      </c>
      <c r="DV268" s="89">
        <v>870.55643101999999</v>
      </c>
      <c r="DW268" s="89">
        <v>58217.470508127037</v>
      </c>
      <c r="DX268" s="89">
        <v>-34718.105168942595</v>
      </c>
      <c r="DY268" s="88">
        <v>11605.237447000001</v>
      </c>
      <c r="DZ268" s="89">
        <f t="shared" si="18"/>
        <v>-91.202396999999792</v>
      </c>
      <c r="EA268" s="89">
        <v>1352.9567590000001</v>
      </c>
      <c r="EB268" s="89">
        <v>-1444.1591559999999</v>
      </c>
      <c r="EC268" s="89">
        <v>11696.439844</v>
      </c>
      <c r="ED268" s="89"/>
      <c r="EE268" s="88">
        <v>19586.895320607829</v>
      </c>
      <c r="EF268" s="89">
        <v>-1252.5831708799992</v>
      </c>
      <c r="EG268" s="89">
        <v>-1384.3900604899991</v>
      </c>
      <c r="EH268" s="89">
        <v>131.80688960999998</v>
      </c>
      <c r="EI268" s="89">
        <v>28461.392388409993</v>
      </c>
      <c r="EJ268" s="89">
        <v>-7621.9138969221594</v>
      </c>
      <c r="EK268" s="88">
        <v>26236307.438248392</v>
      </c>
      <c r="EL268" s="89">
        <v>-8812598.946602799</v>
      </c>
      <c r="EM268" s="89">
        <v>-7508520.4532358795</v>
      </c>
      <c r="EN268" s="89">
        <v>-1304078.4933669199</v>
      </c>
      <c r="EO268" s="89">
        <v>35721632.540506691</v>
      </c>
      <c r="EP268" s="89">
        <v>-672726.15565549978</v>
      </c>
      <c r="EQ268" s="88">
        <v>102276.70360482999</v>
      </c>
      <c r="ER268" s="89">
        <v>-38543.636561430001</v>
      </c>
      <c r="ES268" s="89"/>
      <c r="ET268" s="89"/>
      <c r="EU268" s="89">
        <v>191711.86353005999</v>
      </c>
      <c r="EV268" s="89">
        <v>-50891.523363799992</v>
      </c>
      <c r="EW268" s="88">
        <v>821903.49979389424</v>
      </c>
      <c r="EX268" s="89">
        <f t="shared" si="17"/>
        <v>409563.91551704</v>
      </c>
      <c r="EY268" s="89">
        <v>401270.62478672998</v>
      </c>
      <c r="EZ268" s="89">
        <v>8293.2907303100001</v>
      </c>
      <c r="FA268" s="89">
        <v>508638.19196326006</v>
      </c>
      <c r="FB268" s="89">
        <v>-96298.607686405667</v>
      </c>
      <c r="FC268" s="88">
        <v>1677.8170108499999</v>
      </c>
      <c r="FD268" s="89">
        <v>250.78501085000005</v>
      </c>
      <c r="FE268" s="89">
        <v>663.89921557000002</v>
      </c>
      <c r="FF268" s="89">
        <v>-413.11420471999998</v>
      </c>
      <c r="FG268" s="89">
        <v>1427.0319999999999</v>
      </c>
      <c r="FH268" s="89"/>
      <c r="FI268" s="88">
        <v>918.75087879999978</v>
      </c>
      <c r="FJ268" s="89">
        <v>-85.648121199999991</v>
      </c>
      <c r="FK268" s="89">
        <v>52.971838600000005</v>
      </c>
      <c r="FL268" s="89">
        <v>-138.6199598</v>
      </c>
      <c r="FM268" s="89">
        <v>1004.399</v>
      </c>
      <c r="FN268" s="89"/>
      <c r="FO268" s="88">
        <v>3601.2488349300002</v>
      </c>
      <c r="FP268" s="89">
        <v>-258.46816507000005</v>
      </c>
      <c r="FQ268" s="89">
        <v>34.171713269999948</v>
      </c>
      <c r="FR268" s="89">
        <v>-292.63987834</v>
      </c>
      <c r="FS268" s="89">
        <v>3859.7170000000001</v>
      </c>
      <c r="FT268" s="89"/>
      <c r="FU268" s="88">
        <v>3687.7000000000003</v>
      </c>
      <c r="FV268" s="89">
        <v>117.4</v>
      </c>
      <c r="FW268" s="89">
        <v>-5.0999999999999996</v>
      </c>
      <c r="FX268" s="89">
        <v>122.5</v>
      </c>
      <c r="FY268" s="89">
        <v>3464.8</v>
      </c>
      <c r="FZ268" s="89">
        <v>105.5</v>
      </c>
      <c r="GA268" s="88">
        <v>34627.199999999997</v>
      </c>
      <c r="GB268" s="89">
        <v>-7122.6000000000058</v>
      </c>
      <c r="GC268" s="89">
        <v>-14437.9</v>
      </c>
      <c r="GD268" s="89">
        <v>7315.2</v>
      </c>
      <c r="GE268" s="89">
        <v>41749.800000000003</v>
      </c>
      <c r="GF268" s="89"/>
      <c r="GG268" s="88">
        <v>146720.03598187421</v>
      </c>
      <c r="GH268" s="89">
        <v>49325.783180337778</v>
      </c>
      <c r="GI268" s="89">
        <v>46963.644862069486</v>
      </c>
      <c r="GJ268" s="89">
        <v>2362.1383182682903</v>
      </c>
      <c r="GK268" s="89">
        <v>208734.04088701005</v>
      </c>
      <c r="GL268" s="89">
        <v>-111339.78808547361</v>
      </c>
      <c r="GM268" s="88">
        <v>427933.58530699991</v>
      </c>
      <c r="GN268" s="89">
        <v>115841.93679888993</v>
      </c>
      <c r="GO268" s="89">
        <v>103542.06246205994</v>
      </c>
      <c r="GP268" s="89">
        <v>12299.87433683</v>
      </c>
      <c r="GQ268" s="89">
        <v>276718.83587175998</v>
      </c>
      <c r="GR268" s="89">
        <v>35372.812636350005</v>
      </c>
    </row>
    <row r="269" spans="1:200">
      <c r="A269" s="93"/>
      <c r="B269" s="93" t="s">
        <v>490</v>
      </c>
      <c r="C269" s="88">
        <v>2828.8826090099997</v>
      </c>
      <c r="D269" s="87">
        <v>422.23060901000008</v>
      </c>
      <c r="E269" s="87">
        <v>555.26871085000005</v>
      </c>
      <c r="F269" s="87">
        <v>-133.03810184</v>
      </c>
      <c r="G269" s="87">
        <v>2406.652</v>
      </c>
      <c r="H269" s="87"/>
      <c r="I269" s="88">
        <v>470087.30700000003</v>
      </c>
      <c r="J269" s="89">
        <v>420212.74200000003</v>
      </c>
      <c r="K269" s="89"/>
      <c r="L269" s="89"/>
      <c r="M269" s="89">
        <v>313658.83</v>
      </c>
      <c r="N269" s="89">
        <v>-263784.26500000001</v>
      </c>
      <c r="O269" s="88">
        <v>8535.6299999999992</v>
      </c>
      <c r="P269" s="89">
        <v>1950.2</v>
      </c>
      <c r="Q269" s="89">
        <v>1491.4</v>
      </c>
      <c r="R269" s="89">
        <v>458.8</v>
      </c>
      <c r="S269" s="89">
        <v>6663.6</v>
      </c>
      <c r="T269" s="89"/>
      <c r="U269" s="88">
        <v>6914.3207700000003</v>
      </c>
      <c r="V269" s="89">
        <v>1441.3677700000001</v>
      </c>
      <c r="W269" s="89">
        <v>971.25977</v>
      </c>
      <c r="X269" s="89">
        <v>470.108</v>
      </c>
      <c r="Y269" s="89">
        <v>5472.9530000000004</v>
      </c>
      <c r="Z269" s="89"/>
      <c r="AA269" s="88">
        <v>1943.2239999999999</v>
      </c>
      <c r="AB269" s="89">
        <v>190.92099999999999</v>
      </c>
      <c r="AC269" s="89">
        <v>184.375</v>
      </c>
      <c r="AD269" s="89">
        <v>6.5460000000000003</v>
      </c>
      <c r="AE269" s="89">
        <v>1752.3030000000001</v>
      </c>
      <c r="AF269" s="89"/>
      <c r="AG269" s="88">
        <v>75088.898241520059</v>
      </c>
      <c r="AH269" s="89">
        <v>14106.257202844863</v>
      </c>
      <c r="AI269" s="89">
        <v>10837.445848504864</v>
      </c>
      <c r="AJ269" s="89">
        <v>3268.81135434</v>
      </c>
      <c r="AK269" s="89">
        <v>60982.641038675196</v>
      </c>
      <c r="AL269" s="89"/>
      <c r="AM269" s="88">
        <v>4399329</v>
      </c>
      <c r="AN269" s="89">
        <v>1451437</v>
      </c>
      <c r="AO269" s="89">
        <v>1381907</v>
      </c>
      <c r="AP269" s="89">
        <v>69530</v>
      </c>
      <c r="AQ269" s="89">
        <v>2586116</v>
      </c>
      <c r="AR269" s="89">
        <v>361776</v>
      </c>
      <c r="AS269" s="88">
        <v>74640699.479999989</v>
      </c>
      <c r="AT269" s="89">
        <v>-788210.46100000001</v>
      </c>
      <c r="AU269" s="89">
        <v>-788210.46100000001</v>
      </c>
      <c r="AV269" s="89"/>
      <c r="AW269" s="89">
        <v>87956950.549999997</v>
      </c>
      <c r="AX269" s="89">
        <v>-12528040.6</v>
      </c>
      <c r="AY269" s="88">
        <v>271159897.66786164</v>
      </c>
      <c r="AZ269" s="89">
        <f t="shared" si="16"/>
        <v>50838229.342763871</v>
      </c>
      <c r="BA269" s="89">
        <v>38596858.901406869</v>
      </c>
      <c r="BB269" s="89">
        <v>12241370.441357002</v>
      </c>
      <c r="BC269" s="89">
        <v>220321668.3250978</v>
      </c>
      <c r="BD269" s="89"/>
      <c r="BE269" s="88">
        <v>10140941.758810446</v>
      </c>
      <c r="BF269" s="89">
        <v>1051286.6697173626</v>
      </c>
      <c r="BG269" s="89">
        <v>941692.94925807533</v>
      </c>
      <c r="BH269" s="89">
        <v>109593.72045928732</v>
      </c>
      <c r="BI269" s="89">
        <v>9988903.8046218939</v>
      </c>
      <c r="BJ269" s="89">
        <v>-899248.7155288111</v>
      </c>
      <c r="BK269" s="88">
        <v>638.3224055799999</v>
      </c>
      <c r="BL269" s="89">
        <v>-130.10059442000002</v>
      </c>
      <c r="BM269" s="89">
        <v>-40.239582840000004</v>
      </c>
      <c r="BN269" s="89">
        <v>-89.86101158000001</v>
      </c>
      <c r="BO269" s="89">
        <v>768.423</v>
      </c>
      <c r="BP269" s="89"/>
      <c r="BQ269" s="88">
        <v>19076.212318000002</v>
      </c>
      <c r="BR269" s="89">
        <v>-2313.0776739999997</v>
      </c>
      <c r="BS269" s="89">
        <v>-1569.7617569999998</v>
      </c>
      <c r="BT269" s="89">
        <v>-743.31591700000001</v>
      </c>
      <c r="BU269" s="89">
        <v>21389.289992000002</v>
      </c>
      <c r="BV269" s="89"/>
      <c r="BW269" s="88">
        <v>13114.672370351856</v>
      </c>
      <c r="BX269" s="89">
        <v>6287.4958902418584</v>
      </c>
      <c r="BY269" s="89">
        <v>6167.6832099618587</v>
      </c>
      <c r="BZ269" s="89">
        <v>119.81268028</v>
      </c>
      <c r="CA269" s="89">
        <v>9058.4785151101205</v>
      </c>
      <c r="CB269" s="89">
        <v>-2231.302035000122</v>
      </c>
      <c r="CC269" s="88">
        <v>1772.53533786</v>
      </c>
      <c r="CD269" s="89">
        <v>-25.026662139999985</v>
      </c>
      <c r="CE269" s="89">
        <v>147.17593261000002</v>
      </c>
      <c r="CF269" s="89">
        <v>-172.20259475</v>
      </c>
      <c r="CG269" s="89">
        <v>1797.5619999999999</v>
      </c>
      <c r="CH269" s="89"/>
      <c r="CI269" s="88">
        <v>128412.7</v>
      </c>
      <c r="CJ269" s="89">
        <v>49576.3</v>
      </c>
      <c r="CK269" s="89">
        <v>32636.7</v>
      </c>
      <c r="CL269" s="89">
        <v>16939.599999999999</v>
      </c>
      <c r="CM269" s="89">
        <v>90609.700000000012</v>
      </c>
      <c r="CN269" s="89">
        <v>-11773.2</v>
      </c>
      <c r="CO269" s="88">
        <v>94412</v>
      </c>
      <c r="CP269" s="89">
        <v>-28211.5</v>
      </c>
      <c r="CQ269" s="89">
        <v>2281.3000000000002</v>
      </c>
      <c r="CR269" s="89">
        <v>-30492.799999999999</v>
      </c>
      <c r="CS269" s="89">
        <v>137162.29999999999</v>
      </c>
      <c r="CT269" s="89">
        <v>-14538.7</v>
      </c>
      <c r="CU269" s="88">
        <v>34420.438993866919</v>
      </c>
      <c r="CV269" s="89">
        <v>-20449.663338854283</v>
      </c>
      <c r="CW269" s="89">
        <v>-15454.924326080321</v>
      </c>
      <c r="CX269" s="89">
        <v>-4994.7390127739591</v>
      </c>
      <c r="CY269" s="89">
        <v>54870.102332721202</v>
      </c>
      <c r="CZ269" s="89"/>
      <c r="DA269" s="88">
        <v>121072.13054728039</v>
      </c>
      <c r="DB269" s="89">
        <v>13335.914205310211</v>
      </c>
      <c r="DC269" s="89">
        <v>8535.9014486634114</v>
      </c>
      <c r="DD269" s="89">
        <v>4800.0127566468</v>
      </c>
      <c r="DE269" s="89">
        <v>165561.95113710719</v>
      </c>
      <c r="DF269" s="89">
        <v>-57825.734795136996</v>
      </c>
      <c r="DG269" s="88">
        <v>342140.20028000005</v>
      </c>
      <c r="DH269" s="89">
        <v>120101.59828000001</v>
      </c>
      <c r="DI269" s="89"/>
      <c r="DJ269" s="89"/>
      <c r="DK269" s="89">
        <v>242364.728</v>
      </c>
      <c r="DL269" s="89">
        <v>-20326.126</v>
      </c>
      <c r="DM269" s="88">
        <v>6510026.5187641699</v>
      </c>
      <c r="DN269" s="89">
        <v>2760115.9927641698</v>
      </c>
      <c r="DO269" s="89">
        <v>2271421.24676417</v>
      </c>
      <c r="DP269" s="89">
        <v>488694.74599999998</v>
      </c>
      <c r="DQ269" s="89">
        <v>3749910.5260000001</v>
      </c>
      <c r="DR269" s="89"/>
      <c r="DS269" s="88">
        <v>67271.453925552676</v>
      </c>
      <c r="DT269" s="89">
        <v>44091.683954110333</v>
      </c>
      <c r="DU269" s="89">
        <v>43235.304351780331</v>
      </c>
      <c r="DV269" s="89">
        <v>856.37960233000001</v>
      </c>
      <c r="DW269" s="89">
        <v>59057.872751552903</v>
      </c>
      <c r="DX269" s="89">
        <v>-35878.102780110567</v>
      </c>
      <c r="DY269" s="88">
        <v>11494.424720000001</v>
      </c>
      <c r="DZ269" s="89">
        <f t="shared" si="18"/>
        <v>-155.57929800000034</v>
      </c>
      <c r="EA269" s="89">
        <v>1342.2706839999998</v>
      </c>
      <c r="EB269" s="89">
        <v>-1497.8499820000002</v>
      </c>
      <c r="EC269" s="89">
        <v>11650.004018</v>
      </c>
      <c r="ED269" s="89"/>
      <c r="EE269" s="88">
        <v>19786.743890047979</v>
      </c>
      <c r="EF269" s="89">
        <v>-1103.9607325299994</v>
      </c>
      <c r="EG269" s="89">
        <v>-1234.2507373299995</v>
      </c>
      <c r="EH269" s="89">
        <v>130.29000480000002</v>
      </c>
      <c r="EI269" s="89">
        <v>28609.417490970001</v>
      </c>
      <c r="EJ269" s="89">
        <v>-7718.7128683920191</v>
      </c>
      <c r="EK269" s="88">
        <v>25377073.417058919</v>
      </c>
      <c r="EL269" s="89">
        <v>-8379146.3985108286</v>
      </c>
      <c r="EM269" s="89">
        <v>-7078759.0495895687</v>
      </c>
      <c r="EN269" s="89">
        <v>-1300387.3489212601</v>
      </c>
      <c r="EO269" s="89">
        <v>34396974.269293249</v>
      </c>
      <c r="EP269" s="89">
        <v>-640754.45372349978</v>
      </c>
      <c r="EQ269" s="88">
        <v>99529.105817600022</v>
      </c>
      <c r="ER269" s="89">
        <v>-42824.886793960002</v>
      </c>
      <c r="ES269" s="89"/>
      <c r="ET269" s="89"/>
      <c r="EU269" s="89">
        <v>193191.36253163998</v>
      </c>
      <c r="EV269" s="89">
        <v>-50837.369920079946</v>
      </c>
      <c r="EW269" s="88">
        <v>824454.76462090062</v>
      </c>
      <c r="EX269" s="89">
        <f t="shared" si="17"/>
        <v>420974.63604129001</v>
      </c>
      <c r="EY269" s="89">
        <v>404819.95455417002</v>
      </c>
      <c r="EZ269" s="89">
        <v>16154.68148712</v>
      </c>
      <c r="FA269" s="89">
        <v>508655.91657552007</v>
      </c>
      <c r="FB269" s="89">
        <v>-105175.7879959093</v>
      </c>
      <c r="FC269" s="88">
        <v>1666.0056183499998</v>
      </c>
      <c r="FD269" s="89">
        <v>234.40961834999996</v>
      </c>
      <c r="FE269" s="89">
        <v>654.14482306999992</v>
      </c>
      <c r="FF269" s="89">
        <v>-419.73520471999996</v>
      </c>
      <c r="FG269" s="89">
        <v>1431.596</v>
      </c>
      <c r="FH269" s="89"/>
      <c r="FI269" s="88">
        <v>913.24317367000003</v>
      </c>
      <c r="FJ269" s="89">
        <v>-94.843826330000013</v>
      </c>
      <c r="FK269" s="89">
        <v>47.810917109999998</v>
      </c>
      <c r="FL269" s="89">
        <v>-142.65474344</v>
      </c>
      <c r="FM269" s="89">
        <v>1008.087</v>
      </c>
      <c r="FN269" s="89"/>
      <c r="FO269" s="88">
        <v>3587.7384072500004</v>
      </c>
      <c r="FP269" s="89">
        <v>-271.66459275</v>
      </c>
      <c r="FQ269" s="89">
        <v>41.094285590000041</v>
      </c>
      <c r="FR269" s="89">
        <v>-312.75887834000002</v>
      </c>
      <c r="FS269" s="89">
        <v>3859.4029999999998</v>
      </c>
      <c r="FT269" s="89"/>
      <c r="FU269" s="88">
        <v>3916.1</v>
      </c>
      <c r="FV269" s="89">
        <v>289</v>
      </c>
      <c r="FW269" s="89">
        <v>183.1</v>
      </c>
      <c r="FX269" s="89">
        <v>105.9</v>
      </c>
      <c r="FY269" s="89">
        <v>3526.2</v>
      </c>
      <c r="FZ269" s="89">
        <v>100.9</v>
      </c>
      <c r="GA269" s="88">
        <v>34486.699999999997</v>
      </c>
      <c r="GB269" s="89">
        <v>-7228.8000000000029</v>
      </c>
      <c r="GC269" s="89">
        <v>-14705.5</v>
      </c>
      <c r="GD269" s="89">
        <v>7476.7</v>
      </c>
      <c r="GE269" s="89">
        <v>41715.5</v>
      </c>
      <c r="GF269" s="89"/>
      <c r="GG269" s="88">
        <v>146928.23387515324</v>
      </c>
      <c r="GH269" s="89">
        <v>51177.067494618721</v>
      </c>
      <c r="GI269" s="89">
        <v>47976.070895517681</v>
      </c>
      <c r="GJ269" s="89">
        <v>3200.9965991010399</v>
      </c>
      <c r="GK269" s="89">
        <v>206168.72935412082</v>
      </c>
      <c r="GL269" s="89">
        <v>-110417.56297358632</v>
      </c>
      <c r="GM269" s="88">
        <v>442873.68823115993</v>
      </c>
      <c r="GN269" s="89">
        <v>123690.39188270997</v>
      </c>
      <c r="GO269" s="89">
        <v>111316.76435472995</v>
      </c>
      <c r="GP269" s="89">
        <v>12373.627527979999</v>
      </c>
      <c r="GQ269" s="89">
        <v>283393.09376776993</v>
      </c>
      <c r="GR269" s="89">
        <v>35790.202580679994</v>
      </c>
    </row>
    <row r="270" spans="1:200">
      <c r="A270" s="93"/>
      <c r="B270" s="93" t="s">
        <v>491</v>
      </c>
      <c r="C270" s="88">
        <v>2842.3418370000004</v>
      </c>
      <c r="D270" s="87">
        <v>418.05283700000007</v>
      </c>
      <c r="E270" s="87">
        <v>554.51393900000005</v>
      </c>
      <c r="F270" s="87">
        <v>-136.46110200000001</v>
      </c>
      <c r="G270" s="87">
        <v>2424.2890000000002</v>
      </c>
      <c r="H270" s="87"/>
      <c r="I270" s="88">
        <v>480835.20699999994</v>
      </c>
      <c r="J270" s="89">
        <v>416857.32199999999</v>
      </c>
      <c r="K270" s="89"/>
      <c r="L270" s="89"/>
      <c r="M270" s="89">
        <v>318564.89899999998</v>
      </c>
      <c r="N270" s="89">
        <v>-254587.014</v>
      </c>
      <c r="O270" s="88">
        <v>8548.1</v>
      </c>
      <c r="P270" s="89">
        <v>1998.8</v>
      </c>
      <c r="Q270" s="89">
        <v>1524.8</v>
      </c>
      <c r="R270" s="89">
        <v>474</v>
      </c>
      <c r="S270" s="89">
        <v>6667.6</v>
      </c>
      <c r="T270" s="89"/>
      <c r="U270" s="88">
        <v>6883.4866999999995</v>
      </c>
      <c r="V270" s="89">
        <v>1396.1916999999999</v>
      </c>
      <c r="W270" s="89">
        <v>930.82369999999992</v>
      </c>
      <c r="X270" s="89">
        <v>465.36799999999999</v>
      </c>
      <c r="Y270" s="89">
        <v>5487.2950000000001</v>
      </c>
      <c r="Z270" s="89"/>
      <c r="AA270" s="88">
        <v>1941.2860000000001</v>
      </c>
      <c r="AB270" s="89">
        <v>188.64099999999999</v>
      </c>
      <c r="AC270" s="89">
        <v>179.66</v>
      </c>
      <c r="AD270" s="89">
        <v>8.9809999999999999</v>
      </c>
      <c r="AE270" s="89">
        <v>1752.645</v>
      </c>
      <c r="AF270" s="89"/>
      <c r="AG270" s="88">
        <v>76291.39373900283</v>
      </c>
      <c r="AH270" s="89">
        <v>14431.144059663011</v>
      </c>
      <c r="AI270" s="89">
        <v>10695.57300705301</v>
      </c>
      <c r="AJ270" s="89">
        <v>3735.5710526100002</v>
      </c>
      <c r="AK270" s="89">
        <v>61860.249679339824</v>
      </c>
      <c r="AL270" s="89"/>
      <c r="AM270" s="88">
        <v>4432872</v>
      </c>
      <c r="AN270" s="89">
        <v>1437664</v>
      </c>
      <c r="AO270" s="89">
        <v>1364438</v>
      </c>
      <c r="AP270" s="89">
        <v>73226</v>
      </c>
      <c r="AQ270" s="89">
        <v>2627476</v>
      </c>
      <c r="AR270" s="89">
        <v>367730</v>
      </c>
      <c r="AS270" s="88">
        <v>75406524.629999995</v>
      </c>
      <c r="AT270" s="89">
        <v>-810346.97840000002</v>
      </c>
      <c r="AU270" s="89">
        <v>-810346.97840000002</v>
      </c>
      <c r="AV270" s="89"/>
      <c r="AW270" s="89">
        <v>89497204.589999989</v>
      </c>
      <c r="AX270" s="89">
        <v>-13280332.979999999</v>
      </c>
      <c r="AY270" s="88">
        <v>274988983.22885251</v>
      </c>
      <c r="AZ270" s="89">
        <f t="shared" si="16"/>
        <v>52544409.943668678</v>
      </c>
      <c r="BA270" s="89">
        <v>40106502.355380684</v>
      </c>
      <c r="BB270" s="89">
        <v>12437907.588287998</v>
      </c>
      <c r="BC270" s="89">
        <v>222444573.28518382</v>
      </c>
      <c r="BD270" s="89"/>
      <c r="BE270" s="88">
        <v>10172254.131839802</v>
      </c>
      <c r="BF270" s="89">
        <v>1005781.8137339383</v>
      </c>
      <c r="BG270" s="89">
        <v>906916.97727344837</v>
      </c>
      <c r="BH270" s="89">
        <v>98864.836460489925</v>
      </c>
      <c r="BI270" s="89">
        <v>10086839.544992145</v>
      </c>
      <c r="BJ270" s="89">
        <v>-920367.22688628105</v>
      </c>
      <c r="BK270" s="88">
        <v>646.55908524999995</v>
      </c>
      <c r="BL270" s="89">
        <v>-129.97191475</v>
      </c>
      <c r="BM270" s="89">
        <v>-53.371903169999989</v>
      </c>
      <c r="BN270" s="89">
        <v>-76.60001158</v>
      </c>
      <c r="BO270" s="89">
        <v>776.53099999999995</v>
      </c>
      <c r="BP270" s="89"/>
      <c r="BQ270" s="88">
        <v>19262.927067000001</v>
      </c>
      <c r="BR270" s="89">
        <v>-2586.8728290000004</v>
      </c>
      <c r="BS270" s="89">
        <v>-1911.9638390000002</v>
      </c>
      <c r="BT270" s="89">
        <v>-674.90899000000002</v>
      </c>
      <c r="BU270" s="89">
        <v>21849.799896</v>
      </c>
      <c r="BV270" s="89"/>
      <c r="BW270" s="88">
        <v>13333.473531211866</v>
      </c>
      <c r="BX270" s="89">
        <v>6358.0732726518581</v>
      </c>
      <c r="BY270" s="89">
        <v>6230.7589183418586</v>
      </c>
      <c r="BZ270" s="89">
        <v>127.31435431</v>
      </c>
      <c r="CA270" s="89">
        <v>9068.1027192701222</v>
      </c>
      <c r="CB270" s="89">
        <v>-2092.7024607101157</v>
      </c>
      <c r="CC270" s="88">
        <v>1774.24433043</v>
      </c>
      <c r="CD270" s="89">
        <v>-23.776669569999996</v>
      </c>
      <c r="CE270" s="89">
        <v>136.87345811</v>
      </c>
      <c r="CF270" s="89">
        <v>-160.65012768</v>
      </c>
      <c r="CG270" s="89">
        <v>1798.021</v>
      </c>
      <c r="CH270" s="89"/>
      <c r="CI270" s="88">
        <v>129213.1</v>
      </c>
      <c r="CJ270" s="89">
        <v>48035.199999999997</v>
      </c>
      <c r="CK270" s="89">
        <v>31917</v>
      </c>
      <c r="CL270" s="89">
        <v>16118.2</v>
      </c>
      <c r="CM270" s="89">
        <v>92454.1</v>
      </c>
      <c r="CN270" s="89">
        <v>-11276.3</v>
      </c>
      <c r="CO270" s="88">
        <v>92643.1</v>
      </c>
      <c r="CP270" s="89">
        <v>-31118.799999999999</v>
      </c>
      <c r="CQ270" s="89">
        <v>-2635.9</v>
      </c>
      <c r="CR270" s="89">
        <v>-28482.899999999998</v>
      </c>
      <c r="CS270" s="89">
        <v>138509</v>
      </c>
      <c r="CT270" s="89">
        <v>-14747.1</v>
      </c>
      <c r="CU270" s="88">
        <v>33890.747284431884</v>
      </c>
      <c r="CV270" s="89">
        <v>-21791.225324207935</v>
      </c>
      <c r="CW270" s="89">
        <v>-16589.716761115105</v>
      </c>
      <c r="CX270" s="89">
        <v>-5201.5085630928306</v>
      </c>
      <c r="CY270" s="89">
        <v>55681.972608639822</v>
      </c>
      <c r="CZ270" s="89"/>
      <c r="DA270" s="88">
        <v>124799.76555890701</v>
      </c>
      <c r="DB270" s="89">
        <v>15426.168099972409</v>
      </c>
      <c r="DC270" s="89">
        <v>10207.96293415051</v>
      </c>
      <c r="DD270" s="89">
        <v>5218.2051658218998</v>
      </c>
      <c r="DE270" s="89">
        <v>167260.74289982222</v>
      </c>
      <c r="DF270" s="89">
        <v>-57887.145440887594</v>
      </c>
      <c r="DG270" s="88">
        <v>348512.06784999999</v>
      </c>
      <c r="DH270" s="89">
        <v>118559.25684999999</v>
      </c>
      <c r="DI270" s="89"/>
      <c r="DJ270" s="89"/>
      <c r="DK270" s="89">
        <v>246964.50399999999</v>
      </c>
      <c r="DL270" s="89">
        <v>-17011.692999999999</v>
      </c>
      <c r="DM270" s="88">
        <v>6589982.9339660304</v>
      </c>
      <c r="DN270" s="89">
        <v>2761786.4549660301</v>
      </c>
      <c r="DO270" s="89">
        <v>2265349.9989660298</v>
      </c>
      <c r="DP270" s="89">
        <v>496436.45600000001</v>
      </c>
      <c r="DQ270" s="89">
        <v>3828196.4789999998</v>
      </c>
      <c r="DR270" s="89"/>
      <c r="DS270" s="88">
        <v>67885.811121072154</v>
      </c>
      <c r="DT270" s="89">
        <v>43963.615599555473</v>
      </c>
      <c r="DU270" s="89">
        <v>43128.705319315472</v>
      </c>
      <c r="DV270" s="89">
        <v>834.91028023999991</v>
      </c>
      <c r="DW270" s="89">
        <v>58709.621005341316</v>
      </c>
      <c r="DX270" s="89">
        <v>-34787.42548382462</v>
      </c>
      <c r="DY270" s="88">
        <v>11461.307306000001</v>
      </c>
      <c r="DZ270" s="89">
        <f t="shared" si="18"/>
        <v>-213.7111789999999</v>
      </c>
      <c r="EA270" s="89">
        <v>1262.5823359999999</v>
      </c>
      <c r="EB270" s="89">
        <v>-1476.2935149999998</v>
      </c>
      <c r="EC270" s="89">
        <v>11675.018484999999</v>
      </c>
      <c r="ED270" s="89"/>
      <c r="EE270" s="88">
        <v>20117.35166833891</v>
      </c>
      <c r="EF270" s="89">
        <v>-1105.6735032499998</v>
      </c>
      <c r="EG270" s="89">
        <v>-1321.6159273399999</v>
      </c>
      <c r="EH270" s="89">
        <v>215.94242409</v>
      </c>
      <c r="EI270" s="89">
        <v>28876.611914159999</v>
      </c>
      <c r="EJ270" s="89">
        <v>-7653.5867425710903</v>
      </c>
      <c r="EK270" s="88">
        <v>25887834.555675596</v>
      </c>
      <c r="EL270" s="89">
        <v>-8467980.8054710794</v>
      </c>
      <c r="EM270" s="89">
        <v>-7172493.9301621094</v>
      </c>
      <c r="EN270" s="89">
        <v>-1295486.87530897</v>
      </c>
      <c r="EO270" s="89">
        <v>35003131.782498173</v>
      </c>
      <c r="EP270" s="89">
        <v>-647316.42135149986</v>
      </c>
      <c r="EQ270" s="88">
        <v>99556.507606200001</v>
      </c>
      <c r="ER270" s="89">
        <v>-46340.377731380002</v>
      </c>
      <c r="ES270" s="89"/>
      <c r="ET270" s="89"/>
      <c r="EU270" s="89">
        <v>196494.86657613001</v>
      </c>
      <c r="EV270" s="89">
        <v>-50597.981238550012</v>
      </c>
      <c r="EW270" s="88">
        <v>835234.16136177932</v>
      </c>
      <c r="EX270" s="89">
        <f t="shared" si="17"/>
        <v>430342.17431536998</v>
      </c>
      <c r="EY270" s="89">
        <v>413843.16650215996</v>
      </c>
      <c r="EZ270" s="89">
        <v>16499.007813209999</v>
      </c>
      <c r="FA270" s="89">
        <v>509430.38380340999</v>
      </c>
      <c r="FB270" s="89">
        <v>-104538.39675700059</v>
      </c>
      <c r="FC270" s="88">
        <v>1643.7499474399999</v>
      </c>
      <c r="FD270" s="89">
        <v>216.23294744000003</v>
      </c>
      <c r="FE270" s="89">
        <v>653.43015216000003</v>
      </c>
      <c r="FF270" s="89">
        <v>-437.19720472</v>
      </c>
      <c r="FG270" s="89">
        <v>1427.5170000000001</v>
      </c>
      <c r="FH270" s="89"/>
      <c r="FI270" s="88">
        <v>896.04047564999996</v>
      </c>
      <c r="FJ270" s="89">
        <v>-108.88852435000003</v>
      </c>
      <c r="FK270" s="89">
        <v>36.534219099999987</v>
      </c>
      <c r="FL270" s="89">
        <v>-145.42274345000001</v>
      </c>
      <c r="FM270" s="89">
        <v>1004.929</v>
      </c>
      <c r="FN270" s="89"/>
      <c r="FO270" s="88">
        <v>3554.9826551800002</v>
      </c>
      <c r="FP270" s="89">
        <v>-298.62434482000003</v>
      </c>
      <c r="FQ270" s="89">
        <v>-8.2494664800000024</v>
      </c>
      <c r="FR270" s="89">
        <v>-290.37487834000001</v>
      </c>
      <c r="FS270" s="89">
        <v>3853.607</v>
      </c>
      <c r="FT270" s="89"/>
      <c r="FU270" s="88">
        <v>3997.8</v>
      </c>
      <c r="FV270" s="89">
        <v>328.8</v>
      </c>
      <c r="FW270" s="89">
        <v>222</v>
      </c>
      <c r="FX270" s="89">
        <v>106.8</v>
      </c>
      <c r="FY270" s="89">
        <v>3567</v>
      </c>
      <c r="FZ270" s="89">
        <v>102</v>
      </c>
      <c r="GA270" s="88">
        <v>36707.199999999997</v>
      </c>
      <c r="GB270" s="89">
        <v>-5294.1</v>
      </c>
      <c r="GC270" s="89">
        <v>-12844.5</v>
      </c>
      <c r="GD270" s="89">
        <v>7550.4</v>
      </c>
      <c r="GE270" s="89">
        <v>42001.4</v>
      </c>
      <c r="GF270" s="89"/>
      <c r="GG270" s="88">
        <v>164382.2623445869</v>
      </c>
      <c r="GH270" s="89">
        <v>64207.445269050892</v>
      </c>
      <c r="GI270" s="89">
        <v>59839.330507327832</v>
      </c>
      <c r="GJ270" s="89">
        <v>4368.1147617230599</v>
      </c>
      <c r="GK270" s="89">
        <v>212402.0266490051</v>
      </c>
      <c r="GL270" s="89">
        <v>-112227.2095734691</v>
      </c>
      <c r="GM270" s="88">
        <v>469008.55930626986</v>
      </c>
      <c r="GN270" s="89">
        <v>136354.87236037993</v>
      </c>
      <c r="GO270" s="89">
        <v>120336.40564053996</v>
      </c>
      <c r="GP270" s="89">
        <v>16018.466719839998</v>
      </c>
      <c r="GQ270" s="89">
        <v>299830.98224119999</v>
      </c>
      <c r="GR270" s="89">
        <v>32822.704704690004</v>
      </c>
    </row>
    <row r="271" spans="1:200">
      <c r="A271" s="93"/>
      <c r="B271" s="93" t="s">
        <v>492</v>
      </c>
      <c r="C271" s="88">
        <v>2825.2576254600003</v>
      </c>
      <c r="D271" s="87">
        <v>416.03862546000005</v>
      </c>
      <c r="E271" s="87">
        <v>549.90318471</v>
      </c>
      <c r="F271" s="87">
        <v>-133.86455924999999</v>
      </c>
      <c r="G271" s="87">
        <v>2409.2190000000001</v>
      </c>
      <c r="H271" s="87"/>
      <c r="I271" s="88">
        <v>497676.00399999996</v>
      </c>
      <c r="J271" s="89">
        <v>440691.88799999998</v>
      </c>
      <c r="K271" s="89"/>
      <c r="L271" s="89"/>
      <c r="M271" s="89">
        <v>322334.22200000001</v>
      </c>
      <c r="N271" s="89">
        <v>-265350.10600000003</v>
      </c>
      <c r="O271" s="88">
        <v>8716.2999999999993</v>
      </c>
      <c r="P271" s="89">
        <v>2029.9</v>
      </c>
      <c r="Q271" s="89">
        <v>1561.2</v>
      </c>
      <c r="R271" s="89">
        <v>468.7</v>
      </c>
      <c r="S271" s="89">
        <v>6686.4</v>
      </c>
      <c r="T271" s="89"/>
      <c r="U271" s="88">
        <v>7339.1684800000003</v>
      </c>
      <c r="V271" s="89">
        <v>1486.8594800000001</v>
      </c>
      <c r="W271" s="89">
        <v>1020.79748</v>
      </c>
      <c r="X271" s="89">
        <v>466.06200000000001</v>
      </c>
      <c r="Y271" s="89">
        <v>5852.3090000000002</v>
      </c>
      <c r="Z271" s="89"/>
      <c r="AA271" s="88">
        <v>1934.748</v>
      </c>
      <c r="AB271" s="89">
        <v>172.83799999999999</v>
      </c>
      <c r="AC271" s="89">
        <v>163.55699999999999</v>
      </c>
      <c r="AD271" s="89">
        <v>9.2810000000000006</v>
      </c>
      <c r="AE271" s="89">
        <v>1761.91</v>
      </c>
      <c r="AF271" s="89"/>
      <c r="AG271" s="88">
        <v>78145.041428336932</v>
      </c>
      <c r="AH271" s="89">
        <v>14795.431528448229</v>
      </c>
      <c r="AI271" s="89">
        <v>10708.48784140823</v>
      </c>
      <c r="AJ271" s="89">
        <v>4086.9436870399995</v>
      </c>
      <c r="AK271" s="89">
        <v>63349.609899888696</v>
      </c>
      <c r="AL271" s="89"/>
      <c r="AM271" s="88">
        <v>4468996</v>
      </c>
      <c r="AN271" s="89">
        <v>1422125</v>
      </c>
      <c r="AO271" s="89">
        <v>1347592</v>
      </c>
      <c r="AP271" s="89">
        <v>74533</v>
      </c>
      <c r="AQ271" s="89">
        <v>2670725</v>
      </c>
      <c r="AR271" s="89">
        <v>376145</v>
      </c>
      <c r="AS271" s="88">
        <v>77827154.230000004</v>
      </c>
      <c r="AT271" s="89">
        <v>-1013909.92</v>
      </c>
      <c r="AU271" s="89">
        <v>-1013909.92</v>
      </c>
      <c r="AV271" s="89"/>
      <c r="AW271" s="89">
        <v>90564904.989999995</v>
      </c>
      <c r="AX271" s="89">
        <v>-11723840.84</v>
      </c>
      <c r="AY271" s="88">
        <v>276438241.04908949</v>
      </c>
      <c r="AZ271" s="89">
        <f t="shared" si="16"/>
        <v>51668554.758573696</v>
      </c>
      <c r="BA271" s="89">
        <v>39384909.769220702</v>
      </c>
      <c r="BB271" s="89">
        <v>12283644.989352997</v>
      </c>
      <c r="BC271" s="89">
        <v>224769686.29051575</v>
      </c>
      <c r="BD271" s="89"/>
      <c r="BE271" s="88">
        <v>10242554.501677481</v>
      </c>
      <c r="BF271" s="89">
        <v>1020150.013679708</v>
      </c>
      <c r="BG271" s="89">
        <v>921589.29361563129</v>
      </c>
      <c r="BH271" s="89">
        <v>98560.720064076682</v>
      </c>
      <c r="BI271" s="89">
        <v>10155400.420891505</v>
      </c>
      <c r="BJ271" s="89">
        <v>-932995.93289373303</v>
      </c>
      <c r="BK271" s="88">
        <v>649.11081299</v>
      </c>
      <c r="BL271" s="89">
        <v>-133.57118700999999</v>
      </c>
      <c r="BM271" s="89">
        <v>-58.987175439999994</v>
      </c>
      <c r="BN271" s="89">
        <v>-74.584011570000001</v>
      </c>
      <c r="BO271" s="89">
        <v>782.68200000000002</v>
      </c>
      <c r="BP271" s="89"/>
      <c r="BQ271" s="88">
        <v>18996.771594999998</v>
      </c>
      <c r="BR271" s="89">
        <v>-3330.3775409999998</v>
      </c>
      <c r="BS271" s="89">
        <v>-2366.9582030000001</v>
      </c>
      <c r="BT271" s="89">
        <v>-963.41933799999981</v>
      </c>
      <c r="BU271" s="89">
        <v>22327.149136</v>
      </c>
      <c r="BV271" s="89"/>
      <c r="BW271" s="88">
        <v>13314.621916321859</v>
      </c>
      <c r="BX271" s="89">
        <v>6246.8286177918581</v>
      </c>
      <c r="BY271" s="89">
        <v>6138.599478621858</v>
      </c>
      <c r="BZ271" s="89">
        <v>108.22913917</v>
      </c>
      <c r="CA271" s="89">
        <v>9159.2229571401222</v>
      </c>
      <c r="CB271" s="89">
        <v>-2091.4296586101218</v>
      </c>
      <c r="CC271" s="88">
        <v>1790.2347719499999</v>
      </c>
      <c r="CD271" s="89">
        <v>-2.0672280500000113</v>
      </c>
      <c r="CE271" s="89">
        <v>141.59990172999997</v>
      </c>
      <c r="CF271" s="89">
        <v>-143.66712977999998</v>
      </c>
      <c r="CG271" s="89">
        <v>1792.3019999999999</v>
      </c>
      <c r="CH271" s="89"/>
      <c r="CI271" s="88">
        <v>128265.5</v>
      </c>
      <c r="CJ271" s="89">
        <v>46057.9</v>
      </c>
      <c r="CK271" s="89">
        <v>30560.5</v>
      </c>
      <c r="CL271" s="89">
        <v>15497.4</v>
      </c>
      <c r="CM271" s="89">
        <v>94775.1</v>
      </c>
      <c r="CN271" s="89">
        <v>-12567.6</v>
      </c>
      <c r="CO271" s="88">
        <v>100517.2</v>
      </c>
      <c r="CP271" s="89">
        <v>-27676.9</v>
      </c>
      <c r="CQ271" s="89">
        <v>3048.2</v>
      </c>
      <c r="CR271" s="89">
        <v>-30725.100000000002</v>
      </c>
      <c r="CS271" s="89">
        <v>143439.5</v>
      </c>
      <c r="CT271" s="89">
        <v>-15245.4</v>
      </c>
      <c r="CU271" s="88">
        <v>35931.656529458385</v>
      </c>
      <c r="CV271" s="89">
        <v>-21633.229722797099</v>
      </c>
      <c r="CW271" s="89">
        <v>-16515.788007272022</v>
      </c>
      <c r="CX271" s="89">
        <v>-5117.4417155250803</v>
      </c>
      <c r="CY271" s="89">
        <v>57564.886252255485</v>
      </c>
      <c r="CZ271" s="89"/>
      <c r="DA271" s="88">
        <v>123666.09884301286</v>
      </c>
      <c r="DB271" s="89">
        <v>12277.77639375949</v>
      </c>
      <c r="DC271" s="89">
        <v>7063.0270805394903</v>
      </c>
      <c r="DD271" s="89">
        <v>5214.7493132200007</v>
      </c>
      <c r="DE271" s="89">
        <v>169841.0665629885</v>
      </c>
      <c r="DF271" s="89">
        <v>-58452.744113735112</v>
      </c>
      <c r="DG271" s="88">
        <v>347782.55605741229</v>
      </c>
      <c r="DH271" s="89">
        <v>117668.21505741232</v>
      </c>
      <c r="DI271" s="89"/>
      <c r="DJ271" s="89"/>
      <c r="DK271" s="89">
        <v>246561.649</v>
      </c>
      <c r="DL271" s="89">
        <v>-16447.308000000001</v>
      </c>
      <c r="DM271" s="88">
        <v>6623588.75694519</v>
      </c>
      <c r="DN271" s="89">
        <v>2790992.7279451899</v>
      </c>
      <c r="DO271" s="89">
        <v>2291722.0529451901</v>
      </c>
      <c r="DP271" s="89">
        <v>499270.67499999999</v>
      </c>
      <c r="DQ271" s="89">
        <v>3832596.0290000001</v>
      </c>
      <c r="DR271" s="89"/>
      <c r="DS271" s="88">
        <v>66909.649727738899</v>
      </c>
      <c r="DT271" s="89">
        <v>42726.630882407029</v>
      </c>
      <c r="DU271" s="89">
        <v>41915.887585997029</v>
      </c>
      <c r="DV271" s="89">
        <v>810.74329641000008</v>
      </c>
      <c r="DW271" s="89">
        <v>58526.531405296933</v>
      </c>
      <c r="DX271" s="89">
        <v>-34343.512559965049</v>
      </c>
      <c r="DY271" s="88">
        <v>11475.000582000001</v>
      </c>
      <c r="DZ271" s="89">
        <f t="shared" si="18"/>
        <v>-218.95250999999985</v>
      </c>
      <c r="EA271" s="89">
        <v>1238.6843980000001</v>
      </c>
      <c r="EB271" s="89">
        <v>-1457.6369079999999</v>
      </c>
      <c r="EC271" s="89">
        <v>11693.953092</v>
      </c>
      <c r="ED271" s="89"/>
      <c r="EE271" s="88">
        <v>20430.677555853901</v>
      </c>
      <c r="EF271" s="89">
        <v>-1167.6520043900005</v>
      </c>
      <c r="EG271" s="89">
        <v>-1297.0957160700004</v>
      </c>
      <c r="EH271" s="89">
        <v>129.44371168000001</v>
      </c>
      <c r="EI271" s="89">
        <v>29226.90359709</v>
      </c>
      <c r="EJ271" s="89">
        <v>-7628.5740368460993</v>
      </c>
      <c r="EK271" s="88">
        <v>25611579.249714438</v>
      </c>
      <c r="EL271" s="89">
        <v>-8750436.2453827281</v>
      </c>
      <c r="EM271" s="89">
        <v>-7280831.7272885889</v>
      </c>
      <c r="EN271" s="89">
        <v>-1469604.5180941399</v>
      </c>
      <c r="EO271" s="89">
        <v>35005878.737047195</v>
      </c>
      <c r="EP271" s="89">
        <v>-643863.24195002997</v>
      </c>
      <c r="EQ271" s="88">
        <v>99515.315595039996</v>
      </c>
      <c r="ER271" s="89">
        <v>-49559.057520079994</v>
      </c>
      <c r="ES271" s="89"/>
      <c r="ET271" s="89"/>
      <c r="EU271" s="89">
        <v>197208.47842172001</v>
      </c>
      <c r="EV271" s="89">
        <v>-48134.105306600017</v>
      </c>
      <c r="EW271" s="88">
        <v>840254.33033895702</v>
      </c>
      <c r="EX271" s="89">
        <f t="shared" si="17"/>
        <v>439194.97416341997</v>
      </c>
      <c r="EY271" s="89">
        <v>422551.49350768997</v>
      </c>
      <c r="EZ271" s="89">
        <v>16643.48065573</v>
      </c>
      <c r="FA271" s="89">
        <v>505141.68249174999</v>
      </c>
      <c r="FB271" s="89">
        <v>-104082.32631621294</v>
      </c>
      <c r="FC271" s="88">
        <v>1623.8817217399999</v>
      </c>
      <c r="FD271" s="89">
        <v>187.32472174000003</v>
      </c>
      <c r="FE271" s="89">
        <v>637.80085969000004</v>
      </c>
      <c r="FF271" s="89">
        <v>-450.47613795000001</v>
      </c>
      <c r="FG271" s="89">
        <v>1436.557</v>
      </c>
      <c r="FH271" s="89"/>
      <c r="FI271" s="88">
        <v>872.90697684999998</v>
      </c>
      <c r="FJ271" s="89">
        <v>-133.48902315000001</v>
      </c>
      <c r="FK271" s="89">
        <v>-0.89727970000001367</v>
      </c>
      <c r="FL271" s="89">
        <v>-132.59174345</v>
      </c>
      <c r="FM271" s="89">
        <v>1006.396</v>
      </c>
      <c r="FN271" s="89"/>
      <c r="FO271" s="88">
        <v>3574.7441218399999</v>
      </c>
      <c r="FP271" s="89">
        <v>-283.65987816000006</v>
      </c>
      <c r="FQ271" s="89">
        <v>8.8230001799999744</v>
      </c>
      <c r="FR271" s="89">
        <v>-292.48287834000001</v>
      </c>
      <c r="FS271" s="89">
        <v>3858.404</v>
      </c>
      <c r="FT271" s="89"/>
      <c r="FU271" s="88">
        <v>3944.5999999999995</v>
      </c>
      <c r="FV271" s="89">
        <v>228.2</v>
      </c>
      <c r="FW271" s="89">
        <v>124.8</v>
      </c>
      <c r="FX271" s="89">
        <v>103.4</v>
      </c>
      <c r="FY271" s="89">
        <v>3614.7</v>
      </c>
      <c r="FZ271" s="89">
        <v>101.7</v>
      </c>
      <c r="GA271" s="88">
        <v>35998.199999999997</v>
      </c>
      <c r="GB271" s="89">
        <v>-5778.2999999999993</v>
      </c>
      <c r="GC271" s="89">
        <v>-13319.3</v>
      </c>
      <c r="GD271" s="89">
        <v>7541</v>
      </c>
      <c r="GE271" s="89">
        <v>41776.400000000001</v>
      </c>
      <c r="GF271" s="89"/>
      <c r="GG271" s="88">
        <v>159362.77244284438</v>
      </c>
      <c r="GH271" s="89">
        <v>59492.195400864272</v>
      </c>
      <c r="GI271" s="89">
        <v>54281.232284846032</v>
      </c>
      <c r="GJ271" s="89">
        <v>5210.9631160182398</v>
      </c>
      <c r="GK271" s="89">
        <v>216657.72987686007</v>
      </c>
      <c r="GL271" s="89">
        <v>-116787.15283487996</v>
      </c>
      <c r="GM271" s="88">
        <v>480554.8163041299</v>
      </c>
      <c r="GN271" s="89">
        <v>139665.53027389996</v>
      </c>
      <c r="GO271" s="89">
        <v>124101.93546603997</v>
      </c>
      <c r="GP271" s="89">
        <v>15563.594807859999</v>
      </c>
      <c r="GQ271" s="89">
        <v>307879.07599529991</v>
      </c>
      <c r="GR271" s="89">
        <v>33010.210034930002</v>
      </c>
    </row>
    <row r="272" spans="1:200">
      <c r="A272" s="93"/>
      <c r="B272" s="93" t="s">
        <v>493</v>
      </c>
      <c r="C272" s="88">
        <v>2840.1605490000002</v>
      </c>
      <c r="D272" s="87">
        <v>416.97954900000002</v>
      </c>
      <c r="E272" s="87">
        <v>554.08510799999999</v>
      </c>
      <c r="F272" s="87">
        <v>-137.105559</v>
      </c>
      <c r="G272" s="87">
        <v>2423.181</v>
      </c>
      <c r="H272" s="87"/>
      <c r="I272" s="88">
        <v>509328.53700000001</v>
      </c>
      <c r="J272" s="89">
        <v>448577.62599999999</v>
      </c>
      <c r="K272" s="89"/>
      <c r="L272" s="89"/>
      <c r="M272" s="89">
        <v>328330.67800000001</v>
      </c>
      <c r="N272" s="89">
        <v>-267579.76699999999</v>
      </c>
      <c r="O272" s="88">
        <v>8687.2000000000007</v>
      </c>
      <c r="P272" s="89">
        <v>2028.2</v>
      </c>
      <c r="Q272" s="89">
        <v>1590.9</v>
      </c>
      <c r="R272" s="89">
        <v>437.3</v>
      </c>
      <c r="S272" s="89">
        <v>6659</v>
      </c>
      <c r="T272" s="89"/>
      <c r="U272" s="88">
        <v>7327.5856700000004</v>
      </c>
      <c r="V272" s="89">
        <v>1465.4526700000001</v>
      </c>
      <c r="W272" s="89">
        <v>1007.6716700000001</v>
      </c>
      <c r="X272" s="89">
        <v>457.78100000000001</v>
      </c>
      <c r="Y272" s="89">
        <v>5862.1329999999998</v>
      </c>
      <c r="Z272" s="89"/>
      <c r="AA272" s="88">
        <v>1916.4839999999999</v>
      </c>
      <c r="AB272" s="89">
        <v>154.10300000000001</v>
      </c>
      <c r="AC272" s="89">
        <v>143.32900000000001</v>
      </c>
      <c r="AD272" s="89">
        <v>10.773999999999999</v>
      </c>
      <c r="AE272" s="89">
        <v>1762.3810000000001</v>
      </c>
      <c r="AF272" s="89"/>
      <c r="AG272" s="88">
        <v>79543.654756599353</v>
      </c>
      <c r="AH272" s="89">
        <v>14855.584516139174</v>
      </c>
      <c r="AI272" s="89">
        <v>10727.735016419174</v>
      </c>
      <c r="AJ272" s="89">
        <v>4127.8494997199996</v>
      </c>
      <c r="AK272" s="89">
        <v>64688.070240460176</v>
      </c>
      <c r="AL272" s="89"/>
      <c r="AM272" s="88">
        <v>4479812</v>
      </c>
      <c r="AN272" s="89">
        <v>1402883</v>
      </c>
      <c r="AO272" s="89">
        <v>1324646</v>
      </c>
      <c r="AP272" s="89">
        <v>78237</v>
      </c>
      <c r="AQ272" s="89">
        <v>2709780</v>
      </c>
      <c r="AR272" s="89">
        <v>367149</v>
      </c>
      <c r="AS272" s="88">
        <v>77252879.5</v>
      </c>
      <c r="AT272" s="89">
        <v>-576577.16449999996</v>
      </c>
      <c r="AU272" s="89">
        <v>-576577.16449999996</v>
      </c>
      <c r="AV272" s="89"/>
      <c r="AW272" s="89">
        <v>92685401.11999999</v>
      </c>
      <c r="AX272" s="89">
        <v>-14855944.460000001</v>
      </c>
      <c r="AY272" s="88">
        <v>280032206.97707623</v>
      </c>
      <c r="AZ272" s="89">
        <f t="shared" si="16"/>
        <v>51569549.542114459</v>
      </c>
      <c r="BA272" s="89">
        <v>39502067.364710458</v>
      </c>
      <c r="BB272" s="89">
        <v>12067482.177403999</v>
      </c>
      <c r="BC272" s="89">
        <v>228462657.4349618</v>
      </c>
      <c r="BD272" s="89"/>
      <c r="BE272" s="88">
        <v>10313866.240578985</v>
      </c>
      <c r="BF272" s="89">
        <v>1018906.333785561</v>
      </c>
      <c r="BG272" s="89">
        <v>923763.6139619773</v>
      </c>
      <c r="BH272" s="89">
        <v>95142.719823583742</v>
      </c>
      <c r="BI272" s="89">
        <v>10239159.816325814</v>
      </c>
      <c r="BJ272" s="89">
        <v>-944199.90953239123</v>
      </c>
      <c r="BK272" s="88">
        <v>633.28157299999998</v>
      </c>
      <c r="BL272" s="89">
        <v>-153.27242700000002</v>
      </c>
      <c r="BM272" s="89">
        <v>-19.24641543000001</v>
      </c>
      <c r="BN272" s="89">
        <v>-134.02601157000001</v>
      </c>
      <c r="BO272" s="89">
        <v>786.55399999999997</v>
      </c>
      <c r="BP272" s="89"/>
      <c r="BQ272" s="88">
        <v>19132.268014999998</v>
      </c>
      <c r="BR272" s="89">
        <v>-3502.8860079999999</v>
      </c>
      <c r="BS272" s="89">
        <v>-2573.5778530000002</v>
      </c>
      <c r="BT272" s="89">
        <v>-929.30815499999983</v>
      </c>
      <c r="BU272" s="89">
        <v>22635.154022999999</v>
      </c>
      <c r="BV272" s="89"/>
      <c r="BW272" s="88">
        <v>13377.635949651858</v>
      </c>
      <c r="BX272" s="89">
        <v>6290.582502971858</v>
      </c>
      <c r="BY272" s="89">
        <v>6177.043379931858</v>
      </c>
      <c r="BZ272" s="89">
        <v>113.53912303999999</v>
      </c>
      <c r="CA272" s="89">
        <v>9124.4463070501206</v>
      </c>
      <c r="CB272" s="89">
        <v>-2037.3928603701183</v>
      </c>
      <c r="CC272" s="88">
        <v>1793.4162812599998</v>
      </c>
      <c r="CD272" s="89">
        <v>-5.2047187399999757</v>
      </c>
      <c r="CE272" s="89">
        <v>144.76741104000001</v>
      </c>
      <c r="CF272" s="89">
        <v>-149.97212977999999</v>
      </c>
      <c r="CG272" s="89">
        <v>1798.6210000000001</v>
      </c>
      <c r="CH272" s="89"/>
      <c r="CI272" s="88">
        <v>128876.8</v>
      </c>
      <c r="CJ272" s="89">
        <v>45048.7</v>
      </c>
      <c r="CK272" s="89">
        <v>30203.200000000001</v>
      </c>
      <c r="CL272" s="89">
        <v>14845.5</v>
      </c>
      <c r="CM272" s="89">
        <v>96696.3</v>
      </c>
      <c r="CN272" s="89">
        <v>-12868.1</v>
      </c>
      <c r="CO272" s="88">
        <v>105830.5</v>
      </c>
      <c r="CP272" s="89">
        <v>-23555.4</v>
      </c>
      <c r="CQ272" s="89">
        <v>9230.4</v>
      </c>
      <c r="CR272" s="89">
        <v>-32785.800000000003</v>
      </c>
      <c r="CS272" s="89">
        <v>144654.5</v>
      </c>
      <c r="CT272" s="89">
        <v>-15268.7</v>
      </c>
      <c r="CU272" s="88">
        <v>35659.715968175646</v>
      </c>
      <c r="CV272" s="89">
        <v>-22842.700232537201</v>
      </c>
      <c r="CW272" s="89">
        <v>-17555.034781632072</v>
      </c>
      <c r="CX272" s="89">
        <v>-5287.6654509051268</v>
      </c>
      <c r="CY272" s="89">
        <v>58502.416200712847</v>
      </c>
      <c r="CZ272" s="89"/>
      <c r="DA272" s="88">
        <v>125498.90893782064</v>
      </c>
      <c r="DB272" s="89">
        <v>12543.937580928397</v>
      </c>
      <c r="DC272" s="89">
        <v>7334.1242889857967</v>
      </c>
      <c r="DD272" s="89">
        <v>5209.8132919426007</v>
      </c>
      <c r="DE272" s="89">
        <v>171684.13917267841</v>
      </c>
      <c r="DF272" s="89">
        <v>-58729.167815786182</v>
      </c>
      <c r="DG272" s="88">
        <v>344344.37944336014</v>
      </c>
      <c r="DH272" s="89">
        <v>110191.36344336014</v>
      </c>
      <c r="DI272" s="89"/>
      <c r="DJ272" s="89"/>
      <c r="DK272" s="89">
        <v>254193.58100000001</v>
      </c>
      <c r="DL272" s="89">
        <v>-20040.564999999999</v>
      </c>
      <c r="DM272" s="88">
        <v>6691059.2468072502</v>
      </c>
      <c r="DN272" s="89">
        <v>2748478.8788072499</v>
      </c>
      <c r="DO272" s="89">
        <v>2245729.0698072501</v>
      </c>
      <c r="DP272" s="89">
        <v>502749.80900000001</v>
      </c>
      <c r="DQ272" s="89">
        <v>3942580.3679999998</v>
      </c>
      <c r="DR272" s="89"/>
      <c r="DS272" s="88">
        <v>70201.231215029125</v>
      </c>
      <c r="DT272" s="89">
        <v>42857.738117385539</v>
      </c>
      <c r="DU272" s="89">
        <v>42049.349877835542</v>
      </c>
      <c r="DV272" s="89">
        <v>808.38823954999998</v>
      </c>
      <c r="DW272" s="89">
        <v>60386.360588503347</v>
      </c>
      <c r="DX272" s="89">
        <v>-33042.867490859775</v>
      </c>
      <c r="DY272" s="88">
        <v>11574.796347</v>
      </c>
      <c r="DZ272" s="89">
        <f t="shared" si="18"/>
        <v>-204.53074500000002</v>
      </c>
      <c r="EA272" s="89">
        <v>1356.642163</v>
      </c>
      <c r="EB272" s="89">
        <v>-1561.172908</v>
      </c>
      <c r="EC272" s="89">
        <v>11779.327092</v>
      </c>
      <c r="ED272" s="89"/>
      <c r="EE272" s="88">
        <v>20656.156229691413</v>
      </c>
      <c r="EF272" s="89">
        <v>-1161.9861852099991</v>
      </c>
      <c r="EG272" s="89">
        <v>-1292.606392319999</v>
      </c>
      <c r="EH272" s="89">
        <v>130.62020711</v>
      </c>
      <c r="EI272" s="89">
        <v>29626.562119849994</v>
      </c>
      <c r="EJ272" s="89">
        <v>-7808.4197049485792</v>
      </c>
      <c r="EK272" s="88">
        <v>26382980.494555358</v>
      </c>
      <c r="EL272" s="89">
        <v>-8797401.4678607881</v>
      </c>
      <c r="EM272" s="89">
        <v>-7413961.277607549</v>
      </c>
      <c r="EN272" s="89">
        <v>-1383440.1902532401</v>
      </c>
      <c r="EO272" s="89">
        <v>35833166.350229047</v>
      </c>
      <c r="EP272" s="89">
        <v>-652784.38781290001</v>
      </c>
      <c r="EQ272" s="88">
        <v>98722.95602228996</v>
      </c>
      <c r="ER272" s="89">
        <v>-52964.135155309996</v>
      </c>
      <c r="ES272" s="89"/>
      <c r="ET272" s="89"/>
      <c r="EU272" s="89">
        <v>200555.3543716</v>
      </c>
      <c r="EV272" s="89">
        <v>-48868.263194000028</v>
      </c>
      <c r="EW272" s="88">
        <v>837163.70098261826</v>
      </c>
      <c r="EX272" s="89">
        <f t="shared" si="17"/>
        <v>471096.90514411993</v>
      </c>
      <c r="EY272" s="89">
        <v>454517.44441427995</v>
      </c>
      <c r="EZ272" s="89">
        <v>16579.460729839997</v>
      </c>
      <c r="FA272" s="89">
        <v>503893.12511676998</v>
      </c>
      <c r="FB272" s="89">
        <v>-137826.32927827176</v>
      </c>
      <c r="FC272" s="88">
        <v>1617.7381457000001</v>
      </c>
      <c r="FD272" s="89">
        <v>183.79614570000001</v>
      </c>
      <c r="FE272" s="89">
        <v>643.66028365</v>
      </c>
      <c r="FF272" s="89">
        <v>-459.86413794999999</v>
      </c>
      <c r="FG272" s="89">
        <v>1433.942</v>
      </c>
      <c r="FH272" s="89"/>
      <c r="FI272" s="88">
        <v>887.26576279999995</v>
      </c>
      <c r="FJ272" s="89">
        <v>-122.90423720000001</v>
      </c>
      <c r="FK272" s="89">
        <v>16.835506250000005</v>
      </c>
      <c r="FL272" s="89">
        <v>-139.73974345000002</v>
      </c>
      <c r="FM272" s="89">
        <v>1010.17</v>
      </c>
      <c r="FN272" s="89"/>
      <c r="FO272" s="88">
        <v>3753.2625608900003</v>
      </c>
      <c r="FP272" s="89">
        <v>-266.11943911000009</v>
      </c>
      <c r="FQ272" s="89">
        <v>41.627439229999958</v>
      </c>
      <c r="FR272" s="89">
        <v>-307.74687834000002</v>
      </c>
      <c r="FS272" s="89">
        <v>4019.3820000000001</v>
      </c>
      <c r="FT272" s="89"/>
      <c r="FU272" s="88">
        <v>4017</v>
      </c>
      <c r="FV272" s="89">
        <v>283.89999999999998</v>
      </c>
      <c r="FW272" s="89">
        <v>181.7</v>
      </c>
      <c r="FX272" s="89">
        <v>102.2</v>
      </c>
      <c r="FY272" s="89">
        <v>3631.7</v>
      </c>
      <c r="FZ272" s="89">
        <v>101.4</v>
      </c>
      <c r="GA272" s="88">
        <v>37990.6</v>
      </c>
      <c r="GB272" s="89">
        <v>-4127.4000000000005</v>
      </c>
      <c r="GC272" s="89">
        <v>-11750.2</v>
      </c>
      <c r="GD272" s="89">
        <v>7622.8</v>
      </c>
      <c r="GE272" s="89">
        <v>42118.1</v>
      </c>
      <c r="GF272" s="89"/>
      <c r="GG272" s="88">
        <v>166642.76251261018</v>
      </c>
      <c r="GH272" s="89">
        <v>56956.954063669342</v>
      </c>
      <c r="GI272" s="89">
        <v>51157.841942685045</v>
      </c>
      <c r="GJ272" s="89">
        <v>5799.1121209843004</v>
      </c>
      <c r="GK272" s="89">
        <v>231017.38407811761</v>
      </c>
      <c r="GL272" s="89">
        <v>-121331.57562917678</v>
      </c>
      <c r="GM272" s="88">
        <v>515294.06162231974</v>
      </c>
      <c r="GN272" s="89">
        <v>157572.93092671994</v>
      </c>
      <c r="GO272" s="89">
        <v>129652.76179133994</v>
      </c>
      <c r="GP272" s="89">
        <v>27920.169135379998</v>
      </c>
      <c r="GQ272" s="89">
        <v>320629.48014690983</v>
      </c>
      <c r="GR272" s="89">
        <v>37091.650548690006</v>
      </c>
    </row>
    <row r="273" spans="1:200">
      <c r="B273" s="93" t="s">
        <v>494</v>
      </c>
      <c r="C273" s="88">
        <v>2801.6615356800003</v>
      </c>
      <c r="D273" s="87">
        <v>383.98553568</v>
      </c>
      <c r="E273" s="87">
        <v>529.23809492999999</v>
      </c>
      <c r="F273" s="87">
        <v>-145.25255924999999</v>
      </c>
      <c r="G273" s="87">
        <v>2417.6759999999999</v>
      </c>
      <c r="H273" s="87"/>
      <c r="I273" s="88">
        <v>522990.60700000002</v>
      </c>
      <c r="J273" s="89">
        <v>444386.33399999997</v>
      </c>
      <c r="K273" s="89"/>
      <c r="L273" s="89"/>
      <c r="M273" s="89">
        <v>338227.14199999999</v>
      </c>
      <c r="N273" s="89">
        <v>-259622.86900000001</v>
      </c>
      <c r="O273" s="88">
        <v>8698.7999999999993</v>
      </c>
      <c r="P273" s="89">
        <v>2042.8000000000002</v>
      </c>
      <c r="Q273" s="89">
        <v>1624.9</v>
      </c>
      <c r="R273" s="89">
        <v>417.9</v>
      </c>
      <c r="S273" s="89">
        <v>6656</v>
      </c>
      <c r="T273" s="89"/>
      <c r="U273" s="88">
        <v>7399.4821600000005</v>
      </c>
      <c r="V273" s="89">
        <v>1530.1021600000001</v>
      </c>
      <c r="W273" s="89">
        <v>1044.7001600000001</v>
      </c>
      <c r="X273" s="89">
        <v>485.40200000000004</v>
      </c>
      <c r="Y273" s="89">
        <v>5869.38</v>
      </c>
      <c r="Z273" s="89"/>
      <c r="AA273" s="88">
        <v>1927.25</v>
      </c>
      <c r="AB273" s="89">
        <v>157.79400000000001</v>
      </c>
      <c r="AC273" s="89">
        <v>148.179</v>
      </c>
      <c r="AD273" s="89">
        <v>9.6150000000000002</v>
      </c>
      <c r="AE273" s="89">
        <v>1769.4559999999999</v>
      </c>
      <c r="AF273" s="89"/>
      <c r="AG273" s="88">
        <v>80752.003992293598</v>
      </c>
      <c r="AH273" s="89">
        <v>14979.42996406659</v>
      </c>
      <c r="AI273" s="89">
        <v>10657.168254486593</v>
      </c>
      <c r="AJ273" s="89">
        <v>4322.2617095799997</v>
      </c>
      <c r="AK273" s="89">
        <v>65772.574028227013</v>
      </c>
      <c r="AL273" s="89"/>
      <c r="AM273" s="88">
        <v>4552039</v>
      </c>
      <c r="AN273" s="89">
        <v>1415674</v>
      </c>
      <c r="AO273" s="89">
        <v>1335873</v>
      </c>
      <c r="AP273" s="89">
        <v>79801</v>
      </c>
      <c r="AQ273" s="89">
        <v>2761310</v>
      </c>
      <c r="AR273" s="89">
        <v>375054</v>
      </c>
      <c r="AS273" s="88">
        <v>76317080.329999998</v>
      </c>
      <c r="AT273" s="89">
        <v>-634082.50390000001</v>
      </c>
      <c r="AU273" s="89">
        <v>-634082.50390000001</v>
      </c>
      <c r="AV273" s="89"/>
      <c r="AW273" s="89">
        <v>93250054.5</v>
      </c>
      <c r="AX273" s="89">
        <v>-16298891.670000002</v>
      </c>
      <c r="AY273" s="88">
        <v>283986744.74999714</v>
      </c>
      <c r="AZ273" s="89">
        <f t="shared" si="16"/>
        <v>52319163.908508569</v>
      </c>
      <c r="BA273" s="89">
        <v>40326085.00915157</v>
      </c>
      <c r="BB273" s="89">
        <v>11993078.899356999</v>
      </c>
      <c r="BC273" s="89">
        <v>231667580.8414886</v>
      </c>
      <c r="BD273" s="89"/>
      <c r="BE273" s="88">
        <v>10372878.207370974</v>
      </c>
      <c r="BF273" s="89">
        <v>968938.659847075</v>
      </c>
      <c r="BG273" s="89">
        <v>879909.20545748505</v>
      </c>
      <c r="BH273" s="89">
        <v>89029.454389589926</v>
      </c>
      <c r="BI273" s="89">
        <v>10339383.804105483</v>
      </c>
      <c r="BJ273" s="89">
        <v>-935444.25658158143</v>
      </c>
      <c r="BK273" s="88">
        <v>637.37242576000006</v>
      </c>
      <c r="BL273" s="89">
        <v>-150.28057423999996</v>
      </c>
      <c r="BM273" s="89">
        <v>-15.543562669999984</v>
      </c>
      <c r="BN273" s="89">
        <v>-134.73701156999999</v>
      </c>
      <c r="BO273" s="89">
        <v>787.65300000000002</v>
      </c>
      <c r="BP273" s="89"/>
      <c r="BQ273" s="88">
        <v>19295.544567000001</v>
      </c>
      <c r="BR273" s="89">
        <v>-3698.4823689999998</v>
      </c>
      <c r="BS273" s="89">
        <v>-2783.413407</v>
      </c>
      <c r="BT273" s="89">
        <v>-915.06896199999994</v>
      </c>
      <c r="BU273" s="89">
        <v>22994.026936000002</v>
      </c>
      <c r="BV273" s="89"/>
      <c r="BW273" s="88">
        <v>13631.321680461861</v>
      </c>
      <c r="BX273" s="89">
        <v>6425.317958751858</v>
      </c>
      <c r="BY273" s="89">
        <v>6305.4053616818583</v>
      </c>
      <c r="BZ273" s="89">
        <v>119.9125970699998</v>
      </c>
      <c r="CA273" s="89">
        <v>9170.3915736701201</v>
      </c>
      <c r="CB273" s="89">
        <v>-1964.387851960118</v>
      </c>
      <c r="CC273" s="88">
        <v>1800.1260579599998</v>
      </c>
      <c r="CD273" s="89">
        <v>-7.0749420399999963</v>
      </c>
      <c r="CE273" s="89">
        <v>135.65118773999998</v>
      </c>
      <c r="CF273" s="89">
        <v>-142.72612977999998</v>
      </c>
      <c r="CG273" s="89">
        <v>1807.201</v>
      </c>
      <c r="CH273" s="89"/>
      <c r="CI273" s="88">
        <v>124542.2</v>
      </c>
      <c r="CJ273" s="89">
        <v>39883</v>
      </c>
      <c r="CK273" s="89">
        <v>25596</v>
      </c>
      <c r="CL273" s="89">
        <v>14287</v>
      </c>
      <c r="CM273" s="89">
        <v>97852.4</v>
      </c>
      <c r="CN273" s="89">
        <v>-13193.1</v>
      </c>
      <c r="CO273" s="88">
        <v>107694.7</v>
      </c>
      <c r="CP273" s="89">
        <v>-21484.2</v>
      </c>
      <c r="CQ273" s="89">
        <v>11180.6</v>
      </c>
      <c r="CR273" s="89">
        <v>-32664.800000000003</v>
      </c>
      <c r="CS273" s="89">
        <v>145349.4</v>
      </c>
      <c r="CT273" s="89">
        <v>-16170.5</v>
      </c>
      <c r="CU273" s="88">
        <v>35718.474892027763</v>
      </c>
      <c r="CV273" s="89">
        <v>-24356.16968358769</v>
      </c>
      <c r="CW273" s="89">
        <v>-18902.287210876711</v>
      </c>
      <c r="CX273" s="89">
        <v>-5453.8824727109768</v>
      </c>
      <c r="CY273" s="89">
        <v>60074.64457561545</v>
      </c>
      <c r="CZ273" s="89"/>
      <c r="DA273" s="88">
        <v>128404.05229255988</v>
      </c>
      <c r="DB273" s="89">
        <v>15617.52480404881</v>
      </c>
      <c r="DC273" s="89">
        <v>10274.43880749981</v>
      </c>
      <c r="DD273" s="89">
        <v>5343.0859965489999</v>
      </c>
      <c r="DE273" s="89">
        <v>172967.74662193877</v>
      </c>
      <c r="DF273" s="89">
        <v>-60181.219133427709</v>
      </c>
      <c r="DG273" s="88">
        <v>335410.47127000004</v>
      </c>
      <c r="DH273" s="89">
        <v>105080.90827</v>
      </c>
      <c r="DI273" s="89"/>
      <c r="DJ273" s="89"/>
      <c r="DK273" s="89">
        <v>256021.32</v>
      </c>
      <c r="DL273" s="89">
        <v>-25691.757000000001</v>
      </c>
      <c r="DM273" s="88">
        <v>6951377.7059667595</v>
      </c>
      <c r="DN273" s="89">
        <v>2922154.3409667597</v>
      </c>
      <c r="DO273" s="89">
        <v>2407031.2479667598</v>
      </c>
      <c r="DP273" s="89">
        <v>515123.09299999999</v>
      </c>
      <c r="DQ273" s="89">
        <v>4029223.3650000002</v>
      </c>
      <c r="DR273" s="89"/>
      <c r="DS273" s="88">
        <v>71963.980890624647</v>
      </c>
      <c r="DT273" s="89">
        <v>42664.369801315981</v>
      </c>
      <c r="DU273" s="89">
        <v>41873.085972005982</v>
      </c>
      <c r="DV273" s="89">
        <v>791.2838293100001</v>
      </c>
      <c r="DW273" s="89">
        <v>61525.121048627887</v>
      </c>
      <c r="DX273" s="89">
        <v>-32225.509959319214</v>
      </c>
      <c r="DY273" s="88">
        <v>11515.789425000001</v>
      </c>
      <c r="DZ273" s="89">
        <f t="shared" si="18"/>
        <v>-309.46287200000006</v>
      </c>
      <c r="EA273" s="89">
        <v>1284.377831</v>
      </c>
      <c r="EB273" s="89">
        <v>-1593.8407030000001</v>
      </c>
      <c r="EC273" s="89">
        <v>11825.252297000001</v>
      </c>
      <c r="ED273" s="89"/>
      <c r="EE273" s="88">
        <v>21197.163963290852</v>
      </c>
      <c r="EF273" s="89">
        <v>-1284.3577613999994</v>
      </c>
      <c r="EG273" s="89">
        <v>-1419.0941375399993</v>
      </c>
      <c r="EH273" s="89">
        <v>134.73637613999998</v>
      </c>
      <c r="EI273" s="89">
        <v>30217.879575189996</v>
      </c>
      <c r="EJ273" s="89">
        <v>-7736.3578504991501</v>
      </c>
      <c r="EK273" s="88">
        <v>26829033.933143035</v>
      </c>
      <c r="EL273" s="89">
        <v>-8722203.8834827691</v>
      </c>
      <c r="EM273" s="89">
        <v>-7354508.4004708389</v>
      </c>
      <c r="EN273" s="89">
        <v>-1367695.48301193</v>
      </c>
      <c r="EO273" s="89">
        <v>36204658.018253922</v>
      </c>
      <c r="EP273" s="89">
        <v>-653420.20162811992</v>
      </c>
      <c r="EQ273" s="88">
        <v>100940.06310115999</v>
      </c>
      <c r="ER273" s="89">
        <v>-53458.095302769994</v>
      </c>
      <c r="ES273" s="89"/>
      <c r="ET273" s="89"/>
      <c r="EU273" s="89">
        <v>202651.77396493999</v>
      </c>
      <c r="EV273" s="89">
        <v>-48253.615561009996</v>
      </c>
      <c r="EW273" s="88">
        <v>852243.70131687541</v>
      </c>
      <c r="EX273" s="89">
        <f t="shared" si="17"/>
        <v>479923.62139750994</v>
      </c>
      <c r="EY273" s="89">
        <v>463066.29315785994</v>
      </c>
      <c r="EZ273" s="89">
        <v>16857.32823965</v>
      </c>
      <c r="FA273" s="89">
        <v>506345.79703205999</v>
      </c>
      <c r="FB273" s="89">
        <v>-134025.71711269446</v>
      </c>
      <c r="FC273" s="88">
        <v>1578.2155900099999</v>
      </c>
      <c r="FD273" s="89">
        <v>146.54759001000008</v>
      </c>
      <c r="FE273" s="89">
        <v>610.13972796000007</v>
      </c>
      <c r="FF273" s="89">
        <v>-463.59213794999999</v>
      </c>
      <c r="FG273" s="89">
        <v>1431.6679999999999</v>
      </c>
      <c r="FH273" s="89"/>
      <c r="FI273" s="88">
        <v>890.54048384000009</v>
      </c>
      <c r="FJ273" s="89">
        <v>-139.39351615999999</v>
      </c>
      <c r="FK273" s="89">
        <v>8.7680228500000084</v>
      </c>
      <c r="FL273" s="89">
        <v>-148.16153901000001</v>
      </c>
      <c r="FM273" s="89">
        <v>1029.934</v>
      </c>
      <c r="FN273" s="89"/>
      <c r="FO273" s="88">
        <v>3770.5740809600002</v>
      </c>
      <c r="FP273" s="89">
        <v>-272.63091903999998</v>
      </c>
      <c r="FQ273" s="89">
        <v>52.163959299999988</v>
      </c>
      <c r="FR273" s="89">
        <v>-324.79487833999997</v>
      </c>
      <c r="FS273" s="89">
        <v>4043.2049999999999</v>
      </c>
      <c r="FT273" s="89"/>
      <c r="FU273" s="88">
        <v>4048.9</v>
      </c>
      <c r="FV273" s="89">
        <v>259</v>
      </c>
      <c r="FW273" s="89">
        <v>157.30000000000001</v>
      </c>
      <c r="FX273" s="89">
        <v>101.7</v>
      </c>
      <c r="FY273" s="89">
        <v>3672.8</v>
      </c>
      <c r="FZ273" s="89">
        <v>117.1</v>
      </c>
      <c r="GA273" s="88">
        <v>38446.699999999997</v>
      </c>
      <c r="GB273" s="89">
        <v>-3972</v>
      </c>
      <c r="GC273" s="89">
        <v>-11525.6</v>
      </c>
      <c r="GD273" s="89">
        <v>7553.6</v>
      </c>
      <c r="GE273" s="89">
        <v>42418.7</v>
      </c>
      <c r="GF273" s="89"/>
      <c r="GG273" s="88">
        <v>174544.91538475256</v>
      </c>
      <c r="GH273" s="89">
        <v>59530.325282972699</v>
      </c>
      <c r="GI273" s="89">
        <v>54123.013257528073</v>
      </c>
      <c r="GJ273" s="89">
        <v>5407.3120254446203</v>
      </c>
      <c r="GK273" s="89">
        <v>237982.51851458213</v>
      </c>
      <c r="GL273" s="89">
        <v>-122967.92841280226</v>
      </c>
      <c r="GM273" s="88">
        <v>537403.68331384996</v>
      </c>
      <c r="GN273" s="89">
        <v>162493.01077698998</v>
      </c>
      <c r="GO273" s="89">
        <v>132235.47995267998</v>
      </c>
      <c r="GP273" s="89">
        <v>30257.530824309997</v>
      </c>
      <c r="GQ273" s="89">
        <v>338158.40820304002</v>
      </c>
      <c r="GR273" s="89">
        <v>36752.26433382</v>
      </c>
    </row>
    <row r="274" spans="1:200">
      <c r="B274" s="93" t="s">
        <v>495</v>
      </c>
      <c r="C274" s="88">
        <v>2814.62119325</v>
      </c>
      <c r="D274" s="87">
        <v>406.85719325000002</v>
      </c>
      <c r="E274" s="87">
        <v>542.94442116000005</v>
      </c>
      <c r="F274" s="87">
        <v>-136.08722791</v>
      </c>
      <c r="G274" s="87">
        <v>2407.7640000000001</v>
      </c>
      <c r="H274" s="87"/>
      <c r="I274" s="88">
        <v>552009.76</v>
      </c>
      <c r="J274" s="89">
        <v>484617.98599999998</v>
      </c>
      <c r="K274" s="89"/>
      <c r="L274" s="89"/>
      <c r="M274" s="89">
        <v>344190.35499999998</v>
      </c>
      <c r="N274" s="89">
        <v>-276798.58100000001</v>
      </c>
      <c r="O274" s="133">
        <v>8605.51</v>
      </c>
      <c r="P274" s="134">
        <v>1970.33</v>
      </c>
      <c r="Q274" s="134">
        <v>1607.52</v>
      </c>
      <c r="R274" s="134">
        <v>362.81</v>
      </c>
      <c r="S274" s="134">
        <v>6635.17</v>
      </c>
      <c r="T274" s="89"/>
      <c r="U274" s="88">
        <v>7418.4501600000003</v>
      </c>
      <c r="V274" s="89">
        <v>1506.4301600000001</v>
      </c>
      <c r="W274" s="89">
        <v>1045.7271600000001</v>
      </c>
      <c r="X274" s="89">
        <v>460.70299999999997</v>
      </c>
      <c r="Y274" s="89">
        <v>5912.02</v>
      </c>
      <c r="Z274" s="89"/>
      <c r="AA274" s="88">
        <v>1922.3869999999999</v>
      </c>
      <c r="AB274" s="89">
        <v>148.24699999999999</v>
      </c>
      <c r="AC274" s="89">
        <v>139.17599999999999</v>
      </c>
      <c r="AD274" s="89">
        <v>9.0709999999999997</v>
      </c>
      <c r="AE274" s="89">
        <v>1774.14</v>
      </c>
      <c r="AF274" s="89"/>
      <c r="AG274" s="88">
        <v>82005.76181436461</v>
      </c>
      <c r="AH274" s="89">
        <v>15011.029254210363</v>
      </c>
      <c r="AI274" s="89">
        <v>10624.223529430365</v>
      </c>
      <c r="AJ274" s="89">
        <v>4386.8057247799998</v>
      </c>
      <c r="AK274" s="89">
        <v>66994.732560154254</v>
      </c>
      <c r="AL274" s="89"/>
      <c r="AM274" s="88">
        <v>4584477</v>
      </c>
      <c r="AN274" s="89">
        <v>1436687</v>
      </c>
      <c r="AO274" s="89">
        <v>1346089</v>
      </c>
      <c r="AP274" s="89">
        <v>90598</v>
      </c>
      <c r="AQ274" s="89">
        <v>2772586</v>
      </c>
      <c r="AR274" s="89">
        <v>375206</v>
      </c>
      <c r="AS274" s="88">
        <v>75951387.219999999</v>
      </c>
      <c r="AT274" s="89">
        <v>-909952.17969999998</v>
      </c>
      <c r="AU274" s="89">
        <v>-909952.17969999998</v>
      </c>
      <c r="AV274" s="89"/>
      <c r="AW274" s="89">
        <v>93431573.600000009</v>
      </c>
      <c r="AX274" s="89">
        <v>-16570234.199999999</v>
      </c>
      <c r="AY274" s="88">
        <v>286905334.07677144</v>
      </c>
      <c r="AZ274" s="89">
        <f t="shared" si="16"/>
        <v>52973609.94551976</v>
      </c>
      <c r="BA274" s="89">
        <v>41098341.358026765</v>
      </c>
      <c r="BB274" s="89">
        <v>11875268.587492997</v>
      </c>
      <c r="BC274" s="89">
        <v>233931724.13125172</v>
      </c>
      <c r="BD274" s="89"/>
      <c r="BE274" s="88">
        <v>10430339.034381472</v>
      </c>
      <c r="BF274" s="89">
        <v>974575.64012885548</v>
      </c>
      <c r="BG274" s="89">
        <v>882890.55703311367</v>
      </c>
      <c r="BH274" s="89">
        <v>91685.083095741807</v>
      </c>
      <c r="BI274" s="89">
        <v>10474368.685544662</v>
      </c>
      <c r="BJ274" s="89">
        <v>-1018605.2912920445</v>
      </c>
      <c r="BK274" s="88">
        <v>665.42065631000003</v>
      </c>
      <c r="BL274" s="89">
        <v>-119.64734369000001</v>
      </c>
      <c r="BM274" s="89">
        <v>16.662667870000003</v>
      </c>
      <c r="BN274" s="89">
        <v>-136.31001156000002</v>
      </c>
      <c r="BO274" s="89">
        <v>785.06799999999998</v>
      </c>
      <c r="BP274" s="89"/>
      <c r="BQ274" s="88">
        <v>19634.837730000003</v>
      </c>
      <c r="BR274" s="89">
        <v>-3505.098716</v>
      </c>
      <c r="BS274" s="89">
        <v>-2368.7761049999999</v>
      </c>
      <c r="BT274" s="89">
        <v>-1136.3226110000001</v>
      </c>
      <c r="BU274" s="89">
        <v>23139.936446000003</v>
      </c>
      <c r="BV274" s="89"/>
      <c r="BW274" s="88">
        <v>13710.641342081859</v>
      </c>
      <c r="BX274" s="89">
        <v>6604.6455667218579</v>
      </c>
      <c r="BY274" s="89">
        <v>6499.1632140318579</v>
      </c>
      <c r="BZ274" s="89">
        <v>105.48235269</v>
      </c>
      <c r="CA274" s="89">
        <v>9216.29315890012</v>
      </c>
      <c r="CB274" s="89">
        <v>-2110.297383540119</v>
      </c>
      <c r="CC274" s="88">
        <v>1831.77649673</v>
      </c>
      <c r="CD274" s="89">
        <v>25.289496730000025</v>
      </c>
      <c r="CE274" s="89">
        <v>162.95863503000001</v>
      </c>
      <c r="CF274" s="89">
        <v>-137.66913829999999</v>
      </c>
      <c r="CG274" s="89">
        <v>1806.4870000000001</v>
      </c>
      <c r="CH274" s="89"/>
      <c r="CI274" s="88">
        <v>126375.3</v>
      </c>
      <c r="CJ274" s="89">
        <v>38947.800000000003</v>
      </c>
      <c r="CK274" s="89">
        <v>25152.400000000001</v>
      </c>
      <c r="CL274" s="89">
        <v>13795.4</v>
      </c>
      <c r="CM274" s="89">
        <v>99934.5</v>
      </c>
      <c r="CN274" s="89">
        <v>-12506.9</v>
      </c>
      <c r="CO274" s="88">
        <v>105983</v>
      </c>
      <c r="CP274" s="89">
        <v>-24050.5</v>
      </c>
      <c r="CQ274" s="89">
        <v>10168.9</v>
      </c>
      <c r="CR274" s="89">
        <v>-34219.4</v>
      </c>
      <c r="CS274" s="89">
        <v>145842.6</v>
      </c>
      <c r="CT274" s="89">
        <v>-15809.1</v>
      </c>
      <c r="CU274" s="88">
        <v>36012.484293823371</v>
      </c>
      <c r="CV274" s="89">
        <v>-25694.030322956867</v>
      </c>
      <c r="CW274" s="89">
        <v>-20645.778768785662</v>
      </c>
      <c r="CX274" s="89">
        <v>-5048.2515541712064</v>
      </c>
      <c r="CY274" s="89">
        <v>61706.514616780238</v>
      </c>
      <c r="CZ274" s="89"/>
      <c r="DA274" s="88">
        <v>124827.4463025366</v>
      </c>
      <c r="DB274" s="89">
        <v>16192.998339795497</v>
      </c>
      <c r="DC274" s="89">
        <v>10546.736947157198</v>
      </c>
      <c r="DD274" s="89">
        <v>5646.2613926382992</v>
      </c>
      <c r="DE274" s="89">
        <v>173145.19823374733</v>
      </c>
      <c r="DF274" s="89">
        <v>-64510.750271006211</v>
      </c>
      <c r="DG274" s="88">
        <v>359205.60743000003</v>
      </c>
      <c r="DH274" s="89">
        <v>121600.47843</v>
      </c>
      <c r="DI274" s="89"/>
      <c r="DJ274" s="89"/>
      <c r="DK274" s="89">
        <v>258148.50599999999</v>
      </c>
      <c r="DL274" s="89">
        <v>-20543.377</v>
      </c>
      <c r="DM274" s="88">
        <v>6955946.9943413399</v>
      </c>
      <c r="DN274" s="89">
        <v>2929942.6203413396</v>
      </c>
      <c r="DO274" s="89">
        <v>2413590.8793413397</v>
      </c>
      <c r="DP274" s="89">
        <v>516351.74099999998</v>
      </c>
      <c r="DQ274" s="89">
        <v>4026004.3739999998</v>
      </c>
      <c r="DR274" s="89"/>
      <c r="DS274" s="88">
        <v>73344.421095375292</v>
      </c>
      <c r="DT274" s="89">
        <v>42855.757413875406</v>
      </c>
      <c r="DU274" s="89">
        <v>42078.886711655403</v>
      </c>
      <c r="DV274" s="89">
        <v>776.87070222000011</v>
      </c>
      <c r="DW274" s="89">
        <v>62723.328425175394</v>
      </c>
      <c r="DX274" s="89">
        <v>-32234.664743675501</v>
      </c>
      <c r="DY274" s="88">
        <v>11617.212704</v>
      </c>
      <c r="DZ274" s="89">
        <f t="shared" si="18"/>
        <v>-183.60301699999991</v>
      </c>
      <c r="EA274" s="89">
        <v>1426.9972620000001</v>
      </c>
      <c r="EB274" s="89">
        <v>-1610.600279</v>
      </c>
      <c r="EC274" s="89">
        <v>11800.815721000001</v>
      </c>
      <c r="ED274" s="89"/>
      <c r="EE274" s="88">
        <v>21581.742574650001</v>
      </c>
      <c r="EF274" s="89">
        <v>-1264.8942688899995</v>
      </c>
      <c r="EG274" s="89">
        <v>-1399.0071817799994</v>
      </c>
      <c r="EH274" s="89">
        <v>134.11291288999999</v>
      </c>
      <c r="EI274" s="89">
        <v>30734.219524750002</v>
      </c>
      <c r="EJ274" s="89">
        <v>-7887.5826812100004</v>
      </c>
      <c r="EK274" s="88">
        <v>26615135.141379353</v>
      </c>
      <c r="EL274" s="89">
        <v>-9093722.2427549399</v>
      </c>
      <c r="EM274" s="89">
        <v>-7657607.2779415399</v>
      </c>
      <c r="EN274" s="89">
        <v>-1436114.9648134001</v>
      </c>
      <c r="EO274" s="89">
        <v>36361600.532245092</v>
      </c>
      <c r="EP274" s="89">
        <v>-652743.14811079972</v>
      </c>
      <c r="EQ274" s="88">
        <v>101276.26360673996</v>
      </c>
      <c r="ER274" s="89">
        <v>-54025.613891219997</v>
      </c>
      <c r="ES274" s="89"/>
      <c r="ET274" s="89"/>
      <c r="EU274" s="89">
        <v>203253.02273694001</v>
      </c>
      <c r="EV274" s="89">
        <v>-47951.145238980069</v>
      </c>
      <c r="EW274" s="88">
        <v>859825.47161970579</v>
      </c>
      <c r="EX274" s="89">
        <f t="shared" si="17"/>
        <v>489532.89217267005</v>
      </c>
      <c r="EY274" s="89">
        <v>471620.08545610006</v>
      </c>
      <c r="EZ274" s="89">
        <v>17912.806716569998</v>
      </c>
      <c r="FA274" s="89">
        <v>505055.76051697996</v>
      </c>
      <c r="FB274" s="89">
        <v>-134763.18106994429</v>
      </c>
      <c r="FC274" s="88">
        <v>1599.9439204</v>
      </c>
      <c r="FD274" s="89">
        <v>157.55992039999995</v>
      </c>
      <c r="FE274" s="89">
        <v>622.91697656999997</v>
      </c>
      <c r="FF274" s="89">
        <v>-465.35705617000002</v>
      </c>
      <c r="FG274" s="89">
        <v>1442.384</v>
      </c>
      <c r="FH274" s="89"/>
      <c r="FI274" s="88">
        <v>903.88601060000008</v>
      </c>
      <c r="FJ274" s="89">
        <v>-128.98298940000001</v>
      </c>
      <c r="FK274" s="89">
        <v>26.39252912000002</v>
      </c>
      <c r="FL274" s="89">
        <v>-155.37551852000001</v>
      </c>
      <c r="FM274" s="89">
        <v>1032.8689999999999</v>
      </c>
      <c r="FN274" s="89"/>
      <c r="FO274" s="88">
        <v>3777.2255627999998</v>
      </c>
      <c r="FP274" s="89">
        <v>-269.30943719999993</v>
      </c>
      <c r="FQ274" s="89">
        <v>75.021441140000007</v>
      </c>
      <c r="FR274" s="89">
        <v>-344.33087833999997</v>
      </c>
      <c r="FS274" s="89">
        <v>4046.5349999999999</v>
      </c>
      <c r="FT274" s="89"/>
      <c r="FU274" s="88">
        <v>3993.4999999999995</v>
      </c>
      <c r="FV274" s="89">
        <v>151.19999999999999</v>
      </c>
      <c r="FW274" s="89">
        <v>50.7</v>
      </c>
      <c r="FX274" s="89">
        <v>100.5</v>
      </c>
      <c r="FY274" s="89">
        <v>3725.2</v>
      </c>
      <c r="FZ274" s="89">
        <v>117.1</v>
      </c>
      <c r="GA274" s="88">
        <v>35791</v>
      </c>
      <c r="GB274" s="89">
        <v>-6610.2000000000007</v>
      </c>
      <c r="GC274" s="89">
        <v>-13549.7</v>
      </c>
      <c r="GD274" s="89">
        <v>6939.5</v>
      </c>
      <c r="GE274" s="89">
        <v>42401.2</v>
      </c>
      <c r="GF274" s="89"/>
      <c r="GG274" s="88">
        <v>177142.7538695978</v>
      </c>
      <c r="GH274" s="89">
        <v>66438.104953356873</v>
      </c>
      <c r="GI274" s="89">
        <v>61168.190642243695</v>
      </c>
      <c r="GJ274" s="89">
        <v>5269.9143111131798</v>
      </c>
      <c r="GK274" s="89">
        <v>236179.34731436125</v>
      </c>
      <c r="GL274" s="89">
        <v>-125474.69839812029</v>
      </c>
      <c r="GM274" s="88">
        <v>549624.19575882982</v>
      </c>
      <c r="GN274" s="89">
        <v>169933.89279136999</v>
      </c>
      <c r="GO274" s="89">
        <v>139532.58708065999</v>
      </c>
      <c r="GP274" s="89">
        <v>30401.305710709996</v>
      </c>
      <c r="GQ274" s="89">
        <v>343600.88537008985</v>
      </c>
      <c r="GR274" s="89">
        <v>36089.417597369997</v>
      </c>
    </row>
    <row r="275" spans="1:200">
      <c r="B275" s="93" t="s">
        <v>496</v>
      </c>
      <c r="C275" s="88">
        <v>2791.9911863900006</v>
      </c>
      <c r="D275" s="87">
        <v>388.99218639000003</v>
      </c>
      <c r="E275" s="87">
        <v>549.11341430000004</v>
      </c>
      <c r="F275" s="87">
        <v>-160.12122790999999</v>
      </c>
      <c r="G275" s="87">
        <v>2402.9989999999998</v>
      </c>
      <c r="H275" s="87"/>
      <c r="I275" s="88">
        <v>570736.86531899986</v>
      </c>
      <c r="J275" s="89">
        <v>490280.87</v>
      </c>
      <c r="K275" s="89"/>
      <c r="L275" s="89"/>
      <c r="M275" s="89">
        <v>353850.962</v>
      </c>
      <c r="N275" s="89">
        <v>-273394.96668100002</v>
      </c>
      <c r="O275" s="133">
        <v>8699.84</v>
      </c>
      <c r="P275" s="134">
        <v>2050.66</v>
      </c>
      <c r="Q275" s="134">
        <v>1689.32</v>
      </c>
      <c r="R275" s="134">
        <v>361.34</v>
      </c>
      <c r="S275" s="134">
        <v>6649.16</v>
      </c>
      <c r="T275" s="89"/>
      <c r="U275" s="88">
        <v>7376.6865600000001</v>
      </c>
      <c r="V275" s="89">
        <v>1468.1465600000001</v>
      </c>
      <c r="W275" s="89">
        <v>986.73156000000006</v>
      </c>
      <c r="X275" s="89">
        <v>481.41500000000002</v>
      </c>
      <c r="Y275" s="89">
        <v>5908.54</v>
      </c>
      <c r="Z275" s="89"/>
      <c r="AA275" s="88">
        <v>1934.02</v>
      </c>
      <c r="AB275" s="89">
        <v>152.24100000000001</v>
      </c>
      <c r="AC275" s="89">
        <v>140.09200000000001</v>
      </c>
      <c r="AD275" s="89">
        <v>12.148999999999999</v>
      </c>
      <c r="AE275" s="89">
        <v>1781.779</v>
      </c>
      <c r="AF275" s="89"/>
      <c r="AG275" s="88">
        <v>83313.47237844739</v>
      </c>
      <c r="AH275" s="89">
        <v>15174.193659541352</v>
      </c>
      <c r="AI275" s="89">
        <v>10619.189142591351</v>
      </c>
      <c r="AJ275" s="89">
        <v>4555.0045169499999</v>
      </c>
      <c r="AK275" s="89">
        <v>68139.278718906033</v>
      </c>
      <c r="AL275" s="89"/>
      <c r="AM275" s="88">
        <v>4656964</v>
      </c>
      <c r="AN275" s="89">
        <v>1461823</v>
      </c>
      <c r="AO275" s="89">
        <v>1370594</v>
      </c>
      <c r="AP275" s="89">
        <v>91229</v>
      </c>
      <c r="AQ275" s="89">
        <v>2818514</v>
      </c>
      <c r="AR275" s="89">
        <v>376628</v>
      </c>
      <c r="AS275" s="88">
        <v>77068266.560000002</v>
      </c>
      <c r="AT275" s="89">
        <v>-1114825.642</v>
      </c>
      <c r="AU275" s="89">
        <v>-1114825.642</v>
      </c>
      <c r="AV275" s="89"/>
      <c r="AW275" s="89">
        <v>94071577.690000013</v>
      </c>
      <c r="AX275" s="89">
        <v>-15888485.489999998</v>
      </c>
      <c r="AY275" s="88">
        <v>288763830.12728846</v>
      </c>
      <c r="AZ275" s="89">
        <f t="shared" si="16"/>
        <v>51139963.67531462</v>
      </c>
      <c r="BA275" s="89">
        <v>39287576.525467619</v>
      </c>
      <c r="BB275" s="89">
        <v>11852387.149846999</v>
      </c>
      <c r="BC275" s="89">
        <v>237623866.45197389</v>
      </c>
      <c r="BD275" s="89"/>
      <c r="BE275" s="88">
        <v>10523215.349207113</v>
      </c>
      <c r="BF275" s="89">
        <v>938997.36409456388</v>
      </c>
      <c r="BG275" s="89">
        <v>845175.41029630485</v>
      </c>
      <c r="BH275" s="89">
        <v>93821.953798258997</v>
      </c>
      <c r="BI275" s="89">
        <v>10601011.873629849</v>
      </c>
      <c r="BJ275" s="89">
        <v>-1016793.8885172999</v>
      </c>
      <c r="BK275" s="88">
        <v>668.75073799999996</v>
      </c>
      <c r="BL275" s="89">
        <v>-122.34826199999999</v>
      </c>
      <c r="BM275" s="89">
        <v>14.44075</v>
      </c>
      <c r="BN275" s="89">
        <v>-136.78901199999999</v>
      </c>
      <c r="BO275" s="89">
        <v>791.09900000000005</v>
      </c>
      <c r="BP275" s="89"/>
      <c r="BQ275" s="88">
        <v>20573.148772999997</v>
      </c>
      <c r="BR275" s="89">
        <v>-2865.2430660000005</v>
      </c>
      <c r="BS275" s="89">
        <v>-1875.7389800000005</v>
      </c>
      <c r="BT275" s="89">
        <v>-989.50408599999992</v>
      </c>
      <c r="BU275" s="89">
        <v>23438.391838999996</v>
      </c>
      <c r="BV275" s="89"/>
      <c r="BW275" s="88">
        <v>13845.78536450186</v>
      </c>
      <c r="BX275" s="89">
        <v>6654.7764061218577</v>
      </c>
      <c r="BY275" s="89">
        <v>6533.372668011858</v>
      </c>
      <c r="BZ275" s="89">
        <v>121.40373811000001</v>
      </c>
      <c r="CA275" s="89">
        <v>9231.7199595701168</v>
      </c>
      <c r="CB275" s="89">
        <v>-2040.7110011901154</v>
      </c>
      <c r="CC275" s="88">
        <v>1828.5398766200001</v>
      </c>
      <c r="CD275" s="89">
        <v>17.784876620000006</v>
      </c>
      <c r="CE275" s="89">
        <v>155.32101492000001</v>
      </c>
      <c r="CF275" s="89">
        <v>-137.5361383</v>
      </c>
      <c r="CG275" s="89">
        <v>1810.7550000000001</v>
      </c>
      <c r="CH275" s="89"/>
      <c r="CI275" s="88">
        <v>128091.6</v>
      </c>
      <c r="CJ275" s="89">
        <v>23941</v>
      </c>
      <c r="CK275" s="89">
        <v>22925.1</v>
      </c>
      <c r="CL275" s="89">
        <v>1015.9</v>
      </c>
      <c r="CM275" s="89">
        <v>117573.9</v>
      </c>
      <c r="CN275" s="89">
        <v>-13423.4</v>
      </c>
      <c r="CO275" s="88">
        <v>107741.9</v>
      </c>
      <c r="CP275" s="89">
        <v>-26276</v>
      </c>
      <c r="CQ275" s="89">
        <v>9251.1</v>
      </c>
      <c r="CR275" s="89">
        <v>-35527.1</v>
      </c>
      <c r="CS275" s="89">
        <v>151157.5</v>
      </c>
      <c r="CT275" s="89">
        <v>-17139.599999999999</v>
      </c>
      <c r="CU275" s="88">
        <v>35818.859161788241</v>
      </c>
      <c r="CV275" s="89">
        <v>-26407.906318379552</v>
      </c>
      <c r="CW275" s="89">
        <v>-21436.634469991805</v>
      </c>
      <c r="CX275" s="89">
        <v>-4971.2718483877516</v>
      </c>
      <c r="CY275" s="89">
        <v>62226.765480167793</v>
      </c>
      <c r="CZ275" s="89"/>
      <c r="DA275" s="88">
        <v>129710.67768689553</v>
      </c>
      <c r="DB275" s="89">
        <v>16821.104174761451</v>
      </c>
      <c r="DC275" s="89">
        <v>11181.493470988229</v>
      </c>
      <c r="DD275" s="89">
        <v>5639.6107037732218</v>
      </c>
      <c r="DE275" s="89">
        <v>175329.86230879382</v>
      </c>
      <c r="DF275" s="89">
        <v>-62440.288796659734</v>
      </c>
      <c r="DG275" s="88">
        <v>350964.78093000001</v>
      </c>
      <c r="DH275" s="89">
        <v>119637.98993000001</v>
      </c>
      <c r="DI275" s="89"/>
      <c r="DJ275" s="89"/>
      <c r="DK275" s="89">
        <v>262546.23200000002</v>
      </c>
      <c r="DL275" s="89">
        <v>-31219.440999999999</v>
      </c>
      <c r="DM275" s="88">
        <v>6882072.1715106703</v>
      </c>
      <c r="DN275" s="89">
        <v>2856960.2495106696</v>
      </c>
      <c r="DO275" s="89">
        <v>2334941.7305106698</v>
      </c>
      <c r="DP275" s="89">
        <v>522018.51899999997</v>
      </c>
      <c r="DQ275" s="89">
        <v>4025111.9219999998</v>
      </c>
      <c r="DR275" s="89"/>
      <c r="DS275" s="88">
        <v>73604.530420208248</v>
      </c>
      <c r="DT275" s="89">
        <v>42552.044719793899</v>
      </c>
      <c r="DU275" s="89">
        <v>41786.090652713901</v>
      </c>
      <c r="DV275" s="89">
        <v>765.95406708000007</v>
      </c>
      <c r="DW275" s="89">
        <v>64086.931484686647</v>
      </c>
      <c r="DX275" s="89">
        <v>-33034.445784272306</v>
      </c>
      <c r="DY275" s="88">
        <v>11647.243367000001</v>
      </c>
      <c r="DZ275" s="89">
        <f t="shared" si="18"/>
        <v>-145.01412899999991</v>
      </c>
      <c r="EA275" s="89">
        <v>1470.2103750000001</v>
      </c>
      <c r="EB275" s="89">
        <v>-1615.224504</v>
      </c>
      <c r="EC275" s="89">
        <v>11792.257496</v>
      </c>
      <c r="ED275" s="89"/>
      <c r="EE275" s="88">
        <v>22309.752865859995</v>
      </c>
      <c r="EF275" s="89">
        <v>-1156.3188970899994</v>
      </c>
      <c r="EG275" s="89">
        <v>-1288.3742751599993</v>
      </c>
      <c r="EH275" s="89">
        <v>132.05537806999999</v>
      </c>
      <c r="EI275" s="89">
        <v>31174.561258249996</v>
      </c>
      <c r="EJ275" s="89">
        <v>-7708.4894953000012</v>
      </c>
      <c r="EK275" s="88">
        <v>27634041.937108502</v>
      </c>
      <c r="EL275" s="89">
        <v>-8842771.854983028</v>
      </c>
      <c r="EM275" s="89">
        <v>-7483050.1958293887</v>
      </c>
      <c r="EN275" s="89">
        <v>-1359721.65915364</v>
      </c>
      <c r="EO275" s="89">
        <v>37135261.049644969</v>
      </c>
      <c r="EP275" s="89">
        <v>-658447.25755343982</v>
      </c>
      <c r="EQ275" s="88">
        <v>103645.34852815</v>
      </c>
      <c r="ER275" s="89">
        <v>-53810.176179759997</v>
      </c>
      <c r="ES275" s="89"/>
      <c r="ET275" s="89"/>
      <c r="EU275" s="89">
        <v>204422.02177579</v>
      </c>
      <c r="EV275" s="89">
        <v>-46966.497067880002</v>
      </c>
      <c r="EW275" s="88">
        <v>888659.01128473808</v>
      </c>
      <c r="EX275" s="89">
        <f t="shared" si="17"/>
        <v>528957.08437476994</v>
      </c>
      <c r="EY275" s="89">
        <v>508694.76363460993</v>
      </c>
      <c r="EZ275" s="89">
        <v>20262.320740160001</v>
      </c>
      <c r="FA275" s="89">
        <v>509495.74893848004</v>
      </c>
      <c r="FB275" s="89">
        <v>-149793.82202851187</v>
      </c>
      <c r="FC275" s="88">
        <v>1596.5976619999999</v>
      </c>
      <c r="FD275" s="89">
        <v>156.75066200000009</v>
      </c>
      <c r="FE275" s="89">
        <v>624.20571800000005</v>
      </c>
      <c r="FF275" s="89">
        <v>-467.45505599999996</v>
      </c>
      <c r="FG275" s="89">
        <v>1439.847</v>
      </c>
      <c r="FH275" s="89"/>
      <c r="FI275" s="88">
        <v>941.99168442999985</v>
      </c>
      <c r="FJ275" s="89">
        <v>-97.565315569999996</v>
      </c>
      <c r="FK275" s="89">
        <v>39.727427889999994</v>
      </c>
      <c r="FL275" s="89">
        <v>-137.29274346</v>
      </c>
      <c r="FM275" s="89">
        <v>1039.557</v>
      </c>
      <c r="FN275" s="89"/>
      <c r="FO275" s="88">
        <v>3820.2475060000002</v>
      </c>
      <c r="FP275" s="89">
        <v>-223.75449399999997</v>
      </c>
      <c r="FQ275" s="89">
        <v>117.09238400000002</v>
      </c>
      <c r="FR275" s="89">
        <v>-340.846878</v>
      </c>
      <c r="FS275" s="89">
        <v>4044.002</v>
      </c>
      <c r="FT275" s="89"/>
      <c r="FU275" s="88">
        <v>4127.8</v>
      </c>
      <c r="FV275" s="89">
        <v>242.4</v>
      </c>
      <c r="FW275" s="89">
        <v>139.30000000000001</v>
      </c>
      <c r="FX275" s="89">
        <v>103.1</v>
      </c>
      <c r="FY275" s="89">
        <v>3768.4</v>
      </c>
      <c r="FZ275" s="89">
        <v>117</v>
      </c>
      <c r="GA275" s="88">
        <v>34941.300000000003</v>
      </c>
      <c r="GB275" s="89">
        <v>-7933</v>
      </c>
      <c r="GC275" s="89">
        <v>-15107</v>
      </c>
      <c r="GD275" s="89">
        <v>7174</v>
      </c>
      <c r="GE275" s="89">
        <v>42874.3</v>
      </c>
      <c r="GF275" s="89"/>
      <c r="GG275" s="88">
        <v>180155.71663916841</v>
      </c>
      <c r="GH275" s="89">
        <v>70204.6444976528</v>
      </c>
      <c r="GI275" s="89">
        <v>64920.391085759453</v>
      </c>
      <c r="GJ275" s="89">
        <v>5284.2534118933499</v>
      </c>
      <c r="GK275" s="89">
        <v>236068.56573422978</v>
      </c>
      <c r="GL275" s="89">
        <v>-126117.49359271416</v>
      </c>
      <c r="GM275" s="88">
        <v>570478.56047852978</v>
      </c>
      <c r="GN275" s="89">
        <v>177869.26762796994</v>
      </c>
      <c r="GO275" s="89">
        <v>144539.23874302994</v>
      </c>
      <c r="GP275" s="89">
        <v>33330.028884940002</v>
      </c>
      <c r="GQ275" s="89">
        <v>354860.73180985986</v>
      </c>
      <c r="GR275" s="89">
        <v>37748.561040700006</v>
      </c>
    </row>
    <row r="276" spans="1:200">
      <c r="B276" s="93" t="s">
        <v>497</v>
      </c>
      <c r="C276" s="88">
        <v>2758.1679059300004</v>
      </c>
      <c r="D276" s="87">
        <v>358.26990593000005</v>
      </c>
      <c r="E276" s="87">
        <v>538.81413384000007</v>
      </c>
      <c r="F276" s="87">
        <v>-180.54422790999999</v>
      </c>
      <c r="G276" s="87">
        <v>2399.8980000000001</v>
      </c>
      <c r="H276" s="87"/>
      <c r="I276" s="88">
        <v>583427.03500000003</v>
      </c>
      <c r="J276" s="89">
        <v>500895.39</v>
      </c>
      <c r="K276" s="89"/>
      <c r="L276" s="89"/>
      <c r="M276" s="89">
        <v>361222.723</v>
      </c>
      <c r="N276" s="89">
        <v>-278691.07799999998</v>
      </c>
      <c r="O276" s="133">
        <v>8701.2800000000007</v>
      </c>
      <c r="P276" s="134">
        <v>2050.2199999999998</v>
      </c>
      <c r="Q276" s="134">
        <v>1653.33</v>
      </c>
      <c r="R276" s="134">
        <v>396.89</v>
      </c>
      <c r="S276" s="134">
        <v>6651.06</v>
      </c>
      <c r="T276" s="89"/>
      <c r="U276" s="88">
        <v>7438.5642600000001</v>
      </c>
      <c r="V276" s="89">
        <v>1664.5152600000001</v>
      </c>
      <c r="W276" s="89">
        <v>1198.9392600000001</v>
      </c>
      <c r="X276" s="89">
        <v>465.57599999999996</v>
      </c>
      <c r="Y276" s="89">
        <v>5774.049</v>
      </c>
      <c r="Z276" s="89"/>
      <c r="AA276" s="88">
        <v>1956.2629999999999</v>
      </c>
      <c r="AB276" s="89">
        <v>179.76300000000001</v>
      </c>
      <c r="AC276" s="89">
        <v>166.86</v>
      </c>
      <c r="AD276" s="89">
        <v>12.903</v>
      </c>
      <c r="AE276" s="89">
        <v>1776.5</v>
      </c>
      <c r="AF276" s="89"/>
      <c r="AG276" s="88">
        <v>84782.132552847121</v>
      </c>
      <c r="AH276" s="89">
        <v>15987.698571347612</v>
      </c>
      <c r="AI276" s="89">
        <v>10620.493628667611</v>
      </c>
      <c r="AJ276" s="89">
        <v>5367.2049426799995</v>
      </c>
      <c r="AK276" s="89">
        <v>68794.433981499504</v>
      </c>
      <c r="AL276" s="89"/>
      <c r="AM276" s="88">
        <v>4717956</v>
      </c>
      <c r="AN276" s="89">
        <v>1470930</v>
      </c>
      <c r="AO276" s="89">
        <v>1379525</v>
      </c>
      <c r="AP276" s="89">
        <v>91405</v>
      </c>
      <c r="AQ276" s="89">
        <v>2860631</v>
      </c>
      <c r="AR276" s="89">
        <v>386395</v>
      </c>
      <c r="AS276" s="88">
        <v>76013173.804782003</v>
      </c>
      <c r="AT276" s="89">
        <v>-1371238.1049260001</v>
      </c>
      <c r="AU276" s="89">
        <v>-1371238.1049260001</v>
      </c>
      <c r="AV276" s="89"/>
      <c r="AW276" s="89">
        <v>94456940.898137003</v>
      </c>
      <c r="AX276" s="89">
        <v>-17072528.988428999</v>
      </c>
      <c r="AY276" s="88">
        <v>292347092.76274508</v>
      </c>
      <c r="AZ276" s="89">
        <f t="shared" ref="AZ276:AZ318" si="19">BA276+BB276</f>
        <v>52824112.890672028</v>
      </c>
      <c r="BA276" s="89">
        <v>41282854.255226031</v>
      </c>
      <c r="BB276" s="89">
        <v>11541258.635446001</v>
      </c>
      <c r="BC276" s="89">
        <v>239522979.87207305</v>
      </c>
      <c r="BD276" s="89"/>
      <c r="BE276" s="88">
        <v>10703306.608752634</v>
      </c>
      <c r="BF276" s="89">
        <v>977107.4879678149</v>
      </c>
      <c r="BG276" s="89">
        <v>882349.81993931392</v>
      </c>
      <c r="BH276" s="89">
        <v>94757.668028501008</v>
      </c>
      <c r="BI276" s="89">
        <v>10688130.564804289</v>
      </c>
      <c r="BJ276" s="89">
        <v>-961931.4440194706</v>
      </c>
      <c r="BK276" s="88">
        <v>663.66098722999993</v>
      </c>
      <c r="BL276" s="89">
        <v>-130.05001277000002</v>
      </c>
      <c r="BM276" s="89">
        <v>2.1749987899999979</v>
      </c>
      <c r="BN276" s="89">
        <v>-132.22501156000001</v>
      </c>
      <c r="BO276" s="89">
        <v>793.71100000000001</v>
      </c>
      <c r="BP276" s="89"/>
      <c r="BQ276" s="88">
        <v>20499.473379000003</v>
      </c>
      <c r="BR276" s="89">
        <v>-3401.0988689999999</v>
      </c>
      <c r="BS276" s="89">
        <v>-2401.752614</v>
      </c>
      <c r="BT276" s="89">
        <v>-999.34625500000004</v>
      </c>
      <c r="BU276" s="89">
        <v>23900.572248000004</v>
      </c>
      <c r="BV276" s="89"/>
      <c r="BW276" s="88">
        <v>13836.835568191858</v>
      </c>
      <c r="BX276" s="89">
        <v>6673.7001969918583</v>
      </c>
      <c r="BY276" s="89">
        <v>6555.479850151858</v>
      </c>
      <c r="BZ276" s="89">
        <v>118.22034684</v>
      </c>
      <c r="CA276" s="89">
        <v>9286.2268974701219</v>
      </c>
      <c r="CB276" s="89">
        <v>-2123.0915262701201</v>
      </c>
      <c r="CC276" s="88">
        <v>1851.6686366000001</v>
      </c>
      <c r="CD276" s="89">
        <v>43.08963660000002</v>
      </c>
      <c r="CE276" s="89">
        <v>132.37777490000002</v>
      </c>
      <c r="CF276" s="89">
        <v>-89.2881383</v>
      </c>
      <c r="CG276" s="89">
        <v>1808.579</v>
      </c>
      <c r="CH276" s="89"/>
      <c r="CI276" s="88">
        <v>129501.2</v>
      </c>
      <c r="CJ276" s="89">
        <v>24541.4</v>
      </c>
      <c r="CK276" s="89">
        <v>23523.4</v>
      </c>
      <c r="CL276" s="89">
        <v>1018</v>
      </c>
      <c r="CM276" s="89">
        <v>119266.20000000001</v>
      </c>
      <c r="CN276" s="89">
        <v>-14306.6</v>
      </c>
      <c r="CO276" s="88">
        <v>98636.800000000003</v>
      </c>
      <c r="CP276" s="89">
        <v>-38144</v>
      </c>
      <c r="CQ276" s="89">
        <v>-2921.5</v>
      </c>
      <c r="CR276" s="89">
        <v>-35222.5</v>
      </c>
      <c r="CS276" s="89">
        <v>153753.79999999999</v>
      </c>
      <c r="CT276" s="89">
        <v>-16973</v>
      </c>
      <c r="CU276" s="88">
        <v>47316.380705303251</v>
      </c>
      <c r="CV276" s="89">
        <v>-18256.321741746415</v>
      </c>
      <c r="CW276" s="89">
        <v>-12762.97062793342</v>
      </c>
      <c r="CX276" s="89">
        <v>-5493.3511138129943</v>
      </c>
      <c r="CY276" s="89">
        <v>65572.702447049669</v>
      </c>
      <c r="CZ276" s="89"/>
      <c r="DA276" s="88">
        <v>129661.77851951981</v>
      </c>
      <c r="DB276" s="89">
        <v>14985.357094700019</v>
      </c>
      <c r="DC276" s="89">
        <v>9602.9164080621522</v>
      </c>
      <c r="DD276" s="89">
        <v>5382.4406866378677</v>
      </c>
      <c r="DE276" s="89">
        <v>178183.17483459524</v>
      </c>
      <c r="DF276" s="89">
        <v>-63506.753409775476</v>
      </c>
      <c r="DG276" s="88">
        <v>361136.63165997009</v>
      </c>
      <c r="DH276" s="89">
        <v>121018.6936599701</v>
      </c>
      <c r="DI276" s="89"/>
      <c r="DJ276" s="89"/>
      <c r="DK276" s="89">
        <v>266392.89500000002</v>
      </c>
      <c r="DL276" s="89">
        <v>-26274.956999999999</v>
      </c>
      <c r="DM276" s="88">
        <v>6939057.8907050593</v>
      </c>
      <c r="DN276" s="89">
        <v>2815943.9117050599</v>
      </c>
      <c r="DO276" s="89">
        <v>2287390.2287050602</v>
      </c>
      <c r="DP276" s="89">
        <v>528553.68299999996</v>
      </c>
      <c r="DQ276" s="89">
        <v>4123113.9789999998</v>
      </c>
      <c r="DR276" s="89"/>
      <c r="DS276" s="88">
        <v>78683.882302515878</v>
      </c>
      <c r="DT276" s="89">
        <v>41315.542520172399</v>
      </c>
      <c r="DU276" s="89">
        <v>40557.811004542396</v>
      </c>
      <c r="DV276" s="89">
        <v>757.7315156300001</v>
      </c>
      <c r="DW276" s="89">
        <v>65141.158536562478</v>
      </c>
      <c r="DX276" s="89">
        <v>-27772.818754219006</v>
      </c>
      <c r="DY276" s="88">
        <v>11731.830753</v>
      </c>
      <c r="DZ276" s="89">
        <f t="shared" si="18"/>
        <v>-120.13954999999987</v>
      </c>
      <c r="EA276" s="89">
        <v>1427.949147</v>
      </c>
      <c r="EB276" s="89">
        <v>-1548.0886969999999</v>
      </c>
      <c r="EC276" s="89">
        <v>11851.970303</v>
      </c>
      <c r="ED276" s="89"/>
      <c r="EE276" s="88">
        <v>22851.099961250005</v>
      </c>
      <c r="EF276" s="89">
        <v>-1001.123299639999</v>
      </c>
      <c r="EG276" s="89">
        <v>-1133.2965096699991</v>
      </c>
      <c r="EH276" s="89">
        <v>132.17321003000001</v>
      </c>
      <c r="EI276" s="89">
        <v>31782.974531350003</v>
      </c>
      <c r="EJ276" s="89">
        <v>-7930.7512704599985</v>
      </c>
      <c r="EK276" s="88">
        <v>28017071.87507312</v>
      </c>
      <c r="EL276" s="89">
        <v>-9022945.015870573</v>
      </c>
      <c r="EM276" s="89">
        <v>-7818626.7281147633</v>
      </c>
      <c r="EN276" s="89">
        <v>-1204318.2877558102</v>
      </c>
      <c r="EO276" s="89">
        <v>37703008.945484109</v>
      </c>
      <c r="EP276" s="89">
        <v>-662992.05454041995</v>
      </c>
      <c r="EQ276" s="88">
        <v>104813.841873</v>
      </c>
      <c r="ER276" s="89">
        <v>-54596.506649000003</v>
      </c>
      <c r="ES276" s="89"/>
      <c r="ET276" s="89"/>
      <c r="EU276" s="89">
        <v>208284.96876319998</v>
      </c>
      <c r="EV276" s="89">
        <v>-48874.620241199969</v>
      </c>
      <c r="EW276" s="88">
        <v>890520.89969942684</v>
      </c>
      <c r="EX276" s="89">
        <f t="shared" ref="EX276:EX324" si="20">EY276+EZ276</f>
        <v>529677.64796852006</v>
      </c>
      <c r="EY276" s="89">
        <v>511373.26183512004</v>
      </c>
      <c r="EZ276" s="89">
        <v>18304.386133400003</v>
      </c>
      <c r="FA276" s="89">
        <v>510891.2820383599</v>
      </c>
      <c r="FB276" s="89">
        <v>-150048.03030745313</v>
      </c>
      <c r="FC276" s="88">
        <v>1574.2509338</v>
      </c>
      <c r="FD276" s="89">
        <v>142.0599337999999</v>
      </c>
      <c r="FE276" s="89">
        <v>605.76018348999992</v>
      </c>
      <c r="FF276" s="89">
        <v>-463.70024969000002</v>
      </c>
      <c r="FG276" s="89">
        <v>1432.191</v>
      </c>
      <c r="FH276" s="89"/>
      <c r="FI276" s="88">
        <v>950.05669668000007</v>
      </c>
      <c r="FJ276" s="89">
        <v>-92.433303319999979</v>
      </c>
      <c r="FK276" s="89">
        <v>50.485440140000023</v>
      </c>
      <c r="FL276" s="89">
        <v>-142.91874346</v>
      </c>
      <c r="FM276" s="89">
        <v>1042.49</v>
      </c>
      <c r="FN276" s="89"/>
      <c r="FO276" s="88">
        <v>3865.35076841</v>
      </c>
      <c r="FP276" s="89">
        <v>-185.26823158999997</v>
      </c>
      <c r="FQ276" s="89">
        <v>122.77864675000002</v>
      </c>
      <c r="FR276" s="89">
        <v>-308.04687833999998</v>
      </c>
      <c r="FS276" s="89">
        <v>4050.6190000000001</v>
      </c>
      <c r="FT276" s="89"/>
      <c r="FU276" s="88">
        <v>4315.5</v>
      </c>
      <c r="FV276" s="89">
        <v>364.4</v>
      </c>
      <c r="FW276" s="89">
        <v>263.2</v>
      </c>
      <c r="FX276" s="89">
        <v>101.2</v>
      </c>
      <c r="FY276" s="89">
        <v>3833.3</v>
      </c>
      <c r="FZ276" s="89">
        <v>117.8</v>
      </c>
      <c r="GA276" s="88">
        <v>40536.800000000003</v>
      </c>
      <c r="GB276" s="89">
        <v>-3319</v>
      </c>
      <c r="GC276" s="89">
        <v>-10944.1</v>
      </c>
      <c r="GD276" s="89">
        <v>7625.1</v>
      </c>
      <c r="GE276" s="89">
        <v>43855.8</v>
      </c>
      <c r="GF276" s="89"/>
      <c r="GG276" s="88">
        <v>178218.74681970431</v>
      </c>
      <c r="GH276" s="89">
        <v>71780.494363751204</v>
      </c>
      <c r="GI276" s="89">
        <v>67532.541039938602</v>
      </c>
      <c r="GJ276" s="89">
        <v>4247.9533238126005</v>
      </c>
      <c r="GK276" s="89">
        <v>235755.5311788776</v>
      </c>
      <c r="GL276" s="89">
        <v>-129317.2787229245</v>
      </c>
      <c r="GM276" s="88">
        <v>589256.93846483983</v>
      </c>
      <c r="GN276" s="89">
        <v>189490.9199893699</v>
      </c>
      <c r="GO276" s="89">
        <v>158998.9971931199</v>
      </c>
      <c r="GP276" s="89">
        <v>30491.92279624999</v>
      </c>
      <c r="GQ276" s="89">
        <v>367916.32524170988</v>
      </c>
      <c r="GR276" s="89">
        <v>31849.693233760001</v>
      </c>
    </row>
    <row r="277" spans="1:200">
      <c r="B277" s="93" t="s">
        <v>498</v>
      </c>
      <c r="C277" s="88">
        <v>2770.7566099999999</v>
      </c>
      <c r="D277" s="87">
        <v>371.75060999999994</v>
      </c>
      <c r="E277" s="87">
        <v>550.7388269999999</v>
      </c>
      <c r="F277" s="87">
        <v>-178.98821699999999</v>
      </c>
      <c r="G277" s="87">
        <v>2399.0059999999999</v>
      </c>
      <c r="H277" s="87"/>
      <c r="I277" s="88">
        <v>596280.94199999992</v>
      </c>
      <c r="J277" s="89">
        <v>512287.56400000001</v>
      </c>
      <c r="K277" s="89"/>
      <c r="L277" s="89"/>
      <c r="M277" s="89">
        <v>370874.859</v>
      </c>
      <c r="N277" s="89">
        <v>-286881.48100000003</v>
      </c>
      <c r="O277" s="88">
        <v>8827</v>
      </c>
      <c r="P277" s="89">
        <v>2186.3000000000002</v>
      </c>
      <c r="Q277" s="89">
        <v>1726.9</v>
      </c>
      <c r="R277" s="89">
        <v>459.4</v>
      </c>
      <c r="S277" s="89">
        <v>6640.7</v>
      </c>
      <c r="T277" s="89"/>
      <c r="U277" s="88">
        <v>7570.9072300000007</v>
      </c>
      <c r="V277" s="89">
        <v>1788.17823</v>
      </c>
      <c r="W277" s="89">
        <v>1300.68623</v>
      </c>
      <c r="X277" s="89">
        <v>487.49200000000002</v>
      </c>
      <c r="Y277" s="89">
        <v>5782.7290000000003</v>
      </c>
      <c r="Z277" s="89"/>
      <c r="AA277" s="88">
        <v>1944.7560000000001</v>
      </c>
      <c r="AB277" s="89">
        <v>172.071</v>
      </c>
      <c r="AC277" s="89">
        <v>157.298</v>
      </c>
      <c r="AD277" s="89">
        <v>14.773</v>
      </c>
      <c r="AE277" s="89">
        <v>1772.6849999999999</v>
      </c>
      <c r="AF277" s="89"/>
      <c r="AG277" s="88">
        <v>88012.324847804281</v>
      </c>
      <c r="AH277" s="89">
        <v>17987.974808088751</v>
      </c>
      <c r="AI277" s="89">
        <v>10979.91030574875</v>
      </c>
      <c r="AJ277" s="89">
        <v>7008.0645023400002</v>
      </c>
      <c r="AK277" s="89">
        <v>70024.350039715529</v>
      </c>
      <c r="AL277" s="89"/>
      <c r="AM277" s="88">
        <v>4783166</v>
      </c>
      <c r="AN277" s="89">
        <v>1476510</v>
      </c>
      <c r="AO277" s="89">
        <v>1384506</v>
      </c>
      <c r="AP277" s="89">
        <v>92004</v>
      </c>
      <c r="AQ277" s="89">
        <v>2916662</v>
      </c>
      <c r="AR277" s="89">
        <v>389993</v>
      </c>
      <c r="AS277" s="88">
        <v>78389596.718440995</v>
      </c>
      <c r="AT277" s="89">
        <v>-1062476.0672869999</v>
      </c>
      <c r="AU277" s="89">
        <v>-1062476.0672869999</v>
      </c>
      <c r="AV277" s="89"/>
      <c r="AW277" s="89">
        <v>95194542.345940009</v>
      </c>
      <c r="AX277" s="89">
        <v>-15742469.560211999</v>
      </c>
      <c r="AY277" s="88">
        <v>295099660.97731429</v>
      </c>
      <c r="AZ277" s="89">
        <f t="shared" si="19"/>
        <v>52827044.076056264</v>
      </c>
      <c r="BA277" s="89">
        <v>41023225.298569262</v>
      </c>
      <c r="BB277" s="89">
        <v>11803818.777487002</v>
      </c>
      <c r="BC277" s="89">
        <v>242272616.90125802</v>
      </c>
      <c r="BD277" s="89"/>
      <c r="BE277" s="88">
        <v>10780197.666555965</v>
      </c>
      <c r="BF277" s="89">
        <v>922111.16910349438</v>
      </c>
      <c r="BG277" s="89">
        <v>827031.1597766577</v>
      </c>
      <c r="BH277" s="89">
        <v>95080.009326836705</v>
      </c>
      <c r="BI277" s="89">
        <v>10825284.905509146</v>
      </c>
      <c r="BJ277" s="89">
        <v>-967198.40805667453</v>
      </c>
      <c r="BK277" s="88">
        <v>666.99509994000005</v>
      </c>
      <c r="BL277" s="89">
        <v>-132.52790006000001</v>
      </c>
      <c r="BM277" s="89">
        <v>-4.5843630700000064</v>
      </c>
      <c r="BN277" s="89">
        <v>-127.94353699</v>
      </c>
      <c r="BO277" s="89">
        <v>799.52300000000002</v>
      </c>
      <c r="BP277" s="89"/>
      <c r="BQ277" s="88">
        <v>20840.745625000003</v>
      </c>
      <c r="BR277" s="89">
        <v>-3213.5277180000003</v>
      </c>
      <c r="BS277" s="89">
        <v>-2149.6401340000002</v>
      </c>
      <c r="BT277" s="89">
        <v>-1063.8875840000001</v>
      </c>
      <c r="BU277" s="89">
        <v>24054.273343000004</v>
      </c>
      <c r="BV277" s="89"/>
      <c r="BW277" s="88">
        <v>13849.891044321857</v>
      </c>
      <c r="BX277" s="89">
        <v>6762.452032721857</v>
      </c>
      <c r="BY277" s="89">
        <v>6651.1989617918571</v>
      </c>
      <c r="BZ277" s="89">
        <v>111.25307092999999</v>
      </c>
      <c r="CA277" s="89">
        <v>9365.5254073001215</v>
      </c>
      <c r="CB277" s="89">
        <v>-2278.0863957001216</v>
      </c>
      <c r="CC277" s="88">
        <v>1855.2561122300001</v>
      </c>
      <c r="CD277" s="89">
        <v>56.802112230000006</v>
      </c>
      <c r="CE277" s="89">
        <v>132.30233257</v>
      </c>
      <c r="CF277" s="89">
        <v>-75.500220339999998</v>
      </c>
      <c r="CG277" s="89">
        <v>1798.454</v>
      </c>
      <c r="CH277" s="89"/>
      <c r="CI277" s="88">
        <v>130988</v>
      </c>
      <c r="CJ277" s="89">
        <v>23776.6</v>
      </c>
      <c r="CK277" s="89">
        <v>22760.799999999999</v>
      </c>
      <c r="CL277" s="89">
        <v>1015.8000000000001</v>
      </c>
      <c r="CM277" s="89">
        <v>120310.6</v>
      </c>
      <c r="CN277" s="89">
        <v>-13099.2</v>
      </c>
      <c r="CO277" s="88">
        <v>105370.3</v>
      </c>
      <c r="CP277" s="89">
        <v>-34161.300000000003</v>
      </c>
      <c r="CQ277" s="89">
        <v>1773.4</v>
      </c>
      <c r="CR277" s="89">
        <v>-35934.700000000004</v>
      </c>
      <c r="CS277" s="89">
        <v>155312.70000000001</v>
      </c>
      <c r="CT277" s="89">
        <v>-15781.1</v>
      </c>
      <c r="CU277" s="88">
        <v>49102.171189542962</v>
      </c>
      <c r="CV277" s="89">
        <v>-19580.363069341325</v>
      </c>
      <c r="CW277" s="89">
        <v>-13596.259628832013</v>
      </c>
      <c r="CX277" s="89">
        <v>-5984.1034405093096</v>
      </c>
      <c r="CY277" s="89">
        <v>68682.53425888429</v>
      </c>
      <c r="CZ277" s="89"/>
      <c r="DA277" s="88">
        <v>130681.72224527609</v>
      </c>
      <c r="DB277" s="89">
        <v>13174.799144379747</v>
      </c>
      <c r="DC277" s="89">
        <v>7514.2697619526043</v>
      </c>
      <c r="DD277" s="89">
        <v>5660.5293824271421</v>
      </c>
      <c r="DE277" s="89">
        <v>181479.12549986684</v>
      </c>
      <c r="DF277" s="89">
        <v>-63972.202398970498</v>
      </c>
      <c r="DG277" s="88">
        <v>371693.12930000003</v>
      </c>
      <c r="DH277" s="89">
        <v>126268.63129999999</v>
      </c>
      <c r="DI277" s="89"/>
      <c r="DJ277" s="89"/>
      <c r="DK277" s="89">
        <v>269082.967</v>
      </c>
      <c r="DL277" s="89">
        <v>-23658.469000000001</v>
      </c>
      <c r="DM277" s="88">
        <v>7001268.9404623704</v>
      </c>
      <c r="DN277" s="89">
        <v>2835494.5554623697</v>
      </c>
      <c r="DO277" s="89">
        <v>2297616.12546237</v>
      </c>
      <c r="DP277" s="89">
        <v>537878.42999999993</v>
      </c>
      <c r="DQ277" s="89">
        <v>4165774.3849999998</v>
      </c>
      <c r="DR277" s="89"/>
      <c r="DS277" s="88">
        <v>80432.089751289008</v>
      </c>
      <c r="DT277" s="89">
        <v>41557.477941582212</v>
      </c>
      <c r="DU277" s="89">
        <v>40844.021933702214</v>
      </c>
      <c r="DV277" s="89">
        <v>713.4560078799999</v>
      </c>
      <c r="DW277" s="89">
        <v>67022.372004996694</v>
      </c>
      <c r="DX277" s="89">
        <v>-28147.760195289899</v>
      </c>
      <c r="DY277" s="88">
        <v>11682.28645</v>
      </c>
      <c r="DZ277" s="89">
        <f t="shared" si="18"/>
        <v>-147.15573499999982</v>
      </c>
      <c r="EA277" s="89">
        <v>1374.7730800000002</v>
      </c>
      <c r="EB277" s="89">
        <v>-1521.928815</v>
      </c>
      <c r="EC277" s="89">
        <v>11829.442185</v>
      </c>
      <c r="ED277" s="89"/>
      <c r="EE277" s="88">
        <v>23194.689118869996</v>
      </c>
      <c r="EF277" s="89">
        <v>-1037.5627261999994</v>
      </c>
      <c r="EG277" s="89">
        <v>-1162.9196364599993</v>
      </c>
      <c r="EH277" s="89">
        <v>125.35691026000001</v>
      </c>
      <c r="EI277" s="89">
        <v>32259.848568249996</v>
      </c>
      <c r="EJ277" s="89">
        <v>-8027.5967231800023</v>
      </c>
      <c r="EK277" s="88">
        <v>29211891.721876103</v>
      </c>
      <c r="EL277" s="89">
        <v>-8677386.7219090406</v>
      </c>
      <c r="EM277" s="89">
        <v>-7685420.6388833616</v>
      </c>
      <c r="EN277" s="89">
        <v>-991966.08302567981</v>
      </c>
      <c r="EO277" s="89">
        <v>38571811.065268591</v>
      </c>
      <c r="EP277" s="89">
        <v>-682532.62148345006</v>
      </c>
      <c r="EQ277" s="88">
        <v>104797.50651524001</v>
      </c>
      <c r="ER277" s="89">
        <v>-54059.642393149996</v>
      </c>
      <c r="ES277" s="89"/>
      <c r="ET277" s="89"/>
      <c r="EU277" s="89">
        <v>208603.49964644999</v>
      </c>
      <c r="EV277" s="89">
        <v>-49746.350738059991</v>
      </c>
      <c r="EW277" s="88">
        <v>898363.18389570736</v>
      </c>
      <c r="EX277" s="89">
        <f t="shared" si="20"/>
        <v>528268.40506759007</v>
      </c>
      <c r="EY277" s="89">
        <v>510825.25552189001</v>
      </c>
      <c r="EZ277" s="89">
        <v>17443.149545700002</v>
      </c>
      <c r="FA277" s="89">
        <v>518197.87484959001</v>
      </c>
      <c r="FB277" s="89">
        <v>-148103.09602147262</v>
      </c>
      <c r="FC277" s="88">
        <v>1548.7784734200002</v>
      </c>
      <c r="FD277" s="89">
        <v>121.80347341999999</v>
      </c>
      <c r="FE277" s="89">
        <v>588.59686400999999</v>
      </c>
      <c r="FF277" s="89">
        <v>-466.79339059</v>
      </c>
      <c r="FG277" s="89">
        <v>1426.9749999999999</v>
      </c>
      <c r="FH277" s="89"/>
      <c r="FI277" s="88">
        <v>945.6299745</v>
      </c>
      <c r="FJ277" s="89">
        <v>-88.787025500000027</v>
      </c>
      <c r="FK277" s="89">
        <v>50.589097119999991</v>
      </c>
      <c r="FL277" s="89">
        <v>-139.37612262000002</v>
      </c>
      <c r="FM277" s="89">
        <v>1034.4169999999999</v>
      </c>
      <c r="FN277" s="89"/>
      <c r="FO277" s="88">
        <v>3839.6451850600001</v>
      </c>
      <c r="FP277" s="89">
        <v>-207.89181493999996</v>
      </c>
      <c r="FQ277" s="89">
        <v>92.941063400000019</v>
      </c>
      <c r="FR277" s="89">
        <v>-300.83287833999998</v>
      </c>
      <c r="FS277" s="89">
        <v>4047.5369999999998</v>
      </c>
      <c r="FT277" s="89"/>
      <c r="FU277" s="88">
        <v>4259.2000000000007</v>
      </c>
      <c r="FV277" s="89">
        <v>244.6</v>
      </c>
      <c r="FW277" s="89">
        <v>139.69999999999999</v>
      </c>
      <c r="FX277" s="89">
        <v>104.9</v>
      </c>
      <c r="FY277" s="89">
        <v>3898</v>
      </c>
      <c r="FZ277" s="89">
        <v>116.6</v>
      </c>
      <c r="GA277" s="88">
        <v>39142.800000000003</v>
      </c>
      <c r="GB277" s="89">
        <v>-4877.5</v>
      </c>
      <c r="GC277" s="89"/>
      <c r="GD277" s="89"/>
      <c r="GE277" s="89">
        <v>44020.3</v>
      </c>
      <c r="GF277" s="89"/>
      <c r="GG277" s="88">
        <v>167639.7032361429</v>
      </c>
      <c r="GH277" s="89">
        <v>67186.389857688482</v>
      </c>
      <c r="GI277" s="89">
        <v>63436.968093806332</v>
      </c>
      <c r="GJ277" s="89">
        <v>3749.4217638821488</v>
      </c>
      <c r="GK277" s="89">
        <v>231517.61507254437</v>
      </c>
      <c r="GL277" s="89">
        <v>-131064.30169408998</v>
      </c>
      <c r="GM277" s="88">
        <v>606588.98213804979</v>
      </c>
      <c r="GN277" s="89">
        <v>196223.38127627998</v>
      </c>
      <c r="GO277" s="89">
        <v>165733.30925669995</v>
      </c>
      <c r="GP277" s="89">
        <v>30490.072019579999</v>
      </c>
      <c r="GQ277" s="89">
        <v>378698.7169082599</v>
      </c>
      <c r="GR277" s="89">
        <v>31666.883953510001</v>
      </c>
    </row>
    <row r="278" spans="1:200">
      <c r="B278" s="93" t="s">
        <v>499</v>
      </c>
      <c r="C278" s="88">
        <v>2760.4367643299997</v>
      </c>
      <c r="D278" s="87">
        <v>362.66876432999993</v>
      </c>
      <c r="E278" s="87">
        <v>549.32098180999992</v>
      </c>
      <c r="F278" s="87">
        <v>-186.65221747999999</v>
      </c>
      <c r="G278" s="87">
        <v>2397.768</v>
      </c>
      <c r="H278" s="87"/>
      <c r="I278" s="88">
        <v>615215.88300000003</v>
      </c>
      <c r="J278" s="89">
        <v>536933.96100000001</v>
      </c>
      <c r="K278" s="89"/>
      <c r="L278" s="89"/>
      <c r="M278" s="89">
        <v>382369</v>
      </c>
      <c r="N278" s="89">
        <v>-304087.07799999998</v>
      </c>
      <c r="O278" s="88">
        <v>8847.6</v>
      </c>
      <c r="P278" s="89">
        <v>2203.6999999999998</v>
      </c>
      <c r="Q278" s="89">
        <v>1747.7</v>
      </c>
      <c r="R278" s="89">
        <v>456</v>
      </c>
      <c r="S278" s="89">
        <v>6643.9</v>
      </c>
      <c r="T278" s="89"/>
      <c r="U278" s="88">
        <v>7571.2633400000004</v>
      </c>
      <c r="V278" s="89">
        <v>1774.0343400000002</v>
      </c>
      <c r="W278" s="89">
        <v>1292.21334</v>
      </c>
      <c r="X278" s="89">
        <v>481.82100000000003</v>
      </c>
      <c r="Y278" s="89">
        <v>5797.2290000000003</v>
      </c>
      <c r="Z278" s="89"/>
      <c r="AA278" s="88">
        <v>1954.836</v>
      </c>
      <c r="AB278" s="89">
        <v>179.46800000000002</v>
      </c>
      <c r="AC278" s="89">
        <v>164.75800000000001</v>
      </c>
      <c r="AD278" s="89">
        <v>14.71</v>
      </c>
      <c r="AE278" s="89">
        <v>1775.3679999999999</v>
      </c>
      <c r="AF278" s="89"/>
      <c r="AG278" s="88">
        <v>89199.353466658999</v>
      </c>
      <c r="AH278" s="89">
        <v>18031.809096630706</v>
      </c>
      <c r="AI278" s="89">
        <v>10995.470006910706</v>
      </c>
      <c r="AJ278" s="89">
        <v>7036.3390897199997</v>
      </c>
      <c r="AK278" s="89">
        <v>71167.544370028292</v>
      </c>
      <c r="AL278" s="89"/>
      <c r="AM278" s="88">
        <v>4826188</v>
      </c>
      <c r="AN278" s="89">
        <v>1479503</v>
      </c>
      <c r="AO278" s="89">
        <v>1384945</v>
      </c>
      <c r="AP278" s="89">
        <v>94558</v>
      </c>
      <c r="AQ278" s="89">
        <v>2950003</v>
      </c>
      <c r="AR278" s="89">
        <v>396681</v>
      </c>
      <c r="AS278" s="88">
        <v>79315844.792817995</v>
      </c>
      <c r="AT278" s="89">
        <v>-769387.69217299996</v>
      </c>
      <c r="AU278" s="89">
        <v>-769387.69217299996</v>
      </c>
      <c r="AV278" s="89"/>
      <c r="AW278" s="89">
        <v>96661048.204645991</v>
      </c>
      <c r="AX278" s="89">
        <v>-16575815.719654998</v>
      </c>
      <c r="AY278" s="88">
        <v>300892899.10615307</v>
      </c>
      <c r="AZ278" s="89">
        <f t="shared" si="19"/>
        <v>53620196.576772898</v>
      </c>
      <c r="BA278" s="89">
        <v>42164766.406769902</v>
      </c>
      <c r="BB278" s="89">
        <v>11455430.170003001</v>
      </c>
      <c r="BC278" s="89">
        <v>247272702.52938017</v>
      </c>
      <c r="BD278" s="89"/>
      <c r="BE278" s="88">
        <v>10393290.359267246</v>
      </c>
      <c r="BF278" s="89">
        <v>474769.42889561033</v>
      </c>
      <c r="BG278" s="89">
        <v>381350.90357613272</v>
      </c>
      <c r="BH278" s="89">
        <v>93418.525319477587</v>
      </c>
      <c r="BI278" s="89">
        <v>10978723.748697564</v>
      </c>
      <c r="BJ278" s="89">
        <v>-1060202.8183259284</v>
      </c>
      <c r="BK278" s="88">
        <v>669.47712960000013</v>
      </c>
      <c r="BL278" s="89">
        <v>-128.38487040000001</v>
      </c>
      <c r="BM278" s="89">
        <v>-3.1743334100000067</v>
      </c>
      <c r="BN278" s="89">
        <v>-125.21053698999999</v>
      </c>
      <c r="BO278" s="89">
        <v>797.86199999999997</v>
      </c>
      <c r="BP278" s="89"/>
      <c r="BQ278" s="88">
        <v>21003.104397000003</v>
      </c>
      <c r="BR278" s="89">
        <v>-3050.5297609999998</v>
      </c>
      <c r="BS278" s="89">
        <v>-1921.9144950000002</v>
      </c>
      <c r="BT278" s="89">
        <v>-1128.6152659999998</v>
      </c>
      <c r="BU278" s="89">
        <v>24053.634158000001</v>
      </c>
      <c r="BV278" s="89"/>
      <c r="BW278" s="88">
        <v>13984.400406929999</v>
      </c>
      <c r="BX278" s="89">
        <v>6763.2812795818572</v>
      </c>
      <c r="BY278" s="89">
        <v>6646.1929239618576</v>
      </c>
      <c r="BZ278" s="89">
        <v>117.08835561999999</v>
      </c>
      <c r="CA278" s="89">
        <v>9471.4766878400005</v>
      </c>
      <c r="CB278" s="89">
        <v>-2250.3575604918587</v>
      </c>
      <c r="CC278" s="88">
        <v>1852.91907345</v>
      </c>
      <c r="CD278" s="89">
        <v>44.69607345</v>
      </c>
      <c r="CE278" s="89">
        <v>106.93829379</v>
      </c>
      <c r="CF278" s="89">
        <v>-62.242220340000003</v>
      </c>
      <c r="CG278" s="89">
        <v>1808.223</v>
      </c>
      <c r="CH278" s="89"/>
      <c r="CI278" s="88">
        <v>134618.5</v>
      </c>
      <c r="CJ278" s="89">
        <v>25768.400000000001</v>
      </c>
      <c r="CK278" s="89">
        <v>24755.7</v>
      </c>
      <c r="CL278" s="89">
        <v>1012.7</v>
      </c>
      <c r="CM278" s="89">
        <v>122044.9</v>
      </c>
      <c r="CN278" s="89">
        <v>-13194.8</v>
      </c>
      <c r="CO278" s="88">
        <v>107137.1</v>
      </c>
      <c r="CP278" s="89">
        <v>-32679.3</v>
      </c>
      <c r="CQ278" s="89">
        <v>4428.8999999999996</v>
      </c>
      <c r="CR278" s="89">
        <v>-37108.199999999997</v>
      </c>
      <c r="CS278" s="89">
        <v>156713.60000000001</v>
      </c>
      <c r="CT278" s="89">
        <v>-16897.2</v>
      </c>
      <c r="CU278" s="88">
        <v>48055.435757561907</v>
      </c>
      <c r="CV278" s="89">
        <v>-19521.062624171565</v>
      </c>
      <c r="CW278" s="89">
        <v>-13490.889383015372</v>
      </c>
      <c r="CX278" s="89">
        <v>-6030.1732411561952</v>
      </c>
      <c r="CY278" s="89">
        <v>67576.498381733472</v>
      </c>
      <c r="CZ278" s="89"/>
      <c r="DA278" s="88">
        <v>133563.77655952197</v>
      </c>
      <c r="DB278" s="89">
        <v>13862.605773733827</v>
      </c>
      <c r="DC278" s="89">
        <v>8148.5172897582961</v>
      </c>
      <c r="DD278" s="89">
        <v>5714.0884839755308</v>
      </c>
      <c r="DE278" s="89">
        <v>185292.38686103176</v>
      </c>
      <c r="DF278" s="89">
        <v>-65591.216075243618</v>
      </c>
      <c r="DG278" s="88">
        <v>387555.74582235026</v>
      </c>
      <c r="DH278" s="89">
        <v>137528.06682235026</v>
      </c>
      <c r="DI278" s="89"/>
      <c r="DJ278" s="89"/>
      <c r="DK278" s="89">
        <v>274092.951</v>
      </c>
      <c r="DL278" s="89">
        <v>-24065.272000000001</v>
      </c>
      <c r="DM278" s="88">
        <v>7073787.9659307199</v>
      </c>
      <c r="DN278" s="89">
        <v>2846557.2769307201</v>
      </c>
      <c r="DO278" s="89">
        <v>2289414.3629307202</v>
      </c>
      <c r="DP278" s="89">
        <v>557142.91399999999</v>
      </c>
      <c r="DQ278" s="89">
        <v>4227230.6890000002</v>
      </c>
      <c r="DR278" s="89"/>
      <c r="DS278" s="88">
        <v>82182.674758410038</v>
      </c>
      <c r="DT278" s="89">
        <v>42501.914293289825</v>
      </c>
      <c r="DU278" s="89">
        <v>41799.335679509823</v>
      </c>
      <c r="DV278" s="89">
        <v>702.57861377999996</v>
      </c>
      <c r="DW278" s="89">
        <v>69143.405245476402</v>
      </c>
      <c r="DX278" s="89">
        <v>-29462.64478035619</v>
      </c>
      <c r="DY278" s="88">
        <v>11702.397362</v>
      </c>
      <c r="DZ278" s="89">
        <f t="shared" si="18"/>
        <v>-135.13020200000005</v>
      </c>
      <c r="EA278" s="89">
        <v>1406.5492339999998</v>
      </c>
      <c r="EB278" s="89">
        <v>-1541.6794359999999</v>
      </c>
      <c r="EC278" s="89">
        <v>11837.527564</v>
      </c>
      <c r="ED278" s="89"/>
      <c r="EE278" s="88">
        <v>23255.431783979995</v>
      </c>
      <c r="EF278" s="89">
        <v>-805.77356709000071</v>
      </c>
      <c r="EG278" s="89">
        <v>-929.97926828000072</v>
      </c>
      <c r="EH278" s="89">
        <v>124.20570119</v>
      </c>
      <c r="EI278" s="89">
        <v>32658.105725839996</v>
      </c>
      <c r="EJ278" s="89">
        <v>-8596.9003747700008</v>
      </c>
      <c r="EK278" s="88">
        <v>29512463.110181864</v>
      </c>
      <c r="EL278" s="89">
        <v>-9147958.4253129587</v>
      </c>
      <c r="EM278" s="89">
        <v>-7999316.0719815195</v>
      </c>
      <c r="EN278" s="89">
        <v>-1148642.3533314401</v>
      </c>
      <c r="EO278" s="89">
        <v>39282134.880448624</v>
      </c>
      <c r="EP278" s="89">
        <v>-621713.3449538002</v>
      </c>
      <c r="EQ278" s="88">
        <v>107429.38709666001</v>
      </c>
      <c r="ER278" s="89">
        <v>-54296.023604599992</v>
      </c>
      <c r="ES278" s="89"/>
      <c r="ET278" s="89"/>
      <c r="EU278" s="89">
        <v>210242.52752616</v>
      </c>
      <c r="EV278" s="89">
        <v>-48517.116824900004</v>
      </c>
      <c r="EW278" s="88">
        <v>908286.70590116316</v>
      </c>
      <c r="EX278" s="89">
        <f t="shared" si="20"/>
        <v>527015.17823703005</v>
      </c>
      <c r="EY278" s="89">
        <v>508253.2513534</v>
      </c>
      <c r="EZ278" s="89">
        <v>18761.926883630003</v>
      </c>
      <c r="FA278" s="89">
        <v>528829.85197693994</v>
      </c>
      <c r="FB278" s="89">
        <v>-147558.3243128066</v>
      </c>
      <c r="FC278" s="88">
        <v>1527.11114058</v>
      </c>
      <c r="FD278" s="89">
        <v>105.21714057999992</v>
      </c>
      <c r="FE278" s="89">
        <v>577.50953116999995</v>
      </c>
      <c r="FF278" s="89">
        <v>-472.29239059000002</v>
      </c>
      <c r="FG278" s="89">
        <v>1421.894</v>
      </c>
      <c r="FH278" s="89"/>
      <c r="FI278" s="88">
        <v>972.33994265000013</v>
      </c>
      <c r="FJ278" s="89">
        <v>-68.248057349999982</v>
      </c>
      <c r="FK278" s="89">
        <v>59.262686110000011</v>
      </c>
      <c r="FL278" s="89">
        <v>-127.51074346</v>
      </c>
      <c r="FM278" s="89">
        <v>1040.588</v>
      </c>
      <c r="FN278" s="89"/>
      <c r="FO278" s="88">
        <v>3906.02278905</v>
      </c>
      <c r="FP278" s="89">
        <v>-167.09421094999999</v>
      </c>
      <c r="FQ278" s="89">
        <v>168.11966739000002</v>
      </c>
      <c r="FR278" s="89">
        <v>-335.21387834000001</v>
      </c>
      <c r="FS278" s="89">
        <v>4073.1170000000002</v>
      </c>
      <c r="FT278" s="89"/>
      <c r="FU278" s="88">
        <v>4304.7999999999993</v>
      </c>
      <c r="FV278" s="89">
        <v>228.4</v>
      </c>
      <c r="FW278" s="89">
        <v>125.4</v>
      </c>
      <c r="FX278" s="89">
        <v>103</v>
      </c>
      <c r="FY278" s="89">
        <v>3962.5</v>
      </c>
      <c r="FZ278" s="89">
        <v>113.9</v>
      </c>
      <c r="GA278" s="88">
        <v>36557.800000000003</v>
      </c>
      <c r="GB278" s="89">
        <v>-7765.0999999999985</v>
      </c>
      <c r="GC278" s="89"/>
      <c r="GD278" s="89"/>
      <c r="GE278" s="89">
        <v>44322.9</v>
      </c>
      <c r="GF278" s="89"/>
      <c r="GG278" s="88">
        <v>160958.28116635146</v>
      </c>
      <c r="GH278" s="89">
        <v>71791.092397163302</v>
      </c>
      <c r="GI278" s="89">
        <v>67875.71049030323</v>
      </c>
      <c r="GJ278" s="89">
        <v>3915.381906860091</v>
      </c>
      <c r="GK278" s="89">
        <v>233388.16171517086</v>
      </c>
      <c r="GL278" s="89">
        <v>-144220.97294598274</v>
      </c>
      <c r="GM278" s="88">
        <v>633804.8709299597</v>
      </c>
      <c r="GN278" s="89">
        <v>203017.03684826987</v>
      </c>
      <c r="GO278" s="89">
        <v>169209.79332601992</v>
      </c>
      <c r="GP278" s="89">
        <v>33807.243522249999</v>
      </c>
      <c r="GQ278" s="89">
        <v>397169.18977038981</v>
      </c>
      <c r="GR278" s="89">
        <v>33618.644311299999</v>
      </c>
    </row>
    <row r="279" spans="1:200">
      <c r="A279" s="132"/>
      <c r="B279" s="130" t="s">
        <v>500</v>
      </c>
      <c r="C279" s="104">
        <v>2711.6980042599998</v>
      </c>
      <c r="D279" s="105">
        <v>335.46800425999993</v>
      </c>
      <c r="E279" s="105">
        <v>551.9962217399999</v>
      </c>
      <c r="F279" s="105">
        <v>-216.52821748</v>
      </c>
      <c r="G279" s="105">
        <v>2376.23</v>
      </c>
      <c r="H279" s="105"/>
      <c r="I279" s="104">
        <v>628087.22600000002</v>
      </c>
      <c r="J279" s="105">
        <v>522566.05499999999</v>
      </c>
      <c r="K279" s="105"/>
      <c r="L279" s="105"/>
      <c r="M279" s="105">
        <v>401300.95400000003</v>
      </c>
      <c r="N279" s="105">
        <v>-295779.783</v>
      </c>
      <c r="O279" s="104">
        <v>8685</v>
      </c>
      <c r="P279" s="105">
        <v>2055.6999999999998</v>
      </c>
      <c r="Q279" s="105">
        <v>1592.2</v>
      </c>
      <c r="R279" s="105">
        <v>463.5</v>
      </c>
      <c r="S279" s="105">
        <v>6629.3</v>
      </c>
      <c r="T279" s="103"/>
      <c r="U279" s="104">
        <v>7604.5485799999997</v>
      </c>
      <c r="V279" s="105">
        <v>1792.97758</v>
      </c>
      <c r="W279" s="105">
        <v>1315.13958</v>
      </c>
      <c r="X279" s="105">
        <v>477.83800000000002</v>
      </c>
      <c r="Y279" s="105">
        <v>5811.5709999999999</v>
      </c>
      <c r="Z279" s="105"/>
      <c r="AA279" s="104">
        <v>1966.299</v>
      </c>
      <c r="AB279" s="105">
        <v>175.727</v>
      </c>
      <c r="AC279" s="105">
        <v>163.464</v>
      </c>
      <c r="AD279" s="105">
        <v>12.263</v>
      </c>
      <c r="AE279" s="105">
        <v>1790.5719999999999</v>
      </c>
      <c r="AF279" s="103"/>
      <c r="AG279" s="104">
        <v>91067.291820303129</v>
      </c>
      <c r="AH279" s="105">
        <v>18977.729419883377</v>
      </c>
      <c r="AI279" s="105">
        <v>10973.032552013377</v>
      </c>
      <c r="AJ279" s="105">
        <v>8004.6968678700005</v>
      </c>
      <c r="AK279" s="105">
        <v>72089.562400419745</v>
      </c>
      <c r="AL279" s="105"/>
      <c r="AM279" s="104">
        <v>4866464</v>
      </c>
      <c r="AN279" s="105">
        <v>1472633</v>
      </c>
      <c r="AO279" s="105">
        <v>1368644</v>
      </c>
      <c r="AP279" s="105">
        <v>103989</v>
      </c>
      <c r="AQ279" s="105">
        <v>3010154</v>
      </c>
      <c r="AR279" s="105">
        <v>383676</v>
      </c>
      <c r="AS279" s="104">
        <v>79802506.875348002</v>
      </c>
      <c r="AT279" s="105">
        <v>-348734.49341699999</v>
      </c>
      <c r="AU279" s="105">
        <v>-348734.49341699999</v>
      </c>
      <c r="AV279" s="105"/>
      <c r="AW279" s="105">
        <v>97418819.958425</v>
      </c>
      <c r="AX279" s="105">
        <v>-17267578.58966</v>
      </c>
      <c r="AY279" s="104">
        <v>307368873.85145247</v>
      </c>
      <c r="AZ279" s="105">
        <f t="shared" si="19"/>
        <v>55796796.289138317</v>
      </c>
      <c r="BA279" s="105">
        <v>43941656.979287319</v>
      </c>
      <c r="BB279" s="105">
        <v>11855139.309851</v>
      </c>
      <c r="BC279" s="105">
        <v>251572077.56231418</v>
      </c>
      <c r="BD279" s="105"/>
      <c r="BE279" s="104">
        <v>10639999.514507657</v>
      </c>
      <c r="BF279" s="105">
        <v>625346.67968792724</v>
      </c>
      <c r="BG279" s="105">
        <v>467462.6564440669</v>
      </c>
      <c r="BH279" s="105">
        <v>157884.0232438604</v>
      </c>
      <c r="BI279" s="105">
        <v>11160625.669090435</v>
      </c>
      <c r="BJ279" s="105">
        <v>-1145972.8342707062</v>
      </c>
      <c r="BK279" s="104">
        <v>687.42474546000017</v>
      </c>
      <c r="BL279" s="105">
        <v>-109.05925454</v>
      </c>
      <c r="BM279" s="105">
        <v>-6.6157175500000012</v>
      </c>
      <c r="BN279" s="105">
        <v>-102.44353699</v>
      </c>
      <c r="BO279" s="105">
        <v>796.48400000000004</v>
      </c>
      <c r="BP279" s="105"/>
      <c r="BQ279" s="104">
        <v>22726.210738999998</v>
      </c>
      <c r="BR279" s="105">
        <v>-1532.3619980000003</v>
      </c>
      <c r="BS279" s="105">
        <v>-728.32007300000009</v>
      </c>
      <c r="BT279" s="105">
        <v>-804.04192500000022</v>
      </c>
      <c r="BU279" s="105">
        <v>24258.572736999999</v>
      </c>
      <c r="BV279" s="105"/>
      <c r="BW279" s="104">
        <v>13622.603469921862</v>
      </c>
      <c r="BX279" s="105">
        <v>6196.6710723918586</v>
      </c>
      <c r="BY279" s="105">
        <v>6073.9774568818584</v>
      </c>
      <c r="BZ279" s="105">
        <v>122.69361551</v>
      </c>
      <c r="CA279" s="105">
        <v>9573.7375258800021</v>
      </c>
      <c r="CB279" s="105">
        <v>-2147.8051283499981</v>
      </c>
      <c r="CC279" s="104">
        <v>1857.44001961</v>
      </c>
      <c r="CD279" s="105">
        <v>54.22501960999999</v>
      </c>
      <c r="CE279" s="105">
        <v>107.51423994999999</v>
      </c>
      <c r="CF279" s="105">
        <v>-53.28922034</v>
      </c>
      <c r="CG279" s="105">
        <v>1803.2149999999999</v>
      </c>
      <c r="CH279" s="105"/>
      <c r="CI279" s="104">
        <v>141879.1</v>
      </c>
      <c r="CJ279" s="105">
        <v>29191.600000000002</v>
      </c>
      <c r="CK279" s="105">
        <v>28093.4</v>
      </c>
      <c r="CL279" s="105">
        <v>1098.1999999999998</v>
      </c>
      <c r="CM279" s="105">
        <v>124988.29999999999</v>
      </c>
      <c r="CN279" s="105">
        <v>-12300.8</v>
      </c>
      <c r="CO279" s="104">
        <v>99004</v>
      </c>
      <c r="CP279" s="105">
        <v>-44890.400000000001</v>
      </c>
      <c r="CQ279" s="105">
        <v>-623.9</v>
      </c>
      <c r="CR279" s="105">
        <v>-44266.5</v>
      </c>
      <c r="CS279" s="105">
        <v>161644</v>
      </c>
      <c r="CT279" s="105">
        <v>-17749.599999999999</v>
      </c>
      <c r="CU279" s="104">
        <v>50368.223684465367</v>
      </c>
      <c r="CV279" s="105">
        <v>-17910.846236268877</v>
      </c>
      <c r="CW279" s="105">
        <v>-12172.09057495197</v>
      </c>
      <c r="CX279" s="105">
        <v>-5738.755661316909</v>
      </c>
      <c r="CY279" s="105">
        <v>68279.06992073424</v>
      </c>
      <c r="CZ279" s="105"/>
      <c r="DA279" s="104">
        <v>137789.4735123713</v>
      </c>
      <c r="DB279" s="105">
        <v>14645.388384656853</v>
      </c>
      <c r="DC279" s="105">
        <v>8993.5217733278078</v>
      </c>
      <c r="DD279" s="105">
        <v>5651.8666113290446</v>
      </c>
      <c r="DE279" s="105">
        <v>187714.12985331618</v>
      </c>
      <c r="DF279" s="105">
        <v>-64570.044725601743</v>
      </c>
      <c r="DG279" s="104">
        <v>385224.40578000003</v>
      </c>
      <c r="DH279" s="105">
        <v>130471.74378</v>
      </c>
      <c r="DI279" s="105"/>
      <c r="DJ279" s="105"/>
      <c r="DK279" s="105">
        <v>276182.23</v>
      </c>
      <c r="DL279" s="105">
        <v>-21429.567999999999</v>
      </c>
      <c r="DM279" s="104">
        <v>7290389.2004992198</v>
      </c>
      <c r="DN279" s="105">
        <v>2989092.1354992199</v>
      </c>
      <c r="DO279" s="105">
        <v>2410415.32649922</v>
      </c>
      <c r="DP279" s="105">
        <v>578676.80900000001</v>
      </c>
      <c r="DQ279" s="105">
        <v>4301297.0650000004</v>
      </c>
      <c r="DR279" s="105"/>
      <c r="DS279" s="104">
        <v>83508.846582260565</v>
      </c>
      <c r="DT279" s="105">
        <v>42773.292267631026</v>
      </c>
      <c r="DU279" s="105">
        <v>42074.41166596103</v>
      </c>
      <c r="DV279" s="105">
        <v>698.88060167000003</v>
      </c>
      <c r="DW279" s="105">
        <v>71238.074765099402</v>
      </c>
      <c r="DX279" s="105">
        <v>-30502.520450469867</v>
      </c>
      <c r="DY279" s="104">
        <v>11490.962353000001</v>
      </c>
      <c r="DZ279" s="105">
        <f t="shared" si="18"/>
        <v>-290.16021099999989</v>
      </c>
      <c r="EA279" s="105">
        <v>1262.7032250000002</v>
      </c>
      <c r="EB279" s="105">
        <v>-1552.8634360000001</v>
      </c>
      <c r="EC279" s="105">
        <v>11781.122563999999</v>
      </c>
      <c r="ED279" s="103"/>
      <c r="EE279" s="104">
        <v>23504.090461630003</v>
      </c>
      <c r="EF279" s="105">
        <v>-1394.7295906199995</v>
      </c>
      <c r="EG279" s="105">
        <v>-1517.2708456399996</v>
      </c>
      <c r="EH279" s="105">
        <v>122.54125502000001</v>
      </c>
      <c r="EI279" s="105">
        <v>32486.398483830002</v>
      </c>
      <c r="EJ279" s="105">
        <v>-7587.5784315800001</v>
      </c>
      <c r="EK279" s="104">
        <v>32284685.680852901</v>
      </c>
      <c r="EL279" s="105">
        <v>-6082522.2835628912</v>
      </c>
      <c r="EM279" s="105">
        <v>-4763262.4160384005</v>
      </c>
      <c r="EN279" s="105">
        <v>-1319259.8675244902</v>
      </c>
      <c r="EO279" s="105">
        <v>39093195.868776873</v>
      </c>
      <c r="EP279" s="105">
        <v>-725987.90436107991</v>
      </c>
      <c r="EQ279" s="104">
        <v>115272.64504924999</v>
      </c>
      <c r="ER279" s="105">
        <v>-51178.241915999999</v>
      </c>
      <c r="ES279" s="105"/>
      <c r="ET279" s="105"/>
      <c r="EU279" s="105">
        <v>213653.09387124999</v>
      </c>
      <c r="EV279" s="103">
        <v>-47202.206906000007</v>
      </c>
      <c r="EW279" s="104">
        <v>941934.19721570658</v>
      </c>
      <c r="EX279" s="105">
        <f t="shared" si="20"/>
        <v>538768.28150791011</v>
      </c>
      <c r="EY279" s="105">
        <v>532537.0056394001</v>
      </c>
      <c r="EZ279" s="105">
        <v>6231.2758685099998</v>
      </c>
      <c r="FA279" s="105">
        <v>536683.7083383901</v>
      </c>
      <c r="FB279" s="103">
        <v>-133517.79263059355</v>
      </c>
      <c r="FC279" s="104">
        <v>1490.0391617</v>
      </c>
      <c r="FD279" s="105">
        <v>81.502161699999988</v>
      </c>
      <c r="FE279" s="105">
        <v>576.19055229000003</v>
      </c>
      <c r="FF279" s="105">
        <v>-494.68839059000004</v>
      </c>
      <c r="FG279" s="105">
        <v>1408.537</v>
      </c>
      <c r="FH279" s="105"/>
      <c r="FI279" s="104">
        <v>960.86056751000001</v>
      </c>
      <c r="FJ279" s="105">
        <v>-74.782432489999977</v>
      </c>
      <c r="FK279" s="105">
        <v>49.528310970000021</v>
      </c>
      <c r="FL279" s="105">
        <v>-124.31074346</v>
      </c>
      <c r="FM279" s="105">
        <v>1035.643</v>
      </c>
      <c r="FN279" s="105"/>
      <c r="FO279" s="104">
        <v>3903.5048118500008</v>
      </c>
      <c r="FP279" s="105">
        <v>-181.08818815000001</v>
      </c>
      <c r="FQ279" s="105">
        <v>162.37569019</v>
      </c>
      <c r="FR279" s="105">
        <v>-343.46387834000001</v>
      </c>
      <c r="FS279" s="105">
        <v>4084.5929999999998</v>
      </c>
      <c r="FT279" s="105"/>
      <c r="FU279" s="104">
        <v>4232.2</v>
      </c>
      <c r="FV279" s="105">
        <v>100.8</v>
      </c>
      <c r="FW279" s="105">
        <v>-9.4</v>
      </c>
      <c r="FX279" s="105">
        <v>110.2</v>
      </c>
      <c r="FY279" s="105">
        <v>4000.9</v>
      </c>
      <c r="FZ279" s="105">
        <v>130.5</v>
      </c>
      <c r="GA279" s="104">
        <v>37433.4</v>
      </c>
      <c r="GB279" s="105">
        <v>-6775.4000000000015</v>
      </c>
      <c r="GC279" s="105">
        <v>-13000</v>
      </c>
      <c r="GD279" s="105">
        <v>6224.5999999999985</v>
      </c>
      <c r="GE279" s="105">
        <v>44208.800000000003</v>
      </c>
      <c r="GF279" s="105"/>
      <c r="GG279" s="104">
        <v>181896.70083559817</v>
      </c>
      <c r="GH279" s="105">
        <v>76778.489561954251</v>
      </c>
      <c r="GI279" s="105">
        <v>71324.509051472851</v>
      </c>
      <c r="GJ279" s="105">
        <v>5453.9805104813913</v>
      </c>
      <c r="GK279" s="105">
        <v>243030.01815587885</v>
      </c>
      <c r="GL279" s="105">
        <v>-137911.80688223496</v>
      </c>
      <c r="GM279" s="104">
        <v>660196.57297366974</v>
      </c>
      <c r="GN279" s="105">
        <v>209583.06749662993</v>
      </c>
      <c r="GO279" s="105">
        <v>163143.15295452991</v>
      </c>
      <c r="GP279" s="105">
        <v>46439.914542100007</v>
      </c>
      <c r="GQ279" s="105">
        <v>411431.59741325979</v>
      </c>
      <c r="GR279" s="103">
        <v>39181.90806378</v>
      </c>
    </row>
    <row r="280" spans="1:200">
      <c r="A280" s="86">
        <v>2013</v>
      </c>
      <c r="B280" s="93" t="s">
        <v>489</v>
      </c>
      <c r="C280" s="88">
        <v>2682.9257065399997</v>
      </c>
      <c r="D280" s="87">
        <v>317.40470653999995</v>
      </c>
      <c r="E280" s="87">
        <v>545.52952144999995</v>
      </c>
      <c r="F280" s="87">
        <v>-228.12481491</v>
      </c>
      <c r="G280" s="87">
        <v>2365.5210000000002</v>
      </c>
      <c r="H280" s="87"/>
      <c r="I280" s="88">
        <v>657644.72400000005</v>
      </c>
      <c r="J280" s="89">
        <v>572542.696</v>
      </c>
      <c r="K280" s="89"/>
      <c r="L280" s="89"/>
      <c r="M280" s="89">
        <v>405898.87800000003</v>
      </c>
      <c r="N280" s="89">
        <v>-320796.84999999998</v>
      </c>
      <c r="O280" s="88">
        <v>8700.2999999999993</v>
      </c>
      <c r="P280" s="89">
        <v>2111.6</v>
      </c>
      <c r="Q280" s="89">
        <v>1650.5</v>
      </c>
      <c r="R280" s="89">
        <v>461.1</v>
      </c>
      <c r="S280" s="89">
        <v>6588.7</v>
      </c>
      <c r="T280" s="89"/>
      <c r="U280" s="88">
        <v>7605.1759000000002</v>
      </c>
      <c r="V280" s="89">
        <v>1851.4069</v>
      </c>
      <c r="W280" s="89">
        <v>1365.5908999999999</v>
      </c>
      <c r="X280" s="89">
        <v>485.81599999999997</v>
      </c>
      <c r="Y280" s="89">
        <v>5753.7690000000002</v>
      </c>
      <c r="Z280" s="89"/>
      <c r="AA280" s="88">
        <v>1957.2049999999999</v>
      </c>
      <c r="AB280" s="89">
        <v>180.79000000000002</v>
      </c>
      <c r="AC280" s="89">
        <v>166.20400000000001</v>
      </c>
      <c r="AD280" s="89">
        <v>14.586</v>
      </c>
      <c r="AE280" s="89">
        <v>1776.415</v>
      </c>
      <c r="AF280" s="89"/>
      <c r="AG280" s="88">
        <v>91561.499435252525</v>
      </c>
      <c r="AH280" s="89">
        <v>19055.641194470183</v>
      </c>
      <c r="AI280" s="89">
        <v>11043.00250119018</v>
      </c>
      <c r="AJ280" s="89">
        <v>8012.6386932800006</v>
      </c>
      <c r="AK280" s="89">
        <v>72505.858240782341</v>
      </c>
      <c r="AL280" s="89"/>
      <c r="AM280" s="88">
        <v>4941584</v>
      </c>
      <c r="AN280" s="89">
        <v>1525168</v>
      </c>
      <c r="AO280" s="89">
        <v>1420263</v>
      </c>
      <c r="AP280" s="89">
        <v>104905</v>
      </c>
      <c r="AQ280" s="89">
        <v>3008688</v>
      </c>
      <c r="AR280" s="89">
        <v>407727</v>
      </c>
      <c r="AS280" s="88">
        <v>79926160.643546999</v>
      </c>
      <c r="AT280" s="89">
        <v>430542.59649800003</v>
      </c>
      <c r="AU280" s="89">
        <v>430542.59649800003</v>
      </c>
      <c r="AV280" s="89"/>
      <c r="AW280" s="89">
        <v>97688318.813044995</v>
      </c>
      <c r="AX280" s="89">
        <v>-18192700.765996002</v>
      </c>
      <c r="AY280" s="88">
        <v>308307755.90486455</v>
      </c>
      <c r="AZ280" s="89">
        <f t="shared" si="19"/>
        <v>56408144.28038913</v>
      </c>
      <c r="BA280" s="89">
        <v>44797707.621739127</v>
      </c>
      <c r="BB280" s="89">
        <v>11610436.65865</v>
      </c>
      <c r="BC280" s="89">
        <v>251899611.62447545</v>
      </c>
      <c r="BD280" s="89"/>
      <c r="BE280" s="88">
        <v>10899668.7242289</v>
      </c>
      <c r="BF280" s="89">
        <v>800740.96539428993</v>
      </c>
      <c r="BG280" s="89">
        <v>651305.71019237</v>
      </c>
      <c r="BH280" s="89">
        <v>149435.25520191999</v>
      </c>
      <c r="BI280" s="89">
        <v>11139286.99130187</v>
      </c>
      <c r="BJ280" s="89">
        <v>-1040359.23246726</v>
      </c>
      <c r="BK280" s="88">
        <v>692.14251693000006</v>
      </c>
      <c r="BL280" s="89">
        <v>-104.73848307</v>
      </c>
      <c r="BM280" s="89">
        <v>12.029037929999991</v>
      </c>
      <c r="BN280" s="89">
        <v>-116.76752099999999</v>
      </c>
      <c r="BO280" s="89">
        <v>796.88099999999997</v>
      </c>
      <c r="BP280" s="89"/>
      <c r="BQ280" s="88">
        <v>22502.98803</v>
      </c>
      <c r="BR280" s="89">
        <v>-1725.6765620000001</v>
      </c>
      <c r="BS280" s="89">
        <v>-751.47357100000022</v>
      </c>
      <c r="BT280" s="89">
        <v>-974.202991</v>
      </c>
      <c r="BU280" s="89">
        <v>24228.664592000001</v>
      </c>
      <c r="BV280" s="89"/>
      <c r="BW280" s="88">
        <v>13625.790441900001</v>
      </c>
      <c r="BX280" s="89">
        <v>6298.5595204737338</v>
      </c>
      <c r="BY280" s="89">
        <v>6182.6570889137338</v>
      </c>
      <c r="BZ280" s="89">
        <v>115.90243156</v>
      </c>
      <c r="CA280" s="89">
        <v>9601.0658301300009</v>
      </c>
      <c r="CB280" s="89">
        <v>-2273.8349087037359</v>
      </c>
      <c r="CC280" s="88">
        <v>1852.20704611</v>
      </c>
      <c r="CD280" s="89">
        <v>51.070046109999986</v>
      </c>
      <c r="CE280" s="89">
        <v>105.34090097999999</v>
      </c>
      <c r="CF280" s="89">
        <v>-54.270854870000001</v>
      </c>
      <c r="CG280" s="89">
        <v>1801.1369999999999</v>
      </c>
      <c r="CH280" s="89"/>
      <c r="CI280" s="88">
        <v>141214</v>
      </c>
      <c r="CJ280" s="89">
        <v>29349.200000000001</v>
      </c>
      <c r="CK280" s="89">
        <v>28247.4</v>
      </c>
      <c r="CL280" s="89">
        <v>1101.8</v>
      </c>
      <c r="CM280" s="89">
        <v>125260</v>
      </c>
      <c r="CN280" s="89">
        <v>-13395.3</v>
      </c>
      <c r="CO280" s="88">
        <v>108054.5</v>
      </c>
      <c r="CP280" s="89">
        <v>-33570.699999999997</v>
      </c>
      <c r="CQ280" s="89">
        <v>10953.2</v>
      </c>
      <c r="CR280" s="89">
        <v>-44523.899999999994</v>
      </c>
      <c r="CS280" s="89">
        <v>160277.4</v>
      </c>
      <c r="CT280" s="89">
        <v>-18652.2</v>
      </c>
      <c r="CU280" s="88">
        <v>59673.209320125556</v>
      </c>
      <c r="CV280" s="89">
        <v>-9120.6033772974097</v>
      </c>
      <c r="CW280" s="89">
        <v>-3251.4204415266513</v>
      </c>
      <c r="CX280" s="89">
        <v>-5869.1829357707575</v>
      </c>
      <c r="CY280" s="89">
        <v>68793.812697422967</v>
      </c>
      <c r="CZ280" s="89"/>
      <c r="DA280" s="88">
        <v>139262.96000482474</v>
      </c>
      <c r="DB280" s="89">
        <v>15567.194470594302</v>
      </c>
      <c r="DC280" s="89">
        <v>9974.1260888580982</v>
      </c>
      <c r="DD280" s="89">
        <v>5593.0683817362033</v>
      </c>
      <c r="DE280" s="89">
        <v>189749.26721874758</v>
      </c>
      <c r="DF280" s="89">
        <v>-66053.501684517134</v>
      </c>
      <c r="DG280" s="88">
        <v>402012.77889000002</v>
      </c>
      <c r="DH280" s="89">
        <v>140088.10288999998</v>
      </c>
      <c r="DI280" s="89"/>
      <c r="DJ280" s="89"/>
      <c r="DK280" s="89">
        <v>282879.96100000001</v>
      </c>
      <c r="DL280" s="89">
        <v>-20955.285</v>
      </c>
      <c r="DM280" s="88">
        <v>7246934.6692727804</v>
      </c>
      <c r="DN280" s="89">
        <v>2885853.10427278</v>
      </c>
      <c r="DO280" s="89">
        <v>2321026.92527278</v>
      </c>
      <c r="DP280" s="89">
        <v>564826.179</v>
      </c>
      <c r="DQ280" s="89">
        <v>4361081.5650000004</v>
      </c>
      <c r="DR280" s="89"/>
      <c r="DS280" s="88">
        <v>83648.38013616149</v>
      </c>
      <c r="DT280" s="89">
        <v>42015.78057264501</v>
      </c>
      <c r="DU280" s="89">
        <v>41323.75455786501</v>
      </c>
      <c r="DV280" s="89">
        <v>692.02601478000008</v>
      </c>
      <c r="DW280" s="89">
        <v>72178.575020847085</v>
      </c>
      <c r="DX280" s="89">
        <v>-30545.975457330613</v>
      </c>
      <c r="DY280" s="88">
        <v>13354.89869</v>
      </c>
      <c r="DZ280" s="89">
        <f t="shared" si="18"/>
        <v>-254.29631000000018</v>
      </c>
      <c r="EA280" s="89">
        <v>1291.0286799999999</v>
      </c>
      <c r="EB280" s="89">
        <v>-1545.3249900000001</v>
      </c>
      <c r="EC280" s="89">
        <v>13300.808000000001</v>
      </c>
      <c r="ED280" s="89"/>
      <c r="EE280" s="88">
        <v>23595.980598979997</v>
      </c>
      <c r="EF280" s="89">
        <v>-1553.0885474499992</v>
      </c>
      <c r="EG280" s="89">
        <v>-1691.0211359399991</v>
      </c>
      <c r="EH280" s="89">
        <v>137.93258849</v>
      </c>
      <c r="EI280" s="89">
        <v>32771.726079969994</v>
      </c>
      <c r="EJ280" s="89">
        <v>-7622.6569335400018</v>
      </c>
      <c r="EK280" s="88">
        <v>30430493.855657786</v>
      </c>
      <c r="EL280" s="89">
        <v>-7715781.9721852504</v>
      </c>
      <c r="EM280" s="89">
        <v>-6217509.8801081609</v>
      </c>
      <c r="EN280" s="89">
        <v>-1498272.0920770899</v>
      </c>
      <c r="EO280" s="89">
        <v>39015785.092758358</v>
      </c>
      <c r="EP280" s="89">
        <v>-869509.26491531997</v>
      </c>
      <c r="EQ280" s="88">
        <v>110792.0724179</v>
      </c>
      <c r="ER280" s="89">
        <v>-50917.788671039998</v>
      </c>
      <c r="ES280" s="89"/>
      <c r="ET280" s="89"/>
      <c r="EU280" s="89">
        <v>214384.11265349999</v>
      </c>
      <c r="EV280" s="89">
        <v>-52674.251564559992</v>
      </c>
      <c r="EW280" s="88">
        <v>939350.04186435137</v>
      </c>
      <c r="EX280" s="89">
        <f t="shared" si="20"/>
        <v>549166.58035766007</v>
      </c>
      <c r="EY280" s="89">
        <v>532839.70996452007</v>
      </c>
      <c r="EZ280" s="89">
        <v>16326.87039314</v>
      </c>
      <c r="FA280" s="89">
        <v>542821.59572720993</v>
      </c>
      <c r="FB280" s="89">
        <v>-152638.13422051864</v>
      </c>
      <c r="FC280" s="88">
        <v>1461.1337319199999</v>
      </c>
      <c r="FD280" s="89">
        <v>54.44873192</v>
      </c>
      <c r="FE280" s="89">
        <v>552.3386514</v>
      </c>
      <c r="FF280" s="89">
        <v>-497.88991948</v>
      </c>
      <c r="FG280" s="89">
        <v>1406.6849999999999</v>
      </c>
      <c r="FH280" s="89"/>
      <c r="FI280" s="88">
        <v>980.1022425299999</v>
      </c>
      <c r="FJ280" s="89">
        <v>-61.83575746999999</v>
      </c>
      <c r="FK280" s="89">
        <v>61.606985990000013</v>
      </c>
      <c r="FL280" s="89">
        <v>-123.44274346</v>
      </c>
      <c r="FM280" s="89">
        <v>1041.9380000000001</v>
      </c>
      <c r="FN280" s="89"/>
      <c r="FO280" s="88">
        <v>3911.0510558900005</v>
      </c>
      <c r="FP280" s="89">
        <v>-156.15894410999999</v>
      </c>
      <c r="FQ280" s="89">
        <v>190.41105589</v>
      </c>
      <c r="FR280" s="89">
        <v>-346.57</v>
      </c>
      <c r="FS280" s="89">
        <v>4067.21</v>
      </c>
      <c r="FT280" s="89"/>
      <c r="FU280" s="88">
        <v>4291.0999999999995</v>
      </c>
      <c r="FV280" s="89">
        <v>138.69999999999999</v>
      </c>
      <c r="FW280" s="89">
        <v>27.6</v>
      </c>
      <c r="FX280" s="89">
        <v>111.1</v>
      </c>
      <c r="FY280" s="89">
        <v>4026</v>
      </c>
      <c r="FZ280" s="89">
        <v>126.4</v>
      </c>
      <c r="GA280" s="88">
        <v>38328.400000000001</v>
      </c>
      <c r="GB280" s="89">
        <v>-6041.1999999999971</v>
      </c>
      <c r="GC280" s="89"/>
      <c r="GD280" s="89"/>
      <c r="GE280" s="89">
        <v>44369.599999999999</v>
      </c>
      <c r="GF280" s="89"/>
      <c r="GG280" s="88">
        <v>193245.77295465785</v>
      </c>
      <c r="GH280" s="89">
        <v>93693.868304719523</v>
      </c>
      <c r="GI280" s="89">
        <v>88051.015581758445</v>
      </c>
      <c r="GJ280" s="89">
        <v>5642.85272296108</v>
      </c>
      <c r="GK280" s="89">
        <v>239814.73522583445</v>
      </c>
      <c r="GL280" s="89">
        <v>-140262.83057589611</v>
      </c>
      <c r="GM280" s="88">
        <v>672481.23813145992</v>
      </c>
      <c r="GN280" s="89">
        <v>217879.8636674</v>
      </c>
      <c r="GO280" s="89">
        <v>173688.13512215001</v>
      </c>
      <c r="GP280" s="89">
        <v>44191.728545249993</v>
      </c>
      <c r="GQ280" s="89">
        <v>411606.96868090995</v>
      </c>
      <c r="GR280" s="89">
        <v>42994.405783149996</v>
      </c>
    </row>
    <row r="281" spans="1:200">
      <c r="A281" s="93"/>
      <c r="B281" s="93" t="s">
        <v>490</v>
      </c>
      <c r="C281" s="88">
        <v>2664.1498009300003</v>
      </c>
      <c r="D281" s="87">
        <v>310.22380093000015</v>
      </c>
      <c r="E281" s="87">
        <v>540.58786836000013</v>
      </c>
      <c r="F281" s="87">
        <v>-230.36406743000001</v>
      </c>
      <c r="G281" s="87">
        <v>2353.9259999999999</v>
      </c>
      <c r="H281" s="87"/>
      <c r="I281" s="88">
        <v>659786.66500000004</v>
      </c>
      <c r="J281" s="89">
        <v>576328.85600000003</v>
      </c>
      <c r="K281" s="89"/>
      <c r="L281" s="89"/>
      <c r="M281" s="89">
        <v>409128.41</v>
      </c>
      <c r="N281" s="89">
        <v>-325670.60100000002</v>
      </c>
      <c r="O281" s="88">
        <v>8715.2000000000007</v>
      </c>
      <c r="P281" s="89">
        <v>2170.3000000000002</v>
      </c>
      <c r="Q281" s="89">
        <v>1707.3</v>
      </c>
      <c r="R281" s="89">
        <v>463</v>
      </c>
      <c r="S281" s="89">
        <v>6544.9</v>
      </c>
      <c r="T281" s="89"/>
      <c r="U281" s="88">
        <v>7706.5365700000002</v>
      </c>
      <c r="V281" s="89">
        <v>1957.70957</v>
      </c>
      <c r="W281" s="89">
        <v>1470.81457</v>
      </c>
      <c r="X281" s="89">
        <v>486.89499999999998</v>
      </c>
      <c r="Y281" s="89">
        <v>5748.8270000000002</v>
      </c>
      <c r="Z281" s="89"/>
      <c r="AA281" s="88">
        <v>1915.5239999999999</v>
      </c>
      <c r="AB281" s="89">
        <v>148.17100000000002</v>
      </c>
      <c r="AC281" s="89">
        <v>133.22900000000001</v>
      </c>
      <c r="AD281" s="89">
        <v>14.942</v>
      </c>
      <c r="AE281" s="89">
        <v>1767.3530000000001</v>
      </c>
      <c r="AF281" s="89"/>
      <c r="AG281" s="88">
        <v>92349.772026466177</v>
      </c>
      <c r="AH281" s="89">
        <v>19111.07547421299</v>
      </c>
      <c r="AI281" s="89">
        <v>10951.506896292991</v>
      </c>
      <c r="AJ281" s="89">
        <v>8159.5685779200003</v>
      </c>
      <c r="AK281" s="89">
        <v>73238.696552253183</v>
      </c>
      <c r="AL281" s="89"/>
      <c r="AM281" s="88">
        <v>4980203</v>
      </c>
      <c r="AN281" s="89">
        <v>1561904</v>
      </c>
      <c r="AO281" s="89">
        <v>1457025</v>
      </c>
      <c r="AP281" s="89">
        <v>104879</v>
      </c>
      <c r="AQ281" s="89">
        <v>3019503</v>
      </c>
      <c r="AR281" s="89">
        <v>398797</v>
      </c>
      <c r="AS281" s="88">
        <v>80766788.297145009</v>
      </c>
      <c r="AT281" s="89">
        <v>585258.64101300004</v>
      </c>
      <c r="AU281" s="89">
        <v>585258.64101300004</v>
      </c>
      <c r="AV281" s="89"/>
      <c r="AW281" s="89">
        <v>98511989.573640704</v>
      </c>
      <c r="AX281" s="89">
        <v>-18330459.917508699</v>
      </c>
      <c r="AY281" s="88">
        <v>312203983.34258181</v>
      </c>
      <c r="AZ281" s="89">
        <f t="shared" si="19"/>
        <v>58175545.579632245</v>
      </c>
      <c r="BA281" s="89">
        <v>46364759.322330244</v>
      </c>
      <c r="BB281" s="89">
        <v>11810786.257301999</v>
      </c>
      <c r="BC281" s="89">
        <v>254028437.76294959</v>
      </c>
      <c r="BD281" s="89"/>
      <c r="BE281" s="88">
        <v>11045008.0822106</v>
      </c>
      <c r="BF281" s="89">
        <v>855727.00883317005</v>
      </c>
      <c r="BG281" s="89">
        <v>706552.48956599005</v>
      </c>
      <c r="BH281" s="89">
        <v>149174.51926718</v>
      </c>
      <c r="BI281" s="89">
        <v>11180213.367410079</v>
      </c>
      <c r="BJ281" s="89">
        <v>-990932.29403262003</v>
      </c>
      <c r="BK281" s="88">
        <v>678.07483165999997</v>
      </c>
      <c r="BL281" s="89">
        <v>-116.64716833999999</v>
      </c>
      <c r="BM281" s="89">
        <v>4.8494026600000071</v>
      </c>
      <c r="BN281" s="89">
        <v>-121.496571</v>
      </c>
      <c r="BO281" s="89">
        <v>794.72199999999998</v>
      </c>
      <c r="BP281" s="89"/>
      <c r="BQ281" s="88">
        <v>21547.573069000002</v>
      </c>
      <c r="BR281" s="89">
        <v>-2673.7172560000004</v>
      </c>
      <c r="BS281" s="89">
        <v>-1728.9496340000003</v>
      </c>
      <c r="BT281" s="89">
        <v>-944.76762200000007</v>
      </c>
      <c r="BU281" s="89">
        <v>24221.290325000002</v>
      </c>
      <c r="BV281" s="89"/>
      <c r="BW281" s="88">
        <v>13807.450794089998</v>
      </c>
      <c r="BX281" s="89">
        <v>6441.7638409018573</v>
      </c>
      <c r="BY281" s="89">
        <v>6266.2852025118573</v>
      </c>
      <c r="BZ281" s="89">
        <v>175.47863839000001</v>
      </c>
      <c r="CA281" s="89">
        <v>9625.4547664601196</v>
      </c>
      <c r="CB281" s="89">
        <v>-2259.7678132719789</v>
      </c>
      <c r="CC281" s="88">
        <v>1846.7044204200001</v>
      </c>
      <c r="CD281" s="89">
        <v>52.720420419999989</v>
      </c>
      <c r="CE281" s="89">
        <v>106.37027529</v>
      </c>
      <c r="CF281" s="89">
        <v>-53.649854870000006</v>
      </c>
      <c r="CG281" s="89">
        <v>1793.9839999999999</v>
      </c>
      <c r="CH281" s="89"/>
      <c r="CI281" s="88">
        <v>137392.79999999999</v>
      </c>
      <c r="CJ281" s="89">
        <v>24737.3</v>
      </c>
      <c r="CK281" s="89">
        <v>23654.799999999999</v>
      </c>
      <c r="CL281" s="89">
        <v>1082.5</v>
      </c>
      <c r="CM281" s="89">
        <v>125851.4</v>
      </c>
      <c r="CN281" s="89">
        <v>-13195.9</v>
      </c>
      <c r="CO281" s="88">
        <v>115498.9</v>
      </c>
      <c r="CP281" s="89">
        <v>-27374.400000000001</v>
      </c>
      <c r="CQ281" s="89">
        <v>16881.5</v>
      </c>
      <c r="CR281" s="89">
        <v>-44255.9</v>
      </c>
      <c r="CS281" s="89">
        <v>161929.4</v>
      </c>
      <c r="CT281" s="89">
        <v>-19056.099999999999</v>
      </c>
      <c r="CU281" s="88">
        <v>63756.289445346556</v>
      </c>
      <c r="CV281" s="89">
        <v>-6157.578593263268</v>
      </c>
      <c r="CW281" s="89">
        <v>-688.70211473079769</v>
      </c>
      <c r="CX281" s="89">
        <v>-5468.8764785324702</v>
      </c>
      <c r="CY281" s="89">
        <v>69913.868038609828</v>
      </c>
      <c r="CZ281" s="89"/>
      <c r="DA281" s="88">
        <v>139214.03252851783</v>
      </c>
      <c r="DB281" s="89">
        <v>16307.334988324987</v>
      </c>
      <c r="DC281" s="89">
        <v>10735.236153711026</v>
      </c>
      <c r="DD281" s="89">
        <v>5572.0988346139602</v>
      </c>
      <c r="DE281" s="89">
        <v>190684.79524306604</v>
      </c>
      <c r="DF281" s="89">
        <v>-67778.097702873216</v>
      </c>
      <c r="DG281" s="88">
        <v>414026.01559999998</v>
      </c>
      <c r="DH281" s="89">
        <v>156220.06959999999</v>
      </c>
      <c r="DI281" s="89"/>
      <c r="DJ281" s="89"/>
      <c r="DK281" s="89">
        <v>286872.109</v>
      </c>
      <c r="DL281" s="89">
        <v>-29066.163</v>
      </c>
      <c r="DM281" s="88">
        <v>7214523.0721605401</v>
      </c>
      <c r="DN281" s="89">
        <v>2843913.20216054</v>
      </c>
      <c r="DO281" s="89">
        <v>2271158.6881605401</v>
      </c>
      <c r="DP281" s="89">
        <v>572754.51399999997</v>
      </c>
      <c r="DQ281" s="89">
        <v>4370609.87</v>
      </c>
      <c r="DR281" s="89"/>
      <c r="DS281" s="88">
        <v>86488.194167104462</v>
      </c>
      <c r="DT281" s="89">
        <v>43722.215839271143</v>
      </c>
      <c r="DU281" s="89">
        <v>43032.049205141142</v>
      </c>
      <c r="DV281" s="89">
        <v>690.16663412999992</v>
      </c>
      <c r="DW281" s="89">
        <v>72232.828251170635</v>
      </c>
      <c r="DX281" s="89">
        <v>-29466.849923337311</v>
      </c>
      <c r="DY281" s="88">
        <v>13245.566529</v>
      </c>
      <c r="DZ281" s="89">
        <f t="shared" si="18"/>
        <v>-355.38647100000003</v>
      </c>
      <c r="EA281" s="89">
        <v>1208.264819</v>
      </c>
      <c r="EB281" s="89">
        <v>-1563.65129</v>
      </c>
      <c r="EC281" s="89">
        <v>13281.163</v>
      </c>
      <c r="ED281" s="89"/>
      <c r="EE281" s="88">
        <v>23818.639205740001</v>
      </c>
      <c r="EF281" s="89">
        <v>-1528.369725139999</v>
      </c>
      <c r="EG281" s="89">
        <v>-1667.2889070099991</v>
      </c>
      <c r="EH281" s="89">
        <v>138.91918186999999</v>
      </c>
      <c r="EI281" s="89">
        <v>33008.62462422</v>
      </c>
      <c r="EJ281" s="89">
        <v>-7661.6156933399989</v>
      </c>
      <c r="EK281" s="88">
        <v>30748085.442360718</v>
      </c>
      <c r="EL281" s="89">
        <v>-7273034.7528373301</v>
      </c>
      <c r="EM281" s="89">
        <v>-5740573.9836110799</v>
      </c>
      <c r="EN281" s="89">
        <v>-1532460.7692262498</v>
      </c>
      <c r="EO281" s="89">
        <v>38868393.939085409</v>
      </c>
      <c r="EP281" s="89">
        <v>-847273.74388735986</v>
      </c>
      <c r="EQ281" s="88">
        <v>112245.79168514002</v>
      </c>
      <c r="ER281" s="89">
        <v>-50027.00856717</v>
      </c>
      <c r="ES281" s="89"/>
      <c r="ET281" s="89"/>
      <c r="EU281" s="89">
        <v>214928.35236814996</v>
      </c>
      <c r="EV281" s="89">
        <v>-52655.552115839935</v>
      </c>
      <c r="EW281" s="88">
        <v>948733.40753750782</v>
      </c>
      <c r="EX281" s="89">
        <f t="shared" si="20"/>
        <v>558704.12347986002</v>
      </c>
      <c r="EY281" s="89">
        <v>540011.73248347</v>
      </c>
      <c r="EZ281" s="89">
        <v>18692.390996390001</v>
      </c>
      <c r="FA281" s="89">
        <v>544521.42752263008</v>
      </c>
      <c r="FB281" s="89">
        <v>-154492.14346498228</v>
      </c>
      <c r="FC281" s="88">
        <v>1419.548663</v>
      </c>
      <c r="FD281" s="89">
        <v>13.577662999999973</v>
      </c>
      <c r="FE281" s="89">
        <v>517.82458199999996</v>
      </c>
      <c r="FF281" s="89">
        <v>-504.24691899999999</v>
      </c>
      <c r="FG281" s="89">
        <v>1405.971</v>
      </c>
      <c r="FH281" s="89"/>
      <c r="FI281" s="88">
        <v>968.24143199999992</v>
      </c>
      <c r="FJ281" s="89">
        <v>-71.883567999999997</v>
      </c>
      <c r="FK281" s="89">
        <v>55.402173000000012</v>
      </c>
      <c r="FL281" s="89">
        <v>-127.285741</v>
      </c>
      <c r="FM281" s="89">
        <v>1040.125</v>
      </c>
      <c r="FN281" s="89"/>
      <c r="FO281" s="88">
        <v>3923.2421364700003</v>
      </c>
      <c r="FP281" s="89">
        <v>-153.03586353</v>
      </c>
      <c r="FQ281" s="89">
        <v>193.21213646999999</v>
      </c>
      <c r="FR281" s="89">
        <v>-346.24799999999999</v>
      </c>
      <c r="FS281" s="89">
        <v>4076.2779999999998</v>
      </c>
      <c r="FT281" s="89"/>
      <c r="FU281" s="88">
        <v>4635</v>
      </c>
      <c r="FV281" s="89">
        <v>490.9</v>
      </c>
      <c r="FW281" s="89">
        <v>379.8</v>
      </c>
      <c r="FX281" s="89">
        <v>111.1</v>
      </c>
      <c r="FY281" s="89">
        <v>4020.4</v>
      </c>
      <c r="FZ281" s="89">
        <v>123.7</v>
      </c>
      <c r="GA281" s="88">
        <v>34390.400000000001</v>
      </c>
      <c r="GB281" s="89">
        <v>-9866</v>
      </c>
      <c r="GC281" s="89"/>
      <c r="GD281" s="89"/>
      <c r="GE281" s="89">
        <v>44256.4</v>
      </c>
      <c r="GF281" s="89"/>
      <c r="GG281" s="88">
        <v>189268.61936215078</v>
      </c>
      <c r="GH281" s="89">
        <v>95931.451750591863</v>
      </c>
      <c r="GI281" s="89">
        <v>91769.925123975758</v>
      </c>
      <c r="GJ281" s="89">
        <v>4161.5266266160997</v>
      </c>
      <c r="GK281" s="89">
        <v>242285.95444733108</v>
      </c>
      <c r="GL281" s="89">
        <v>-148948.78683577213</v>
      </c>
      <c r="GM281" s="88">
        <v>710426.11811544991</v>
      </c>
      <c r="GN281" s="89">
        <v>249403.79344160995</v>
      </c>
      <c r="GO281" s="89">
        <v>196449.76679385995</v>
      </c>
      <c r="GP281" s="89">
        <v>52954.026647749997</v>
      </c>
      <c r="GQ281" s="89">
        <v>416603.73394639004</v>
      </c>
      <c r="GR281" s="89">
        <v>44418.590727449991</v>
      </c>
    </row>
    <row r="282" spans="1:200">
      <c r="A282" s="93"/>
      <c r="B282" s="93" t="s">
        <v>491</v>
      </c>
      <c r="C282" s="88">
        <v>2615.90669037</v>
      </c>
      <c r="D282" s="87">
        <v>270.66069037000005</v>
      </c>
      <c r="E282" s="87">
        <v>523.87775780000004</v>
      </c>
      <c r="F282" s="87">
        <v>-253.21706742999999</v>
      </c>
      <c r="G282" s="87">
        <v>2345.2460000000001</v>
      </c>
      <c r="H282" s="87"/>
      <c r="I282" s="88">
        <v>679120.56499999994</v>
      </c>
      <c r="J282" s="89">
        <v>576562.14300000004</v>
      </c>
      <c r="K282" s="89"/>
      <c r="L282" s="89"/>
      <c r="M282" s="89">
        <v>418516.81300000002</v>
      </c>
      <c r="N282" s="89">
        <v>-315958.391</v>
      </c>
      <c r="O282" s="88">
        <v>8753.7000000000007</v>
      </c>
      <c r="P282" s="89">
        <v>2216.6999999999998</v>
      </c>
      <c r="Q282" s="89">
        <v>1751.3</v>
      </c>
      <c r="R282" s="89">
        <v>465.4</v>
      </c>
      <c r="S282" s="89">
        <v>6537</v>
      </c>
      <c r="T282" s="89"/>
      <c r="U282" s="88">
        <v>7671.4186499999996</v>
      </c>
      <c r="V282" s="89">
        <v>1940.3326499999998</v>
      </c>
      <c r="W282" s="89">
        <v>1467.2846499999998</v>
      </c>
      <c r="X282" s="89">
        <v>473.048</v>
      </c>
      <c r="Y282" s="89">
        <v>5731.0860000000002</v>
      </c>
      <c r="Z282" s="89"/>
      <c r="AA282" s="88">
        <v>1926.6949999999999</v>
      </c>
      <c r="AB282" s="89">
        <v>157.88299999999998</v>
      </c>
      <c r="AC282" s="89">
        <v>143.04</v>
      </c>
      <c r="AD282" s="89">
        <v>14.843</v>
      </c>
      <c r="AE282" s="89">
        <v>1768.8119999999999</v>
      </c>
      <c r="AF282" s="89"/>
      <c r="AG282" s="88">
        <v>93008.929189283837</v>
      </c>
      <c r="AH282" s="89">
        <v>19087.522047662242</v>
      </c>
      <c r="AI282" s="89">
        <v>10840.175585482244</v>
      </c>
      <c r="AJ282" s="89">
        <v>8247.3464621799994</v>
      </c>
      <c r="AK282" s="89">
        <v>73921.407141621603</v>
      </c>
      <c r="AL282" s="89"/>
      <c r="AM282" s="88">
        <v>5066492</v>
      </c>
      <c r="AN282" s="89">
        <v>1563355</v>
      </c>
      <c r="AO282" s="89">
        <v>1457010</v>
      </c>
      <c r="AP282" s="89">
        <v>106345</v>
      </c>
      <c r="AQ282" s="89">
        <v>3080155</v>
      </c>
      <c r="AR282" s="89">
        <v>422981</v>
      </c>
      <c r="AS282" s="88">
        <v>81039561.839467004</v>
      </c>
      <c r="AT282" s="89">
        <v>706381.28830500005</v>
      </c>
      <c r="AU282" s="89">
        <v>706381.28830500005</v>
      </c>
      <c r="AV282" s="89"/>
      <c r="AW282" s="89">
        <v>99053439.924834996</v>
      </c>
      <c r="AX282" s="89">
        <v>-18720259.373673003</v>
      </c>
      <c r="AY282" s="88">
        <v>305905411.58505303</v>
      </c>
      <c r="AZ282" s="89">
        <f t="shared" si="19"/>
        <v>49643762.694173962</v>
      </c>
      <c r="BA282" s="89">
        <v>37994259.076033965</v>
      </c>
      <c r="BB282" s="89">
        <v>11649503.618140001</v>
      </c>
      <c r="BC282" s="89">
        <v>256261648.89087903</v>
      </c>
      <c r="BD282" s="89"/>
      <c r="BE282" s="88">
        <v>11103065.702599401</v>
      </c>
      <c r="BF282" s="89">
        <v>898803.68346008996</v>
      </c>
      <c r="BG282" s="89">
        <v>748102.54262117995</v>
      </c>
      <c r="BH282" s="89">
        <v>150701.14083891001</v>
      </c>
      <c r="BI282" s="89">
        <v>11220858.54949322</v>
      </c>
      <c r="BJ282" s="89">
        <v>-1016596.53035389</v>
      </c>
      <c r="BK282" s="88">
        <v>669.01694581000004</v>
      </c>
      <c r="BL282" s="89">
        <v>-128.88105418999999</v>
      </c>
      <c r="BM282" s="89">
        <v>3.3425168100000153</v>
      </c>
      <c r="BN282" s="89">
        <v>-132.22357099999999</v>
      </c>
      <c r="BO282" s="89">
        <v>797.89800000000002</v>
      </c>
      <c r="BP282" s="89"/>
      <c r="BQ282" s="88">
        <v>21903.519850000004</v>
      </c>
      <c r="BR282" s="89">
        <v>-2580.0407999999998</v>
      </c>
      <c r="BS282" s="89">
        <v>-1508.7988599999999</v>
      </c>
      <c r="BT282" s="89">
        <v>-1071.2419399999999</v>
      </c>
      <c r="BU282" s="89">
        <v>24483.560650000003</v>
      </c>
      <c r="BV282" s="89"/>
      <c r="BW282" s="88">
        <v>13958.697812409999</v>
      </c>
      <c r="BX282" s="89">
        <v>6429.2754981118587</v>
      </c>
      <c r="BY282" s="89">
        <v>6247.1168604518589</v>
      </c>
      <c r="BZ282" s="89">
        <v>182.15863766000001</v>
      </c>
      <c r="CA282" s="89">
        <v>9678.6468074201202</v>
      </c>
      <c r="CB282" s="89">
        <v>-2149.2244931219793</v>
      </c>
      <c r="CC282" s="88">
        <v>1848.47387346</v>
      </c>
      <c r="CD282" s="89">
        <v>46.334873459999983</v>
      </c>
      <c r="CE282" s="89">
        <v>113.30972832999998</v>
      </c>
      <c r="CF282" s="89">
        <v>-66.974854870000001</v>
      </c>
      <c r="CG282" s="89">
        <v>1802.1389999999999</v>
      </c>
      <c r="CH282" s="89"/>
      <c r="CI282" s="88">
        <v>139056.1</v>
      </c>
      <c r="CJ282" s="89">
        <v>25536.2</v>
      </c>
      <c r="CK282" s="89">
        <v>24381.4</v>
      </c>
      <c r="CL282" s="89">
        <v>1154.8000000000002</v>
      </c>
      <c r="CM282" s="89">
        <v>126351</v>
      </c>
      <c r="CN282" s="89">
        <v>-12831</v>
      </c>
      <c r="CO282" s="88">
        <v>119317.7</v>
      </c>
      <c r="CP282" s="89">
        <v>-23403.8</v>
      </c>
      <c r="CQ282" s="89">
        <v>17554.5</v>
      </c>
      <c r="CR282" s="89">
        <v>-40958.300000000003</v>
      </c>
      <c r="CS282" s="89">
        <v>163535.9</v>
      </c>
      <c r="CT282" s="89">
        <v>-20814.400000000001</v>
      </c>
      <c r="CU282" s="88">
        <v>61448.078827029443</v>
      </c>
      <c r="CV282" s="89">
        <v>-9532.594915259715</v>
      </c>
      <c r="CW282" s="89">
        <v>-3155.4805483760906</v>
      </c>
      <c r="CX282" s="89">
        <v>-6377.114366883623</v>
      </c>
      <c r="CY282" s="89">
        <v>70980.67374228916</v>
      </c>
      <c r="CZ282" s="89"/>
      <c r="DA282" s="88">
        <v>132813.30788799986</v>
      </c>
      <c r="DB282" s="89">
        <v>9025.2611940162315</v>
      </c>
      <c r="DC282" s="89">
        <v>3522.8434412736169</v>
      </c>
      <c r="DD282" s="89">
        <v>5502.4177527426145</v>
      </c>
      <c r="DE282" s="89">
        <v>192651.24851224656</v>
      </c>
      <c r="DF282" s="89">
        <v>-68863.201818262911</v>
      </c>
      <c r="DG282" s="88">
        <v>386481.24372638616</v>
      </c>
      <c r="DH282" s="89">
        <v>120466.63872638617</v>
      </c>
      <c r="DI282" s="89"/>
      <c r="DJ282" s="89"/>
      <c r="DK282" s="89">
        <v>292629.06099999999</v>
      </c>
      <c r="DL282" s="89">
        <v>-26614.455999999998</v>
      </c>
      <c r="DM282" s="88">
        <v>7215283.74568226</v>
      </c>
      <c r="DN282" s="89">
        <v>2786549.96168226</v>
      </c>
      <c r="DO282" s="89">
        <v>2211612.73968226</v>
      </c>
      <c r="DP282" s="89">
        <v>574937.22199999995</v>
      </c>
      <c r="DQ282" s="89">
        <v>4428733.784</v>
      </c>
      <c r="DR282" s="89"/>
      <c r="DS282" s="88">
        <v>85399.994044176216</v>
      </c>
      <c r="DT282" s="89">
        <v>42594.538889229283</v>
      </c>
      <c r="DU282" s="89">
        <v>41881.93893855928</v>
      </c>
      <c r="DV282" s="89">
        <v>712.59995067</v>
      </c>
      <c r="DW282" s="89">
        <v>73819.115578362078</v>
      </c>
      <c r="DX282" s="89">
        <v>-31013.660423415153</v>
      </c>
      <c r="DY282" s="88">
        <v>13166.978447000001</v>
      </c>
      <c r="DZ282" s="89">
        <f t="shared" si="18"/>
        <v>-428.19155300000011</v>
      </c>
      <c r="EA282" s="89">
        <v>1193.9037369999999</v>
      </c>
      <c r="EB282" s="89">
        <v>-1622.09529</v>
      </c>
      <c r="EC282" s="89">
        <v>13266.425999999999</v>
      </c>
      <c r="ED282" s="89"/>
      <c r="EE282" s="88">
        <v>24268.212209510006</v>
      </c>
      <c r="EF282" s="89">
        <v>-1268.2023801100006</v>
      </c>
      <c r="EG282" s="89">
        <v>-1404.4471712600007</v>
      </c>
      <c r="EH282" s="89">
        <v>136.24479115</v>
      </c>
      <c r="EI282" s="89">
        <v>33342.932795930006</v>
      </c>
      <c r="EJ282" s="89">
        <v>-7806.5182063099992</v>
      </c>
      <c r="EK282" s="88">
        <v>31045995.275257275</v>
      </c>
      <c r="EL282" s="89">
        <v>-7161982.02032841</v>
      </c>
      <c r="EM282" s="89">
        <v>-5679254.3217964303</v>
      </c>
      <c r="EN282" s="89">
        <v>-1482727.6985319797</v>
      </c>
      <c r="EO282" s="89">
        <v>39105822.224916503</v>
      </c>
      <c r="EP282" s="89">
        <v>-897844.9293308201</v>
      </c>
      <c r="EQ282" s="88">
        <v>110409.09082015</v>
      </c>
      <c r="ER282" s="89">
        <v>-54425.378961069997</v>
      </c>
      <c r="ES282" s="89"/>
      <c r="ET282" s="89"/>
      <c r="EU282" s="89">
        <v>216560.85150346003</v>
      </c>
      <c r="EV282" s="89">
        <v>-51726.381722240039</v>
      </c>
      <c r="EW282" s="88">
        <v>952799.18949229049</v>
      </c>
      <c r="EX282" s="89">
        <f t="shared" si="20"/>
        <v>557699.60948680015</v>
      </c>
      <c r="EY282" s="89">
        <v>538069.89372195012</v>
      </c>
      <c r="EZ282" s="89">
        <v>19629.715764850003</v>
      </c>
      <c r="FA282" s="89">
        <v>545660.57042782998</v>
      </c>
      <c r="FB282" s="89">
        <v>-150560.99042233953</v>
      </c>
      <c r="FC282" s="88">
        <v>1385.7037048899997</v>
      </c>
      <c r="FD282" s="89">
        <v>-19.629295110000101</v>
      </c>
      <c r="FE282" s="89">
        <v>507.96362436999999</v>
      </c>
      <c r="FF282" s="89">
        <v>-527.59291948000009</v>
      </c>
      <c r="FG282" s="89">
        <v>1405.3330000000001</v>
      </c>
      <c r="FH282" s="89"/>
      <c r="FI282" s="88">
        <v>990.06120476000001</v>
      </c>
      <c r="FJ282" s="89">
        <v>-51.56579524</v>
      </c>
      <c r="FK282" s="89">
        <v>60.12294571999999</v>
      </c>
      <c r="FL282" s="89">
        <v>-111.68874095999999</v>
      </c>
      <c r="FM282" s="89">
        <v>1041.627</v>
      </c>
      <c r="FN282" s="89"/>
      <c r="FO282" s="88">
        <v>3897.0180426100001</v>
      </c>
      <c r="FP282" s="89">
        <v>-162.28695738999997</v>
      </c>
      <c r="FQ282" s="89">
        <v>193.02904261</v>
      </c>
      <c r="FR282" s="89">
        <v>-355.31599999999997</v>
      </c>
      <c r="FS282" s="89">
        <v>4059.3049999999998</v>
      </c>
      <c r="FT282" s="89"/>
      <c r="FU282" s="88">
        <v>4810</v>
      </c>
      <c r="FV282" s="89">
        <v>594</v>
      </c>
      <c r="FW282" s="89">
        <v>487.7</v>
      </c>
      <c r="FX282" s="89">
        <v>106.3</v>
      </c>
      <c r="FY282" s="89">
        <v>4094.1</v>
      </c>
      <c r="FZ282" s="89">
        <v>121.9</v>
      </c>
      <c r="GA282" s="88">
        <v>35078.9</v>
      </c>
      <c r="GB282" s="89">
        <v>-9196.9000000000015</v>
      </c>
      <c r="GC282" s="89"/>
      <c r="GD282" s="89"/>
      <c r="GE282" s="89">
        <v>44275.8</v>
      </c>
      <c r="GF282" s="89"/>
      <c r="GG282" s="88">
        <v>191376.2557556096</v>
      </c>
      <c r="GH282" s="89">
        <v>96759.567443614695</v>
      </c>
      <c r="GI282" s="89">
        <v>92241.235613507684</v>
      </c>
      <c r="GJ282" s="89">
        <v>4518.3318301070003</v>
      </c>
      <c r="GK282" s="89">
        <v>245346.31902019115</v>
      </c>
      <c r="GL282" s="89">
        <v>-150729.63070819626</v>
      </c>
      <c r="GM282" s="88">
        <v>737051.46153792972</v>
      </c>
      <c r="GN282" s="89">
        <v>254314.13413954989</v>
      </c>
      <c r="GO282" s="89">
        <v>201499.74077203992</v>
      </c>
      <c r="GP282" s="89">
        <v>52814.393367509991</v>
      </c>
      <c r="GQ282" s="89">
        <v>434624.43326090986</v>
      </c>
      <c r="GR282" s="89">
        <v>48112.894137470001</v>
      </c>
    </row>
    <row r="283" spans="1:200">
      <c r="B283" s="93" t="s">
        <v>492</v>
      </c>
      <c r="C283" s="88">
        <v>2632.1165741200002</v>
      </c>
      <c r="D283" s="87">
        <v>293.13957412000008</v>
      </c>
      <c r="E283" s="87">
        <v>539.66208200000005</v>
      </c>
      <c r="F283" s="87">
        <v>-246.52250787999998</v>
      </c>
      <c r="G283" s="87">
        <v>2338.9769999999999</v>
      </c>
      <c r="H283" s="87"/>
      <c r="I283" s="88">
        <v>695039.598</v>
      </c>
      <c r="J283" s="89">
        <v>602084.72400000005</v>
      </c>
      <c r="K283" s="89"/>
      <c r="L283" s="89"/>
      <c r="M283" s="89">
        <v>427304.51199999999</v>
      </c>
      <c r="N283" s="89">
        <v>-334349.63799999998</v>
      </c>
      <c r="O283" s="88">
        <v>8727.1</v>
      </c>
      <c r="P283" s="89">
        <v>2185.9</v>
      </c>
      <c r="Q283" s="89">
        <v>1722.2</v>
      </c>
      <c r="R283" s="89">
        <v>463.7</v>
      </c>
      <c r="S283" s="89">
        <v>6541.2</v>
      </c>
      <c r="T283" s="89"/>
      <c r="U283" s="88">
        <v>7700.0460400000002</v>
      </c>
      <c r="V283" s="89">
        <v>2013.64804</v>
      </c>
      <c r="W283" s="89">
        <v>1562.30504</v>
      </c>
      <c r="X283" s="89">
        <v>451.34300000000002</v>
      </c>
      <c r="Y283" s="89">
        <v>5686.3980000000001</v>
      </c>
      <c r="Z283" s="89"/>
      <c r="AA283" s="88">
        <v>1919.0719999999999</v>
      </c>
      <c r="AB283" s="89">
        <v>133.09100000000001</v>
      </c>
      <c r="AC283" s="89">
        <v>118.523</v>
      </c>
      <c r="AD283" s="89">
        <v>14.568</v>
      </c>
      <c r="AE283" s="89">
        <v>1785.981</v>
      </c>
      <c r="AF283" s="89"/>
      <c r="AG283" s="88">
        <v>95394.446130697426</v>
      </c>
      <c r="AH283" s="89">
        <v>19436.071463437111</v>
      </c>
      <c r="AI283" s="89">
        <v>10848.61725564711</v>
      </c>
      <c r="AJ283" s="89">
        <v>8587.4542077900005</v>
      </c>
      <c r="AK283" s="89">
        <v>75958.374667260316</v>
      </c>
      <c r="AL283" s="89"/>
      <c r="AM283" s="88">
        <v>5123712</v>
      </c>
      <c r="AN283" s="89">
        <v>1578975</v>
      </c>
      <c r="AO283" s="89">
        <v>1470468</v>
      </c>
      <c r="AP283" s="89">
        <v>108507</v>
      </c>
      <c r="AQ283" s="89">
        <v>3120377</v>
      </c>
      <c r="AR283" s="89">
        <v>424361</v>
      </c>
      <c r="AS283" s="88">
        <v>81427015.059712991</v>
      </c>
      <c r="AT283" s="89">
        <v>288726.63897199999</v>
      </c>
      <c r="AU283" s="89">
        <v>288726.63897199999</v>
      </c>
      <c r="AV283" s="89"/>
      <c r="AW283" s="89">
        <v>99835525.794839501</v>
      </c>
      <c r="AX283" s="89">
        <v>-18697237.374098498</v>
      </c>
      <c r="AY283" s="88">
        <v>319445056.92243046</v>
      </c>
      <c r="AZ283" s="89">
        <f t="shared" si="19"/>
        <v>58578529.486552544</v>
      </c>
      <c r="BA283" s="89">
        <v>46851611.193310544</v>
      </c>
      <c r="BB283" s="89">
        <v>11726918.293242</v>
      </c>
      <c r="BC283" s="89">
        <v>260866527.43587795</v>
      </c>
      <c r="BD283" s="89"/>
      <c r="BE283" s="88">
        <v>10659793.563352499</v>
      </c>
      <c r="BF283" s="89">
        <v>414094.85569369001</v>
      </c>
      <c r="BG283" s="89">
        <v>262367.05272555002</v>
      </c>
      <c r="BH283" s="89">
        <v>151727.80296813999</v>
      </c>
      <c r="BI283" s="89">
        <v>11296015.43159098</v>
      </c>
      <c r="BJ283" s="89">
        <v>-1050316.7239322001</v>
      </c>
      <c r="BK283" s="88">
        <v>682.59071396000013</v>
      </c>
      <c r="BL283" s="89">
        <v>-115.73728604</v>
      </c>
      <c r="BM283" s="89">
        <v>7.2987657500000056</v>
      </c>
      <c r="BN283" s="89">
        <v>-123.03605179</v>
      </c>
      <c r="BO283" s="89">
        <v>798.32799999999997</v>
      </c>
      <c r="BP283" s="89"/>
      <c r="BQ283" s="88">
        <v>21885.462923000003</v>
      </c>
      <c r="BR283" s="89">
        <v>-2943.139549</v>
      </c>
      <c r="BS283" s="89">
        <v>-1831.489384</v>
      </c>
      <c r="BT283" s="89">
        <v>-1111.650165</v>
      </c>
      <c r="BU283" s="89">
        <v>24828.602472000002</v>
      </c>
      <c r="BV283" s="89"/>
      <c r="BW283" s="88">
        <v>13760.057138456003</v>
      </c>
      <c r="BX283" s="89">
        <v>6314.4628320859993</v>
      </c>
      <c r="BY283" s="89">
        <v>6145.0431629659997</v>
      </c>
      <c r="BZ283" s="89">
        <v>169.41966911999998</v>
      </c>
      <c r="CA283" s="89">
        <v>9692.4196467901402</v>
      </c>
      <c r="CB283" s="89">
        <v>-2246.8253404201378</v>
      </c>
      <c r="CC283" s="88">
        <v>1815.63647156</v>
      </c>
      <c r="CD283" s="89">
        <v>23.249471560000003</v>
      </c>
      <c r="CE283" s="89">
        <v>86.391311040000005</v>
      </c>
      <c r="CF283" s="89">
        <v>-63.141839480000002</v>
      </c>
      <c r="CG283" s="89">
        <v>1792.3869999999999</v>
      </c>
      <c r="CH283" s="89"/>
      <c r="CI283" s="88">
        <v>139383</v>
      </c>
      <c r="CJ283" s="89">
        <v>24125.7</v>
      </c>
      <c r="CK283" s="89">
        <v>22972.5</v>
      </c>
      <c r="CL283" s="89">
        <v>1153.2</v>
      </c>
      <c r="CM283" s="89">
        <v>127667.8</v>
      </c>
      <c r="CN283" s="89">
        <v>-12410.4</v>
      </c>
      <c r="CO283" s="88">
        <v>122204.9</v>
      </c>
      <c r="CP283" s="89">
        <v>-21795.1</v>
      </c>
      <c r="CQ283" s="89">
        <v>17506.900000000001</v>
      </c>
      <c r="CR283" s="89">
        <v>-39302</v>
      </c>
      <c r="CS283" s="89">
        <v>165962.5</v>
      </c>
      <c r="CT283" s="89">
        <v>-21962.400000000001</v>
      </c>
      <c r="CU283" s="88">
        <v>61589.720769469175</v>
      </c>
      <c r="CV283" s="89">
        <v>-9846.9815398392384</v>
      </c>
      <c r="CW283" s="89">
        <v>-3399.0166946355926</v>
      </c>
      <c r="CX283" s="89">
        <v>-6447.9648452036454</v>
      </c>
      <c r="CY283" s="89">
        <v>71436.702309308414</v>
      </c>
      <c r="CZ283" s="89"/>
      <c r="DA283" s="88">
        <v>132997.68269656994</v>
      </c>
      <c r="DB283" s="89">
        <v>8809.0950114515072</v>
      </c>
      <c r="DC283" s="89">
        <v>3325.239516079273</v>
      </c>
      <c r="DD283" s="89">
        <v>5483.8554953722341</v>
      </c>
      <c r="DE283" s="89">
        <v>193188.74724157207</v>
      </c>
      <c r="DF283" s="89">
        <v>-69000.159556453655</v>
      </c>
      <c r="DG283" s="88">
        <v>402328.55537964735</v>
      </c>
      <c r="DH283" s="89">
        <v>131111.31337964738</v>
      </c>
      <c r="DI283" s="89"/>
      <c r="DJ283" s="89"/>
      <c r="DK283" s="89">
        <v>294056.11099999998</v>
      </c>
      <c r="DL283" s="89">
        <v>-22838.868999999999</v>
      </c>
      <c r="DM283" s="88">
        <v>7386801.1282262998</v>
      </c>
      <c r="DN283" s="89">
        <v>2884873.2992262999</v>
      </c>
      <c r="DO283" s="89">
        <v>2300904.0962262996</v>
      </c>
      <c r="DP283" s="89">
        <v>583969.20299999998</v>
      </c>
      <c r="DQ283" s="89">
        <v>4501927.8289999999</v>
      </c>
      <c r="DR283" s="89"/>
      <c r="DS283" s="88">
        <v>86552.10142787447</v>
      </c>
      <c r="DT283" s="89">
        <v>42080.713184186861</v>
      </c>
      <c r="DU283" s="89">
        <v>41193.284682786863</v>
      </c>
      <c r="DV283" s="89">
        <v>887.42850139999996</v>
      </c>
      <c r="DW283" s="89">
        <v>74440.073968355442</v>
      </c>
      <c r="DX283" s="89">
        <v>-29968.685724667856</v>
      </c>
      <c r="DY283" s="88">
        <v>13099.185828</v>
      </c>
      <c r="DZ283" s="89">
        <f t="shared" si="18"/>
        <v>-430.02517200000011</v>
      </c>
      <c r="EA283" s="89">
        <v>1175.940625</v>
      </c>
      <c r="EB283" s="89">
        <v>-1605.9657970000001</v>
      </c>
      <c r="EC283" s="89">
        <v>13189.62</v>
      </c>
      <c r="ED283" s="89"/>
      <c r="EE283" s="88">
        <v>23906.954287459994</v>
      </c>
      <c r="EF283" s="89">
        <v>-1884.1516993799994</v>
      </c>
      <c r="EG283" s="89">
        <v>-2020.2546225299993</v>
      </c>
      <c r="EH283" s="89">
        <v>136.10292314999998</v>
      </c>
      <c r="EI283" s="89">
        <v>33810.295531049996</v>
      </c>
      <c r="EJ283" s="89">
        <v>-8019.1895442100013</v>
      </c>
      <c r="EK283" s="88">
        <v>31213442.779443141</v>
      </c>
      <c r="EL283" s="89">
        <v>-7327747.8206161894</v>
      </c>
      <c r="EM283" s="89">
        <v>-5685507.9730197899</v>
      </c>
      <c r="EN283" s="89">
        <v>-1642239.8475963997</v>
      </c>
      <c r="EO283" s="89">
        <v>39454162.948886171</v>
      </c>
      <c r="EP283" s="89">
        <v>-912972.34882683994</v>
      </c>
      <c r="EQ283" s="88">
        <v>108064.12290403998</v>
      </c>
      <c r="ER283" s="89">
        <v>-55229.042610200006</v>
      </c>
      <c r="ES283" s="89"/>
      <c r="ET283" s="89"/>
      <c r="EU283" s="89">
        <v>218089.57509863999</v>
      </c>
      <c r="EV283" s="89">
        <v>-54796.409584400011</v>
      </c>
      <c r="EW283" s="88">
        <v>925591.40449116845</v>
      </c>
      <c r="EX283" s="89">
        <f t="shared" si="20"/>
        <v>531432.36672770989</v>
      </c>
      <c r="EY283" s="89">
        <v>501964.22794902988</v>
      </c>
      <c r="EZ283" s="89">
        <v>29468.138778680001</v>
      </c>
      <c r="FA283" s="89">
        <v>545989.65229825</v>
      </c>
      <c r="FB283" s="89">
        <v>-151830.61453479156</v>
      </c>
      <c r="FC283" s="88">
        <v>1300.2202840100001</v>
      </c>
      <c r="FD283" s="89">
        <v>-96.014715990000013</v>
      </c>
      <c r="FE283" s="89">
        <v>447.21280373000002</v>
      </c>
      <c r="FF283" s="89">
        <v>-543.22751972000003</v>
      </c>
      <c r="FG283" s="89">
        <v>1396.2349999999999</v>
      </c>
      <c r="FH283" s="89"/>
      <c r="FI283" s="88">
        <v>1000.7038873200001</v>
      </c>
      <c r="FJ283" s="89">
        <v>-41.713112679999995</v>
      </c>
      <c r="FK283" s="89">
        <v>65.964628279999999</v>
      </c>
      <c r="FL283" s="89">
        <v>-107.67774095999999</v>
      </c>
      <c r="FM283" s="89">
        <v>1042.4169999999999</v>
      </c>
      <c r="FN283" s="89"/>
      <c r="FO283" s="88">
        <v>3922.5315356900001</v>
      </c>
      <c r="FP283" s="89">
        <v>-109.06146431000002</v>
      </c>
      <c r="FQ283" s="89">
        <v>238.71453568999999</v>
      </c>
      <c r="FR283" s="89">
        <v>-347.77600000000001</v>
      </c>
      <c r="FS283" s="89">
        <v>4031.5929999999998</v>
      </c>
      <c r="FT283" s="89"/>
      <c r="FU283" s="88">
        <v>4756.5</v>
      </c>
      <c r="FV283" s="89">
        <v>442.5</v>
      </c>
      <c r="FW283" s="89">
        <v>336</v>
      </c>
      <c r="FX283" s="89">
        <v>106.5</v>
      </c>
      <c r="FY283" s="89">
        <v>4191.7</v>
      </c>
      <c r="FZ283" s="89">
        <v>122.3</v>
      </c>
      <c r="GA283" s="88">
        <v>35785.699999999997</v>
      </c>
      <c r="GB283" s="89">
        <v>-8518.2000000000044</v>
      </c>
      <c r="GC283" s="89"/>
      <c r="GD283" s="89"/>
      <c r="GE283" s="89">
        <v>44303.9</v>
      </c>
      <c r="GF283" s="89"/>
      <c r="GG283" s="88">
        <v>182102.25956938762</v>
      </c>
      <c r="GH283" s="89">
        <v>93652.74133699185</v>
      </c>
      <c r="GI283" s="89">
        <v>89841.466386615139</v>
      </c>
      <c r="GJ283" s="89">
        <v>3811.27495037671</v>
      </c>
      <c r="GK283" s="89">
        <v>251868.97247242104</v>
      </c>
      <c r="GL283" s="89">
        <v>-163419.45424002528</v>
      </c>
      <c r="GM283" s="88">
        <v>768890.27383438952</v>
      </c>
      <c r="GN283" s="89">
        <v>273795.13938495982</v>
      </c>
      <c r="GO283" s="89">
        <v>214096.27159904988</v>
      </c>
      <c r="GP283" s="89">
        <v>59698.867785910006</v>
      </c>
      <c r="GQ283" s="89">
        <v>447552.00570154976</v>
      </c>
      <c r="GR283" s="89">
        <v>47543.128747880008</v>
      </c>
    </row>
    <row r="284" spans="1:200">
      <c r="B284" s="93" t="s">
        <v>493</v>
      </c>
      <c r="C284" s="88">
        <v>2618.89454191</v>
      </c>
      <c r="D284" s="87">
        <v>299.66954191000013</v>
      </c>
      <c r="E284" s="87">
        <v>529.68104979000009</v>
      </c>
      <c r="F284" s="87">
        <v>-230.01150787999998</v>
      </c>
      <c r="G284" s="87">
        <v>2319.2249999999999</v>
      </c>
      <c r="H284" s="87"/>
      <c r="I284" s="88">
        <v>713007.87409000006</v>
      </c>
      <c r="J284" s="89">
        <v>594369.50300000003</v>
      </c>
      <c r="K284" s="89"/>
      <c r="L284" s="89"/>
      <c r="M284" s="89">
        <v>436102.245</v>
      </c>
      <c r="N284" s="89">
        <v>-317463.87390999997</v>
      </c>
      <c r="O284" s="88">
        <v>8780.4</v>
      </c>
      <c r="P284" s="89">
        <v>2242.6</v>
      </c>
      <c r="Q284" s="89">
        <v>1778.3</v>
      </c>
      <c r="R284" s="89">
        <v>464.3</v>
      </c>
      <c r="S284" s="89">
        <v>6537.8</v>
      </c>
      <c r="T284" s="89"/>
      <c r="U284" s="88">
        <v>7743.8471</v>
      </c>
      <c r="V284" s="89">
        <v>2046.4940999999999</v>
      </c>
      <c r="W284" s="89">
        <v>1564.8831</v>
      </c>
      <c r="X284" s="89">
        <v>481.61099999999999</v>
      </c>
      <c r="Y284" s="89">
        <v>5697.3530000000001</v>
      </c>
      <c r="Z284" s="89"/>
      <c r="AA284" s="88">
        <v>1891.164</v>
      </c>
      <c r="AB284" s="89">
        <v>97.838999999999999</v>
      </c>
      <c r="AC284" s="89">
        <v>83.506</v>
      </c>
      <c r="AD284" s="89">
        <v>14.333</v>
      </c>
      <c r="AE284" s="89">
        <v>1793.325</v>
      </c>
      <c r="AF284" s="89"/>
      <c r="AG284" s="88">
        <v>97170.981909387338</v>
      </c>
      <c r="AH284" s="89">
        <v>19542.479418641102</v>
      </c>
      <c r="AI284" s="89">
        <v>10685.221222561102</v>
      </c>
      <c r="AJ284" s="89">
        <v>8857.2581960799998</v>
      </c>
      <c r="AK284" s="89">
        <v>77628.502490746236</v>
      </c>
      <c r="AL284" s="89"/>
      <c r="AM284" s="88">
        <v>5133986</v>
      </c>
      <c r="AN284" s="89">
        <v>1547264</v>
      </c>
      <c r="AO284" s="89">
        <v>1438698</v>
      </c>
      <c r="AP284" s="89">
        <v>108566</v>
      </c>
      <c r="AQ284" s="89">
        <v>3165224</v>
      </c>
      <c r="AR284" s="89">
        <v>421499</v>
      </c>
      <c r="AS284" s="88">
        <v>84003816.136145994</v>
      </c>
      <c r="AT284" s="89">
        <v>628826.81040099997</v>
      </c>
      <c r="AU284" s="89">
        <v>628826.81040099997</v>
      </c>
      <c r="AV284" s="89"/>
      <c r="AW284" s="89">
        <v>101145185.61804301</v>
      </c>
      <c r="AX284" s="89">
        <v>-17770196.292297997</v>
      </c>
      <c r="AY284" s="88">
        <v>320599694.52170396</v>
      </c>
      <c r="AZ284" s="89">
        <f t="shared" si="19"/>
        <v>57633017.110574335</v>
      </c>
      <c r="BA284" s="89">
        <v>45742204.501116343</v>
      </c>
      <c r="BB284" s="89">
        <v>11890812.609457996</v>
      </c>
      <c r="BC284" s="89">
        <v>262966677.41112959</v>
      </c>
      <c r="BD284" s="89"/>
      <c r="BE284" s="88">
        <v>10936279.088752501</v>
      </c>
      <c r="BF284" s="89">
        <v>553153.41964256996</v>
      </c>
      <c r="BG284" s="89">
        <v>396010.78490524</v>
      </c>
      <c r="BH284" s="89">
        <v>157142.63473732999</v>
      </c>
      <c r="BI284" s="89">
        <v>11396708.21943632</v>
      </c>
      <c r="BJ284" s="89">
        <v>-1013582.5503263799</v>
      </c>
      <c r="BK284" s="88">
        <v>700.86885523000001</v>
      </c>
      <c r="BL284" s="89">
        <v>-101.02014477</v>
      </c>
      <c r="BM284" s="89">
        <v>18.977373380000003</v>
      </c>
      <c r="BN284" s="89">
        <v>-119.99751815</v>
      </c>
      <c r="BO284" s="89">
        <v>801.88900000000001</v>
      </c>
      <c r="BP284" s="89"/>
      <c r="BQ284" s="88">
        <v>22040.780376999995</v>
      </c>
      <c r="BR284" s="89">
        <v>-2927.827228000001</v>
      </c>
      <c r="BS284" s="89">
        <v>-1874.724059000001</v>
      </c>
      <c r="BT284" s="89">
        <v>-1053.103169</v>
      </c>
      <c r="BU284" s="89">
        <v>24968.607604999997</v>
      </c>
      <c r="BV284" s="89"/>
      <c r="BW284" s="88">
        <v>13930.211041839999</v>
      </c>
      <c r="BX284" s="89">
        <v>6439.5664428600003</v>
      </c>
      <c r="BY284" s="89">
        <v>6230.4783263400004</v>
      </c>
      <c r="BZ284" s="89">
        <v>209.08811652</v>
      </c>
      <c r="CA284" s="89">
        <v>9702.3557144401384</v>
      </c>
      <c r="CB284" s="89">
        <v>-2211.7111154601389</v>
      </c>
      <c r="CC284" s="88">
        <v>1799.7188071599999</v>
      </c>
      <c r="CD284" s="89">
        <v>11.820807159999987</v>
      </c>
      <c r="CE284" s="89">
        <v>96.185646639999987</v>
      </c>
      <c r="CF284" s="89">
        <v>-84.364839480000001</v>
      </c>
      <c r="CG284" s="89">
        <v>1787.8979999999999</v>
      </c>
      <c r="CH284" s="89"/>
      <c r="CI284" s="88">
        <v>141237.70000000001</v>
      </c>
      <c r="CJ284" s="89">
        <v>25326.2</v>
      </c>
      <c r="CK284" s="89">
        <v>24167.7</v>
      </c>
      <c r="CL284" s="89">
        <v>1158.5</v>
      </c>
      <c r="CM284" s="89">
        <v>128173.59999999999</v>
      </c>
      <c r="CN284" s="89">
        <v>-12262.2</v>
      </c>
      <c r="CO284" s="88">
        <v>127673.4</v>
      </c>
      <c r="CP284" s="89">
        <v>-18949.599999999999</v>
      </c>
      <c r="CQ284" s="89">
        <v>19003.8</v>
      </c>
      <c r="CR284" s="89">
        <v>-37953.399999999994</v>
      </c>
      <c r="CS284" s="89">
        <v>166811.6</v>
      </c>
      <c r="CT284" s="89">
        <v>-20188.599999999999</v>
      </c>
      <c r="CU284" s="88">
        <v>64798.098794641206</v>
      </c>
      <c r="CV284" s="89">
        <v>-8721.6624782118124</v>
      </c>
      <c r="CW284" s="89">
        <v>-2214.9054276586844</v>
      </c>
      <c r="CX284" s="89">
        <v>-6506.7570505531285</v>
      </c>
      <c r="CY284" s="89">
        <v>73519.761272853022</v>
      </c>
      <c r="CZ284" s="89"/>
      <c r="DA284" s="88">
        <v>135525.51565608737</v>
      </c>
      <c r="DB284" s="89">
        <v>10859.239386068675</v>
      </c>
      <c r="DC284" s="89">
        <v>5421.8947728306521</v>
      </c>
      <c r="DD284" s="89">
        <v>5437.3446132380241</v>
      </c>
      <c r="DE284" s="89">
        <v>194040.84085408004</v>
      </c>
      <c r="DF284" s="89">
        <v>-69374.564584061343</v>
      </c>
      <c r="DG284" s="88">
        <v>407748.24381000001</v>
      </c>
      <c r="DH284" s="89">
        <v>135933.84181000001</v>
      </c>
      <c r="DI284" s="89"/>
      <c r="DJ284" s="89"/>
      <c r="DK284" s="89">
        <v>297077.57699999999</v>
      </c>
      <c r="DL284" s="89">
        <v>-25263.174999999999</v>
      </c>
      <c r="DM284" s="88">
        <v>7335665.9539045999</v>
      </c>
      <c r="DN284" s="89">
        <v>2749852.7029046002</v>
      </c>
      <c r="DO284" s="89">
        <v>2167183.3329046001</v>
      </c>
      <c r="DP284" s="89">
        <v>582669.37</v>
      </c>
      <c r="DQ284" s="89">
        <v>4585813.2510000002</v>
      </c>
      <c r="DR284" s="89"/>
      <c r="DS284" s="88">
        <v>86773.769300723696</v>
      </c>
      <c r="DT284" s="89">
        <v>42140.494797613697</v>
      </c>
      <c r="DU284" s="89">
        <v>41101.151023533697</v>
      </c>
      <c r="DV284" s="89">
        <v>1039.34377408</v>
      </c>
      <c r="DW284" s="89">
        <v>75266.338355917687</v>
      </c>
      <c r="DX284" s="89">
        <v>-30633.063852807682</v>
      </c>
      <c r="DY284" s="88">
        <v>13030.877550000001</v>
      </c>
      <c r="DZ284" s="89">
        <f t="shared" si="18"/>
        <v>-493.2944500000001</v>
      </c>
      <c r="EA284" s="89">
        <v>1152.984813</v>
      </c>
      <c r="EB284" s="89">
        <v>-1646.2792630000001</v>
      </c>
      <c r="EC284" s="89">
        <v>13169.31</v>
      </c>
      <c r="ED284" s="89"/>
      <c r="EE284" s="88">
        <v>24311.000216760003</v>
      </c>
      <c r="EF284" s="89">
        <v>-1971.0767237500006</v>
      </c>
      <c r="EG284" s="89">
        <v>-2107.6592444100006</v>
      </c>
      <c r="EH284" s="89">
        <v>136.58252066</v>
      </c>
      <c r="EI284" s="89">
        <v>34168.003465729998</v>
      </c>
      <c r="EJ284" s="89">
        <v>-7885.9265252200003</v>
      </c>
      <c r="EK284" s="88">
        <v>31704019.881103292</v>
      </c>
      <c r="EL284" s="89">
        <v>-7655684.1519134995</v>
      </c>
      <c r="EM284" s="89">
        <v>-6189812.7527328897</v>
      </c>
      <c r="EN284" s="89">
        <v>-1465871.39918061</v>
      </c>
      <c r="EO284" s="89">
        <v>40282319.226862893</v>
      </c>
      <c r="EP284" s="89">
        <v>-922615.19384610001</v>
      </c>
      <c r="EQ284" s="88">
        <v>105080.20757086002</v>
      </c>
      <c r="ER284" s="89">
        <v>-57981.050307090001</v>
      </c>
      <c r="ES284" s="89"/>
      <c r="ET284" s="89"/>
      <c r="EU284" s="89">
        <v>219221.23207137</v>
      </c>
      <c r="EV284" s="89">
        <v>-56159.97419341997</v>
      </c>
      <c r="EW284" s="88">
        <v>950329.29637421342</v>
      </c>
      <c r="EX284" s="89">
        <f t="shared" si="20"/>
        <v>567780.05684759992</v>
      </c>
      <c r="EY284" s="89">
        <v>541296.76156124996</v>
      </c>
      <c r="EZ284" s="89">
        <v>26483.29528635</v>
      </c>
      <c r="FA284" s="89">
        <v>557077.69987638993</v>
      </c>
      <c r="FB284" s="89">
        <v>-174528.46034977655</v>
      </c>
      <c r="FC284" s="88">
        <v>1275.86133223</v>
      </c>
      <c r="FD284" s="89">
        <v>-120.89966776999989</v>
      </c>
      <c r="FE284" s="89">
        <v>424.68785195000004</v>
      </c>
      <c r="FF284" s="89">
        <v>-545.58751971999993</v>
      </c>
      <c r="FG284" s="89">
        <v>1396.761</v>
      </c>
      <c r="FH284" s="89"/>
      <c r="FI284" s="88">
        <v>949.81702880000012</v>
      </c>
      <c r="FJ284" s="89">
        <v>-99.463971200000003</v>
      </c>
      <c r="FK284" s="89">
        <v>20.198769759999994</v>
      </c>
      <c r="FL284" s="89">
        <v>-119.66274095999999</v>
      </c>
      <c r="FM284" s="89">
        <v>1049.2809999999999</v>
      </c>
      <c r="FN284" s="89"/>
      <c r="FO284" s="88">
        <v>3910.1893050999997</v>
      </c>
      <c r="FP284" s="89">
        <v>-122.26769490000001</v>
      </c>
      <c r="FQ284" s="89">
        <v>245.6213051</v>
      </c>
      <c r="FR284" s="89">
        <v>-367.88900000000001</v>
      </c>
      <c r="FS284" s="89">
        <v>4032.4569999999999</v>
      </c>
      <c r="FT284" s="89"/>
      <c r="FU284" s="88">
        <v>4887.9000000000005</v>
      </c>
      <c r="FV284" s="89">
        <v>517.69999999999993</v>
      </c>
      <c r="FW284" s="89">
        <v>408.9</v>
      </c>
      <c r="FX284" s="89">
        <v>108.8</v>
      </c>
      <c r="FY284" s="89">
        <v>4247.6000000000004</v>
      </c>
      <c r="FZ284" s="89">
        <v>122.6</v>
      </c>
      <c r="GA284" s="88">
        <v>34006.800000000003</v>
      </c>
      <c r="GB284" s="89">
        <v>-10875.5</v>
      </c>
      <c r="GC284" s="89"/>
      <c r="GD284" s="89"/>
      <c r="GE284" s="89">
        <v>44882.3</v>
      </c>
      <c r="GF284" s="89"/>
      <c r="GG284" s="88">
        <v>186471.40228512342</v>
      </c>
      <c r="GH284" s="89">
        <v>92996.574515506712</v>
      </c>
      <c r="GI284" s="89">
        <v>89259.490878895871</v>
      </c>
      <c r="GJ284" s="89">
        <v>3737.0836366108397</v>
      </c>
      <c r="GK284" s="89">
        <v>265008.14042327879</v>
      </c>
      <c r="GL284" s="89">
        <v>-171533.31265366205</v>
      </c>
      <c r="GM284" s="88">
        <v>819237.05243422987</v>
      </c>
      <c r="GN284" s="89">
        <v>302000.18981889985</v>
      </c>
      <c r="GO284" s="89">
        <v>231048.72976810989</v>
      </c>
      <c r="GP284" s="89">
        <v>70951.460050790018</v>
      </c>
      <c r="GQ284" s="89">
        <v>467329.6460246999</v>
      </c>
      <c r="GR284" s="89">
        <v>49907.216590630007</v>
      </c>
    </row>
    <row r="285" spans="1:200">
      <c r="B285" s="93" t="s">
        <v>494</v>
      </c>
      <c r="C285" s="88">
        <v>2564.3293487800001</v>
      </c>
      <c r="D285" s="87">
        <v>245.41734878000005</v>
      </c>
      <c r="E285" s="87">
        <v>509.08385666000004</v>
      </c>
      <c r="F285" s="87">
        <v>-263.66650787999998</v>
      </c>
      <c r="G285" s="87">
        <v>2318.9119999999998</v>
      </c>
      <c r="H285" s="87"/>
      <c r="I285" s="88">
        <v>751860.46500000008</v>
      </c>
      <c r="J285" s="89">
        <v>615615.05500000005</v>
      </c>
      <c r="K285" s="89"/>
      <c r="L285" s="89"/>
      <c r="M285" s="89">
        <v>449110.31300000002</v>
      </c>
      <c r="N285" s="89">
        <v>-312864.90299999999</v>
      </c>
      <c r="O285" s="88">
        <v>8824.6</v>
      </c>
      <c r="P285" s="89">
        <v>2295.2999999999997</v>
      </c>
      <c r="Q285" s="89">
        <v>1829.6</v>
      </c>
      <c r="R285" s="89">
        <v>465.7</v>
      </c>
      <c r="S285" s="89">
        <v>6529.3</v>
      </c>
      <c r="T285" s="89"/>
      <c r="U285" s="88">
        <v>7803.9501300000002</v>
      </c>
      <c r="V285" s="89">
        <v>2129.67713</v>
      </c>
      <c r="W285" s="89">
        <v>1668.1011299999998</v>
      </c>
      <c r="X285" s="89">
        <v>461.57600000000002</v>
      </c>
      <c r="Y285" s="89">
        <v>5674.2730000000001</v>
      </c>
      <c r="Z285" s="89"/>
      <c r="AA285" s="88">
        <v>1895.8620000000001</v>
      </c>
      <c r="AB285" s="89">
        <v>97.513999999999996</v>
      </c>
      <c r="AC285" s="89">
        <v>83.412999999999997</v>
      </c>
      <c r="AD285" s="89">
        <v>14.101000000000001</v>
      </c>
      <c r="AE285" s="89">
        <v>1798.348</v>
      </c>
      <c r="AF285" s="89"/>
      <c r="AG285" s="88">
        <v>99032.280064456325</v>
      </c>
      <c r="AH285" s="89">
        <v>20233.392202437506</v>
      </c>
      <c r="AI285" s="89">
        <v>10910.100772977506</v>
      </c>
      <c r="AJ285" s="89">
        <v>9323.2914294599996</v>
      </c>
      <c r="AK285" s="89">
        <v>78798.887862018819</v>
      </c>
      <c r="AL285" s="89"/>
      <c r="AM285" s="88">
        <v>5138903</v>
      </c>
      <c r="AN285" s="89">
        <v>1525596</v>
      </c>
      <c r="AO285" s="89">
        <v>1409575</v>
      </c>
      <c r="AP285" s="89">
        <v>116021</v>
      </c>
      <c r="AQ285" s="89">
        <v>3189661</v>
      </c>
      <c r="AR285" s="89">
        <v>423647</v>
      </c>
      <c r="AS285" s="88">
        <v>83992246.846584991</v>
      </c>
      <c r="AT285" s="89">
        <v>175142.39747699999</v>
      </c>
      <c r="AU285" s="89">
        <v>175142.39747699999</v>
      </c>
      <c r="AV285" s="89"/>
      <c r="AW285" s="89">
        <v>102183403.743993</v>
      </c>
      <c r="AX285" s="89">
        <v>-18366299.294885002</v>
      </c>
      <c r="AY285" s="88">
        <v>321778740.54410166</v>
      </c>
      <c r="AZ285" s="89">
        <f t="shared" si="19"/>
        <v>55467292.012483604</v>
      </c>
      <c r="BA285" s="89">
        <v>43515533.2076286</v>
      </c>
      <c r="BB285" s="89">
        <v>11951758.804855002</v>
      </c>
      <c r="BC285" s="89">
        <v>266311448.53161806</v>
      </c>
      <c r="BD285" s="89"/>
      <c r="BE285" s="88">
        <v>11052552.3952225</v>
      </c>
      <c r="BF285" s="89">
        <v>570123.16444048996</v>
      </c>
      <c r="BG285" s="89">
        <v>421906.76047278999</v>
      </c>
      <c r="BH285" s="89">
        <v>148216.4039677</v>
      </c>
      <c r="BI285" s="89">
        <v>11484310.276703019</v>
      </c>
      <c r="BJ285" s="89">
        <v>-1001881.04592105</v>
      </c>
      <c r="BK285" s="88">
        <v>718.23273351</v>
      </c>
      <c r="BL285" s="89">
        <v>-86.091266489999981</v>
      </c>
      <c r="BM285" s="89">
        <v>32.564846540000012</v>
      </c>
      <c r="BN285" s="89">
        <v>-118.65611303</v>
      </c>
      <c r="BO285" s="89">
        <v>804.32399999999996</v>
      </c>
      <c r="BP285" s="89"/>
      <c r="BQ285" s="88">
        <v>23354.789925000001</v>
      </c>
      <c r="BR285" s="89">
        <v>-1903.3092560000005</v>
      </c>
      <c r="BS285" s="89">
        <v>-810.51278100000036</v>
      </c>
      <c r="BT285" s="89">
        <v>-1092.7964750000001</v>
      </c>
      <c r="BU285" s="89">
        <v>25258.099181000001</v>
      </c>
      <c r="BV285" s="89"/>
      <c r="BW285" s="88">
        <v>14217.506347039998</v>
      </c>
      <c r="BX285" s="89">
        <v>6535.3102609299995</v>
      </c>
      <c r="BY285" s="89">
        <v>6317.6992912799997</v>
      </c>
      <c r="BZ285" s="89">
        <v>217.61096965000002</v>
      </c>
      <c r="CA285" s="89">
        <v>9824.6299291401374</v>
      </c>
      <c r="CB285" s="89">
        <v>-2142.4338430301391</v>
      </c>
      <c r="CC285" s="88">
        <v>1770.2770356299998</v>
      </c>
      <c r="CD285" s="89">
        <v>-16.106964369999979</v>
      </c>
      <c r="CE285" s="89">
        <v>60.290875110000023</v>
      </c>
      <c r="CF285" s="89">
        <v>-76.397839480000002</v>
      </c>
      <c r="CG285" s="89">
        <v>1786.384</v>
      </c>
      <c r="CH285" s="89"/>
      <c r="CI285" s="88">
        <v>143073</v>
      </c>
      <c r="CJ285" s="89">
        <v>26545.9</v>
      </c>
      <c r="CK285" s="89">
        <v>25407</v>
      </c>
      <c r="CL285" s="89">
        <v>1138.9000000000001</v>
      </c>
      <c r="CM285" s="89">
        <v>129165.9</v>
      </c>
      <c r="CN285" s="89">
        <v>-12638.9</v>
      </c>
      <c r="CO285" s="88">
        <v>126405.8</v>
      </c>
      <c r="CP285" s="89">
        <v>-20834.8</v>
      </c>
      <c r="CQ285" s="89">
        <v>21719.200000000001</v>
      </c>
      <c r="CR285" s="89">
        <v>-42554</v>
      </c>
      <c r="CS285" s="89">
        <v>169360.4</v>
      </c>
      <c r="CT285" s="89">
        <v>-22119.8</v>
      </c>
      <c r="CU285" s="88">
        <v>64798.098794641206</v>
      </c>
      <c r="CV285" s="89">
        <v>-8721.6624782118124</v>
      </c>
      <c r="CW285" s="89">
        <v>-2214.9054276586844</v>
      </c>
      <c r="CX285" s="89">
        <v>-6506.7570505531285</v>
      </c>
      <c r="CY285" s="89">
        <v>73519.761272853022</v>
      </c>
      <c r="CZ285" s="89"/>
      <c r="DA285" s="88">
        <v>136643.06412916875</v>
      </c>
      <c r="DB285" s="89">
        <v>11312.267182520573</v>
      </c>
      <c r="DC285" s="89">
        <v>5920.651776398212</v>
      </c>
      <c r="DD285" s="89">
        <v>5391.6154061223615</v>
      </c>
      <c r="DE285" s="89">
        <v>194830.34006196971</v>
      </c>
      <c r="DF285" s="89">
        <v>-69499.543115321547</v>
      </c>
      <c r="DG285" s="88">
        <v>407305.26474999997</v>
      </c>
      <c r="DH285" s="89">
        <v>130863.77575</v>
      </c>
      <c r="DI285" s="89"/>
      <c r="DJ285" s="89"/>
      <c r="DK285" s="89">
        <v>300005.57699999999</v>
      </c>
      <c r="DL285" s="89">
        <v>-23564.088</v>
      </c>
      <c r="DM285" s="88">
        <v>7434282.7520000003</v>
      </c>
      <c r="DN285" s="89">
        <v>2875314.3930000002</v>
      </c>
      <c r="DO285" s="89">
        <v>2284921.6140000001</v>
      </c>
      <c r="DP285" s="89">
        <v>590392.77899999998</v>
      </c>
      <c r="DQ285" s="89">
        <v>4558968.3590000002</v>
      </c>
      <c r="DR285" s="89"/>
      <c r="DS285" s="88">
        <v>88607.414808885704</v>
      </c>
      <c r="DT285" s="89">
        <v>42596.762503664169</v>
      </c>
      <c r="DU285" s="89">
        <v>41500.983470344167</v>
      </c>
      <c r="DV285" s="89">
        <v>1095.7790333200001</v>
      </c>
      <c r="DW285" s="89">
        <v>75935.54265823774</v>
      </c>
      <c r="DX285" s="89">
        <v>-29924.890353016192</v>
      </c>
      <c r="DY285" s="88">
        <v>12874.600667999999</v>
      </c>
      <c r="DZ285" s="89">
        <f t="shared" si="18"/>
        <v>-628.88633200000004</v>
      </c>
      <c r="EA285" s="89">
        <v>1086.894526</v>
      </c>
      <c r="EB285" s="89">
        <v>-1715.7808580000001</v>
      </c>
      <c r="EC285" s="89">
        <v>13156.352999999999</v>
      </c>
      <c r="ED285" s="89"/>
      <c r="EE285" s="88">
        <v>24556.933656970003</v>
      </c>
      <c r="EF285" s="89">
        <v>-2085.7561966000012</v>
      </c>
      <c r="EG285" s="89">
        <v>-2219.429896130001</v>
      </c>
      <c r="EH285" s="89">
        <v>133.67369952999999</v>
      </c>
      <c r="EI285" s="89">
        <v>34576.849924640002</v>
      </c>
      <c r="EJ285" s="89">
        <v>-7934.1600710700031</v>
      </c>
      <c r="EK285" s="88">
        <v>32909323.108517215</v>
      </c>
      <c r="EL285" s="89">
        <v>-7679208.3761620801</v>
      </c>
      <c r="EM285" s="89">
        <v>-6285951.3808885599</v>
      </c>
      <c r="EN285" s="89">
        <v>-1393256.9952735202</v>
      </c>
      <c r="EO285" s="89">
        <v>41548203.514396816</v>
      </c>
      <c r="EP285" s="89">
        <v>-959672.02971752</v>
      </c>
      <c r="EQ285" s="88">
        <v>105223.18465334007</v>
      </c>
      <c r="ER285" s="89">
        <v>-60584.193082239988</v>
      </c>
      <c r="ES285" s="89"/>
      <c r="ET285" s="89"/>
      <c r="EU285" s="89">
        <v>224309.4026184</v>
      </c>
      <c r="EV285" s="89">
        <v>-58502.02488281994</v>
      </c>
      <c r="EW285" s="88">
        <v>964264.84575515753</v>
      </c>
      <c r="EX285" s="89">
        <f t="shared" si="20"/>
        <v>581142.33412527991</v>
      </c>
      <c r="EY285" s="89">
        <v>556505.04899567994</v>
      </c>
      <c r="EZ285" s="89">
        <v>24637.285129600001</v>
      </c>
      <c r="FA285" s="89">
        <v>568598.88690031995</v>
      </c>
      <c r="FB285" s="89">
        <v>-185476.3752704424</v>
      </c>
      <c r="FC285" s="88">
        <v>1254.6510074600001</v>
      </c>
      <c r="FD285" s="89">
        <v>-136.10599253999999</v>
      </c>
      <c r="FE285" s="89">
        <v>416.04752717999997</v>
      </c>
      <c r="FF285" s="89">
        <v>-552.15351971999996</v>
      </c>
      <c r="FG285" s="89">
        <v>1390.7570000000001</v>
      </c>
      <c r="FH285" s="89"/>
      <c r="FI285" s="88">
        <v>947.39199865000012</v>
      </c>
      <c r="FJ285" s="89">
        <v>-103.43200134999998</v>
      </c>
      <c r="FK285" s="89">
        <v>34.832739610000004</v>
      </c>
      <c r="FL285" s="89">
        <v>-138.26474095999998</v>
      </c>
      <c r="FM285" s="89">
        <v>1050.8240000000001</v>
      </c>
      <c r="FN285" s="89"/>
      <c r="FO285" s="88">
        <v>3886.6982444300002</v>
      </c>
      <c r="FP285" s="89">
        <v>-146.36775557000007</v>
      </c>
      <c r="FQ285" s="89">
        <v>227.86424442999996</v>
      </c>
      <c r="FR285" s="89">
        <v>-374.23200000000003</v>
      </c>
      <c r="FS285" s="89">
        <v>4033.0659999999998</v>
      </c>
      <c r="FT285" s="89"/>
      <c r="FU285" s="88">
        <v>5007.6000000000004</v>
      </c>
      <c r="FV285" s="89">
        <v>608.4</v>
      </c>
      <c r="FW285" s="89">
        <v>483.7</v>
      </c>
      <c r="FX285" s="89">
        <v>124.7</v>
      </c>
      <c r="FY285" s="89">
        <v>4270.6000000000004</v>
      </c>
      <c r="FZ285" s="89">
        <v>128.6</v>
      </c>
      <c r="GA285" s="88">
        <v>23460</v>
      </c>
      <c r="GB285" s="89">
        <v>-21332.400000000001</v>
      </c>
      <c r="GC285" s="89"/>
      <c r="GD285" s="89"/>
      <c r="GE285" s="89">
        <v>44792.4</v>
      </c>
      <c r="GF285" s="89"/>
      <c r="GG285" s="88">
        <v>202021.5685869802</v>
      </c>
      <c r="GH285" s="89">
        <v>99583.235560598841</v>
      </c>
      <c r="GI285" s="89">
        <v>96295.866841810901</v>
      </c>
      <c r="GJ285" s="89">
        <v>3287.3687187879314</v>
      </c>
      <c r="GK285" s="89">
        <v>272018.25135494332</v>
      </c>
      <c r="GL285" s="89">
        <v>-169579.91832856194</v>
      </c>
      <c r="GM285" s="88">
        <v>850735.51568873017</v>
      </c>
      <c r="GN285" s="89">
        <v>310681.18191251997</v>
      </c>
      <c r="GO285" s="89">
        <v>233677.06180341</v>
      </c>
      <c r="GP285" s="89">
        <v>77004.120109110008</v>
      </c>
      <c r="GQ285" s="89">
        <v>495382.1308424201</v>
      </c>
      <c r="GR285" s="89">
        <v>44672.202933789995</v>
      </c>
    </row>
    <row r="286" spans="1:200">
      <c r="B286" s="93" t="s">
        <v>495</v>
      </c>
      <c r="C286" s="88">
        <v>2653.1644526899995</v>
      </c>
      <c r="D286" s="87">
        <v>343.25645268999995</v>
      </c>
      <c r="E286" s="87">
        <v>504.94425430999996</v>
      </c>
      <c r="F286" s="87">
        <v>-161.68780162000002</v>
      </c>
      <c r="G286" s="87">
        <v>2309.9079999999999</v>
      </c>
      <c r="H286" s="87"/>
      <c r="I286" s="88">
        <v>766198.09300000011</v>
      </c>
      <c r="J286" s="89">
        <v>633398.33700000006</v>
      </c>
      <c r="K286" s="89"/>
      <c r="L286" s="89"/>
      <c r="M286" s="89">
        <v>455894.087</v>
      </c>
      <c r="N286" s="89">
        <v>-323094.33100000001</v>
      </c>
      <c r="O286" s="88">
        <v>8841.1</v>
      </c>
      <c r="P286" s="89">
        <v>2308.9</v>
      </c>
      <c r="Q286" s="89">
        <v>1840.3</v>
      </c>
      <c r="R286" s="89">
        <v>468.6</v>
      </c>
      <c r="S286" s="89">
        <v>6532.2</v>
      </c>
      <c r="T286" s="89"/>
      <c r="U286" s="88">
        <v>7864.3917700000002</v>
      </c>
      <c r="V286" s="89">
        <v>2189.2467700000002</v>
      </c>
      <c r="W286" s="89">
        <v>1729.2217700000001</v>
      </c>
      <c r="X286" s="89">
        <v>460.02499999999998</v>
      </c>
      <c r="Y286" s="89">
        <v>5675.1450000000004</v>
      </c>
      <c r="Z286" s="89"/>
      <c r="AA286" s="88">
        <v>1866.0630000000001</v>
      </c>
      <c r="AB286" s="89">
        <v>73.319000000000003</v>
      </c>
      <c r="AC286" s="89">
        <v>59.511000000000003</v>
      </c>
      <c r="AD286" s="89">
        <v>13.808</v>
      </c>
      <c r="AE286" s="89">
        <v>1792.7439999999999</v>
      </c>
      <c r="AF286" s="89"/>
      <c r="AG286" s="88">
        <v>100821.25766377384</v>
      </c>
      <c r="AH286" s="89">
        <v>20667.516561769895</v>
      </c>
      <c r="AI286" s="89">
        <v>10795.554142089897</v>
      </c>
      <c r="AJ286" s="89">
        <v>9871.9624196799978</v>
      </c>
      <c r="AK286" s="89">
        <v>80153.741102003944</v>
      </c>
      <c r="AL286" s="89"/>
      <c r="AM286" s="88">
        <v>5121582</v>
      </c>
      <c r="AN286" s="89">
        <v>1496825</v>
      </c>
      <c r="AO286" s="89">
        <v>1377835</v>
      </c>
      <c r="AP286" s="89">
        <v>118990</v>
      </c>
      <c r="AQ286" s="89">
        <v>3200816</v>
      </c>
      <c r="AR286" s="89">
        <v>423941</v>
      </c>
      <c r="AS286" s="88">
        <v>84439572.745889992</v>
      </c>
      <c r="AT286" s="89">
        <v>665425.35272800003</v>
      </c>
      <c r="AU286" s="89">
        <v>665425.35272800003</v>
      </c>
      <c r="AV286" s="89"/>
      <c r="AW286" s="89">
        <v>103238429.41794001</v>
      </c>
      <c r="AX286" s="89">
        <v>-19464282.024778001</v>
      </c>
      <c r="AY286" s="88">
        <v>324979635.09507984</v>
      </c>
      <c r="AZ286" s="89">
        <f t="shared" si="19"/>
        <v>57041507.734045975</v>
      </c>
      <c r="BA286" s="89">
        <v>45059523.051378973</v>
      </c>
      <c r="BB286" s="89">
        <v>11981984.682667</v>
      </c>
      <c r="BC286" s="89">
        <v>267938127.36103386</v>
      </c>
      <c r="BD286" s="89"/>
      <c r="BE286" s="88">
        <v>11230252.191271</v>
      </c>
      <c r="BF286" s="89">
        <v>661756.15404418996</v>
      </c>
      <c r="BG286" s="89">
        <v>514892.43492830999</v>
      </c>
      <c r="BH286" s="89">
        <v>146863.71911588</v>
      </c>
      <c r="BI286" s="89">
        <v>11621977.68340897</v>
      </c>
      <c r="BJ286" s="89">
        <v>-1053481.6461821699</v>
      </c>
      <c r="BK286" s="88">
        <v>707.75220788999991</v>
      </c>
      <c r="BL286" s="89">
        <v>-95.979792109999991</v>
      </c>
      <c r="BM286" s="89">
        <v>29.63132091000001</v>
      </c>
      <c r="BN286" s="89">
        <v>-125.61111302</v>
      </c>
      <c r="BO286" s="89">
        <v>803.73199999999997</v>
      </c>
      <c r="BP286" s="89"/>
      <c r="BQ286" s="88">
        <v>23591.131399000002</v>
      </c>
      <c r="BR286" s="89">
        <v>-1950.176614</v>
      </c>
      <c r="BS286" s="89">
        <v>-950.96290700000009</v>
      </c>
      <c r="BT286" s="89">
        <v>-999.213707</v>
      </c>
      <c r="BU286" s="89">
        <v>25541.308013000002</v>
      </c>
      <c r="BV286" s="89"/>
      <c r="BW286" s="88">
        <v>14311.424304900003</v>
      </c>
      <c r="BX286" s="89">
        <v>6768.742997190001</v>
      </c>
      <c r="BY286" s="89">
        <v>6562.2665430700008</v>
      </c>
      <c r="BZ286" s="89">
        <v>206.47645411999997</v>
      </c>
      <c r="CA286" s="89">
        <v>9854.8610802399999</v>
      </c>
      <c r="CB286" s="89">
        <v>-2312.1797725299989</v>
      </c>
      <c r="CC286" s="88">
        <v>1769.5966240999999</v>
      </c>
      <c r="CD286" s="89">
        <v>-15.432375900000011</v>
      </c>
      <c r="CE286" s="89">
        <v>62.813231579999993</v>
      </c>
      <c r="CF286" s="89">
        <v>-78.245607480000004</v>
      </c>
      <c r="CG286" s="89">
        <v>1785.029</v>
      </c>
      <c r="CH286" s="89"/>
      <c r="CI286" s="88">
        <v>147843.9</v>
      </c>
      <c r="CJ286" s="89">
        <v>29147.800000000003</v>
      </c>
      <c r="CK286" s="89">
        <v>28032.400000000001</v>
      </c>
      <c r="CL286" s="89">
        <v>1115.4000000000001</v>
      </c>
      <c r="CM286" s="89">
        <v>131079.4</v>
      </c>
      <c r="CN286" s="89">
        <v>-12383.2</v>
      </c>
      <c r="CO286" s="88">
        <v>133538.6</v>
      </c>
      <c r="CP286" s="89">
        <v>-13996.7</v>
      </c>
      <c r="CQ286" s="89">
        <v>23252.9</v>
      </c>
      <c r="CR286" s="89">
        <v>-37249.600000000006</v>
      </c>
      <c r="CS286" s="89">
        <v>169917.9</v>
      </c>
      <c r="CT286" s="89">
        <v>-22382.6</v>
      </c>
      <c r="CU286" s="88">
        <v>68226.614741036916</v>
      </c>
      <c r="CV286" s="89">
        <v>-5526.1836180522932</v>
      </c>
      <c r="CW286" s="89">
        <v>1033.9866371555477</v>
      </c>
      <c r="CX286" s="89">
        <v>-6560.1702552078414</v>
      </c>
      <c r="CY286" s="89">
        <v>73752.798359089211</v>
      </c>
      <c r="CZ286" s="89"/>
      <c r="DA286" s="88">
        <v>138371.43651120417</v>
      </c>
      <c r="DB286" s="89">
        <v>12189.806145961187</v>
      </c>
      <c r="DC286" s="89">
        <v>6859.9367977271759</v>
      </c>
      <c r="DD286" s="89">
        <v>5329.8693482340113</v>
      </c>
      <c r="DE286" s="89">
        <v>196613.20286658767</v>
      </c>
      <c r="DF286" s="89">
        <v>-70431.572501344694</v>
      </c>
      <c r="DG286" s="88">
        <v>418491.42006999999</v>
      </c>
      <c r="DH286" s="89">
        <v>137719.91206999999</v>
      </c>
      <c r="DI286" s="89"/>
      <c r="DJ286" s="89"/>
      <c r="DK286" s="89">
        <v>303760.065</v>
      </c>
      <c r="DL286" s="89">
        <v>-22988.557000000001</v>
      </c>
      <c r="DM286" s="88">
        <v>7450568.5389999999</v>
      </c>
      <c r="DN286" s="89">
        <v>2866241.4709999999</v>
      </c>
      <c r="DO286" s="89">
        <v>2275616.54</v>
      </c>
      <c r="DP286" s="89">
        <v>590624.93099999998</v>
      </c>
      <c r="DQ286" s="89">
        <v>4584327.068</v>
      </c>
      <c r="DR286" s="89"/>
      <c r="DS286" s="88">
        <v>88031.978038634144</v>
      </c>
      <c r="DT286" s="89">
        <v>44504.716420242949</v>
      </c>
      <c r="DU286" s="89">
        <v>43402.54663098295</v>
      </c>
      <c r="DV286" s="89">
        <v>1102.16978926</v>
      </c>
      <c r="DW286" s="89">
        <v>76505.771250431353</v>
      </c>
      <c r="DX286" s="89">
        <v>-32978.50963204015</v>
      </c>
      <c r="DY286" s="88">
        <v>13054.491484</v>
      </c>
      <c r="DZ286" s="89">
        <f t="shared" si="18"/>
        <v>-533.65451600000006</v>
      </c>
      <c r="EA286" s="89">
        <v>1134.896792</v>
      </c>
      <c r="EB286" s="89">
        <v>-1668.5513080000001</v>
      </c>
      <c r="EC286" s="89">
        <v>13229.561</v>
      </c>
      <c r="ED286" s="89"/>
      <c r="EE286" s="88">
        <v>25323.521645830002</v>
      </c>
      <c r="EF286" s="89">
        <v>-1941.215151339999</v>
      </c>
      <c r="EG286" s="89">
        <v>-2072.7888134599989</v>
      </c>
      <c r="EH286" s="89">
        <v>131.57366211999999</v>
      </c>
      <c r="EI286" s="89">
        <v>35058.693911010007</v>
      </c>
      <c r="EJ286" s="89">
        <v>-7793.9571138400015</v>
      </c>
      <c r="EK286" s="88">
        <v>33317900.154848643</v>
      </c>
      <c r="EL286" s="89">
        <v>-7650223.9483642327</v>
      </c>
      <c r="EM286" s="89">
        <v>-6427702.9035045821</v>
      </c>
      <c r="EN286" s="89">
        <v>-1222521.0448596503</v>
      </c>
      <c r="EO286" s="89">
        <v>41940601.912746608</v>
      </c>
      <c r="EP286" s="89">
        <v>-972477.80953373003</v>
      </c>
      <c r="EQ286" s="88">
        <v>106573.71461512997</v>
      </c>
      <c r="ER286" s="89">
        <v>-60196.441446249999</v>
      </c>
      <c r="ES286" s="89"/>
      <c r="ET286" s="89"/>
      <c r="EU286" s="89">
        <v>226749.71832688997</v>
      </c>
      <c r="EV286" s="89">
        <v>-59979.562265510001</v>
      </c>
      <c r="EW286" s="88">
        <v>984715.08639711968</v>
      </c>
      <c r="EX286" s="89">
        <f t="shared" si="20"/>
        <v>596798.95682313002</v>
      </c>
      <c r="EY286" s="89">
        <v>573494.21317613998</v>
      </c>
      <c r="EZ286" s="89">
        <v>23304.743646989999</v>
      </c>
      <c r="FA286" s="89">
        <v>572102.83325171983</v>
      </c>
      <c r="FB286" s="89">
        <v>-184186.70367773002</v>
      </c>
      <c r="FC286" s="88">
        <v>1205.9416120599999</v>
      </c>
      <c r="FD286" s="89">
        <v>-751.1533879399999</v>
      </c>
      <c r="FE286" s="89">
        <v>-153.54848080999997</v>
      </c>
      <c r="FF286" s="89">
        <v>-597.6049071299999</v>
      </c>
      <c r="FG286" s="89">
        <v>1957.095</v>
      </c>
      <c r="FH286" s="89"/>
      <c r="FI286" s="88">
        <v>956.83168469999998</v>
      </c>
      <c r="FJ286" s="89">
        <v>-99.727315300000015</v>
      </c>
      <c r="FK286" s="89">
        <v>36.872425659999976</v>
      </c>
      <c r="FL286" s="89">
        <v>-136.59974095999999</v>
      </c>
      <c r="FM286" s="89">
        <v>1056.559</v>
      </c>
      <c r="FN286" s="89"/>
      <c r="FO286" s="88">
        <v>4014.5390330100004</v>
      </c>
      <c r="FP286" s="89">
        <v>-109.48796698999996</v>
      </c>
      <c r="FQ286" s="89">
        <v>271.32303301000002</v>
      </c>
      <c r="FR286" s="89">
        <v>-380.81099999999998</v>
      </c>
      <c r="FS286" s="89">
        <v>4124.027</v>
      </c>
      <c r="FT286" s="89"/>
      <c r="FU286" s="88">
        <v>4860.1000000000004</v>
      </c>
      <c r="FV286" s="89">
        <v>379.1</v>
      </c>
      <c r="FW286" s="89">
        <v>255</v>
      </c>
      <c r="FX286" s="89">
        <v>124.1</v>
      </c>
      <c r="FY286" s="89">
        <v>4352.6000000000004</v>
      </c>
      <c r="FZ286" s="89">
        <v>128.4</v>
      </c>
      <c r="GA286" s="88">
        <v>25818.9</v>
      </c>
      <c r="GB286" s="89">
        <v>-19138.199999999997</v>
      </c>
      <c r="GC286" s="89"/>
      <c r="GD286" s="89"/>
      <c r="GE286" s="89">
        <v>44957.1</v>
      </c>
      <c r="GF286" s="89"/>
      <c r="GG286" s="88">
        <v>203175.30833978287</v>
      </c>
      <c r="GH286" s="89">
        <v>99580.177517770018</v>
      </c>
      <c r="GI286" s="89">
        <v>95410.336235035022</v>
      </c>
      <c r="GJ286" s="89">
        <v>4169.8412827350021</v>
      </c>
      <c r="GK286" s="89">
        <v>278302.89820536494</v>
      </c>
      <c r="GL286" s="89">
        <v>-174707.76738335215</v>
      </c>
      <c r="GM286" s="88">
        <v>880547.19863357965</v>
      </c>
      <c r="GN286" s="89">
        <v>317833.38105235988</v>
      </c>
      <c r="GO286" s="89">
        <v>233659.49401580988</v>
      </c>
      <c r="GP286" s="89">
        <v>84173.887036550004</v>
      </c>
      <c r="GQ286" s="89">
        <v>519704.08924138977</v>
      </c>
      <c r="GR286" s="89">
        <v>43009.728339829999</v>
      </c>
    </row>
    <row r="287" spans="1:200">
      <c r="B287" s="93" t="s">
        <v>496</v>
      </c>
      <c r="C287" s="88">
        <v>2674.6027290100001</v>
      </c>
      <c r="D287" s="87">
        <v>370.51872900999996</v>
      </c>
      <c r="E287" s="87">
        <v>528.17253062999998</v>
      </c>
      <c r="F287" s="87">
        <v>-157.65380162000002</v>
      </c>
      <c r="G287" s="87">
        <v>2304.0839999999998</v>
      </c>
      <c r="H287" s="87"/>
      <c r="I287" s="88">
        <v>821263.30799999996</v>
      </c>
      <c r="J287" s="89">
        <v>691997.85400000005</v>
      </c>
      <c r="K287" s="89"/>
      <c r="L287" s="89"/>
      <c r="M287" s="89">
        <v>468735.109</v>
      </c>
      <c r="N287" s="89">
        <v>-339469.65500000003</v>
      </c>
      <c r="O287" s="88">
        <v>8881.5</v>
      </c>
      <c r="P287" s="89">
        <v>2349.2000000000003</v>
      </c>
      <c r="Q287" s="89">
        <v>1871.9</v>
      </c>
      <c r="R287" s="89">
        <v>477.3</v>
      </c>
      <c r="S287" s="89">
        <v>6532.3</v>
      </c>
      <c r="T287" s="89"/>
      <c r="U287" s="88">
        <v>8092.9144699999997</v>
      </c>
      <c r="V287" s="89">
        <v>2421.3374699999999</v>
      </c>
      <c r="W287" s="89">
        <v>1964.2064700000001</v>
      </c>
      <c r="X287" s="89">
        <v>457.13099999999997</v>
      </c>
      <c r="Y287" s="89">
        <v>5671.5770000000002</v>
      </c>
      <c r="Z287" s="89"/>
      <c r="AA287" s="88">
        <v>1863.89</v>
      </c>
      <c r="AB287" s="89">
        <v>64.424000000000007</v>
      </c>
      <c r="AC287" s="89">
        <v>46.856999999999999</v>
      </c>
      <c r="AD287" s="89">
        <v>17.567</v>
      </c>
      <c r="AE287" s="89">
        <v>1799.4659999999999</v>
      </c>
      <c r="AF287" s="89"/>
      <c r="AG287" s="88">
        <v>102030.81202085598</v>
      </c>
      <c r="AH287" s="89">
        <v>20883.644717019954</v>
      </c>
      <c r="AI287" s="89">
        <v>10763.602812039951</v>
      </c>
      <c r="AJ287" s="89">
        <v>10120.04190498</v>
      </c>
      <c r="AK287" s="89">
        <v>81147.167303836031</v>
      </c>
      <c r="AL287" s="89"/>
      <c r="AM287" s="88">
        <v>5112696</v>
      </c>
      <c r="AN287" s="89">
        <v>1441542</v>
      </c>
      <c r="AO287" s="89">
        <v>1318890</v>
      </c>
      <c r="AP287" s="89">
        <v>122652</v>
      </c>
      <c r="AQ287" s="89">
        <v>3244925</v>
      </c>
      <c r="AR287" s="89">
        <v>426228</v>
      </c>
      <c r="AS287" s="88">
        <v>85805837.132459</v>
      </c>
      <c r="AT287" s="89">
        <v>645237.97459499992</v>
      </c>
      <c r="AU287" s="89">
        <v>645237.97459499992</v>
      </c>
      <c r="AV287" s="89"/>
      <c r="AW287" s="89">
        <v>104373941.821816</v>
      </c>
      <c r="AX287" s="89">
        <v>-19213342.663952</v>
      </c>
      <c r="AY287" s="88">
        <v>331858216.93872112</v>
      </c>
      <c r="AZ287" s="89">
        <f t="shared" si="19"/>
        <v>58074788.743676588</v>
      </c>
      <c r="BA287" s="89">
        <v>45933261.38293159</v>
      </c>
      <c r="BB287" s="89">
        <v>12141527.360744998</v>
      </c>
      <c r="BC287" s="89">
        <v>273783428.19504452</v>
      </c>
      <c r="BD287" s="89"/>
      <c r="BE287" s="88">
        <v>11308195.7898957</v>
      </c>
      <c r="BF287" s="89">
        <v>593960.41804183996</v>
      </c>
      <c r="BG287" s="89">
        <v>450381.42513821</v>
      </c>
      <c r="BH287" s="89">
        <v>143578.99290362999</v>
      </c>
      <c r="BI287" s="89">
        <v>11783002.10839154</v>
      </c>
      <c r="BJ287" s="89">
        <v>-1068766.73653769</v>
      </c>
      <c r="BK287" s="88">
        <v>720.68084844999998</v>
      </c>
      <c r="BL287" s="89">
        <v>-83.255151550000022</v>
      </c>
      <c r="BM287" s="89">
        <v>33.118961469999995</v>
      </c>
      <c r="BN287" s="89">
        <v>-116.37411302000001</v>
      </c>
      <c r="BO287" s="89">
        <v>803.93600000000004</v>
      </c>
      <c r="BP287" s="89"/>
      <c r="BQ287" s="88">
        <v>23280.972393999997</v>
      </c>
      <c r="BR287" s="89">
        <v>-2613.3075699999999</v>
      </c>
      <c r="BS287" s="89">
        <v>-1548.902605</v>
      </c>
      <c r="BT287" s="89">
        <v>-1064.4049649999999</v>
      </c>
      <c r="BU287" s="89">
        <v>25894.279963999998</v>
      </c>
      <c r="BV287" s="89"/>
      <c r="BW287" s="88">
        <v>14544.058680620003</v>
      </c>
      <c r="BX287" s="89">
        <v>6841.9994758198372</v>
      </c>
      <c r="BY287" s="89">
        <v>6610.9082466398377</v>
      </c>
      <c r="BZ287" s="89">
        <v>231.09122918000003</v>
      </c>
      <c r="CA287" s="89">
        <v>9941.8242201401372</v>
      </c>
      <c r="CB287" s="89">
        <v>-2239.765015339975</v>
      </c>
      <c r="CC287" s="88">
        <v>1739.2775132500001</v>
      </c>
      <c r="CD287" s="89">
        <v>2.8545132499999966</v>
      </c>
      <c r="CE287" s="89">
        <v>82.814120729999999</v>
      </c>
      <c r="CF287" s="89">
        <v>-79.959607480000003</v>
      </c>
      <c r="CG287" s="89">
        <v>1736.423</v>
      </c>
      <c r="CH287" s="89"/>
      <c r="CI287" s="88">
        <v>149331.70000000001</v>
      </c>
      <c r="CJ287" s="89">
        <v>29332.9</v>
      </c>
      <c r="CK287" s="89">
        <v>28252.7</v>
      </c>
      <c r="CL287" s="89">
        <v>1080.2</v>
      </c>
      <c r="CM287" s="89">
        <v>133331.6</v>
      </c>
      <c r="CN287" s="89">
        <v>-13332.7</v>
      </c>
      <c r="CO287" s="88">
        <v>135369.20000000001</v>
      </c>
      <c r="CP287" s="89">
        <v>-11682.3</v>
      </c>
      <c r="CQ287" s="89">
        <v>27310.2</v>
      </c>
      <c r="CR287" s="89">
        <v>-38992.5</v>
      </c>
      <c r="CS287" s="89">
        <v>169711.2</v>
      </c>
      <c r="CT287" s="89">
        <v>-22659.7</v>
      </c>
      <c r="CU287" s="88">
        <v>68898.675796068303</v>
      </c>
      <c r="CV287" s="89">
        <v>-5278.5802156055051</v>
      </c>
      <c r="CW287" s="89">
        <v>1129.9787938096299</v>
      </c>
      <c r="CX287" s="89">
        <v>-6408.5590094151348</v>
      </c>
      <c r="CY287" s="89">
        <v>74177.256011673802</v>
      </c>
      <c r="CZ287" s="89"/>
      <c r="DA287" s="88">
        <v>140923.95452308535</v>
      </c>
      <c r="DB287" s="89">
        <v>13270.99221933731</v>
      </c>
      <c r="DC287" s="89">
        <v>7913.9674467241348</v>
      </c>
      <c r="DD287" s="89">
        <v>5357.0247726131756</v>
      </c>
      <c r="DE287" s="89">
        <v>199029.78559039684</v>
      </c>
      <c r="DF287" s="89">
        <v>-71376.823286648811</v>
      </c>
      <c r="DG287" s="88">
        <v>427979.08328000002</v>
      </c>
      <c r="DH287" s="89">
        <v>140882.70428000001</v>
      </c>
      <c r="DI287" s="89"/>
      <c r="DJ287" s="89"/>
      <c r="DK287" s="89">
        <v>312713.266</v>
      </c>
      <c r="DL287" s="89">
        <v>-25616.886999999999</v>
      </c>
      <c r="DM287" s="88">
        <v>7452498.09078913</v>
      </c>
      <c r="DN287" s="89">
        <v>2827089.2977891299</v>
      </c>
      <c r="DO287" s="89">
        <v>2229014.9227891299</v>
      </c>
      <c r="DP287" s="89">
        <v>598074.375</v>
      </c>
      <c r="DQ287" s="89">
        <v>4625408.7929999996</v>
      </c>
      <c r="DR287" s="89"/>
      <c r="DS287" s="88">
        <v>89160.618999902581</v>
      </c>
      <c r="DT287" s="89">
        <v>44033.037637085581</v>
      </c>
      <c r="DU287" s="89">
        <v>42896.562767585579</v>
      </c>
      <c r="DV287" s="89">
        <v>1136.4748694999998</v>
      </c>
      <c r="DW287" s="89">
        <v>77715.187695793269</v>
      </c>
      <c r="DX287" s="89">
        <v>-32587.606332976266</v>
      </c>
      <c r="DY287" s="88">
        <v>13092.851755000002</v>
      </c>
      <c r="DZ287" s="89">
        <f t="shared" si="18"/>
        <v>-434.32624499999997</v>
      </c>
      <c r="EA287" s="89">
        <v>1236.910063</v>
      </c>
      <c r="EB287" s="89">
        <v>-1671.236308</v>
      </c>
      <c r="EC287" s="89">
        <v>13157.501</v>
      </c>
      <c r="ED287" s="89"/>
      <c r="EE287" s="88">
        <v>25688.092880949996</v>
      </c>
      <c r="EF287" s="89">
        <v>-1758.3824929000009</v>
      </c>
      <c r="EG287" s="89">
        <v>-1889.831051520001</v>
      </c>
      <c r="EH287" s="89">
        <v>131.44855862</v>
      </c>
      <c r="EI287" s="89">
        <v>35362.959741580002</v>
      </c>
      <c r="EJ287" s="89">
        <v>-7916.4843677300014</v>
      </c>
      <c r="EK287" s="88">
        <v>34003753.399629124</v>
      </c>
      <c r="EL287" s="89">
        <v>-8017765.6022417191</v>
      </c>
      <c r="EM287" s="89">
        <v>-6750697.6681698095</v>
      </c>
      <c r="EN287" s="89">
        <v>-1267067.9340719101</v>
      </c>
      <c r="EO287" s="89">
        <v>42990709.433998659</v>
      </c>
      <c r="EP287" s="89">
        <v>-969190.43212781986</v>
      </c>
      <c r="EQ287" s="88">
        <v>108206.50433693</v>
      </c>
      <c r="ER287" s="89">
        <v>-62201.19008678</v>
      </c>
      <c r="ES287" s="89"/>
      <c r="ET287" s="89"/>
      <c r="EU287" s="89">
        <v>231388.80853555002</v>
      </c>
      <c r="EV287" s="89">
        <v>-60981.114111840026</v>
      </c>
      <c r="EW287" s="88">
        <v>1008890.1754191421</v>
      </c>
      <c r="EX287" s="89">
        <f t="shared" si="20"/>
        <v>612830.19108293997</v>
      </c>
      <c r="EY287" s="89">
        <v>590671.30287884001</v>
      </c>
      <c r="EZ287" s="89">
        <v>22158.8882041</v>
      </c>
      <c r="FA287" s="89">
        <v>581481.80285084993</v>
      </c>
      <c r="FB287" s="89">
        <v>-185421.81851464775</v>
      </c>
      <c r="FC287" s="88">
        <v>1223.1445235200001</v>
      </c>
      <c r="FD287" s="89">
        <v>-734.66947647999996</v>
      </c>
      <c r="FE287" s="89">
        <v>-119.35656935</v>
      </c>
      <c r="FF287" s="89">
        <v>-615.31290712999999</v>
      </c>
      <c r="FG287" s="89">
        <v>1957.8140000000001</v>
      </c>
      <c r="FH287" s="89"/>
      <c r="FI287" s="88">
        <v>974.67745486000001</v>
      </c>
      <c r="FJ287" s="89">
        <v>-84.913545139999997</v>
      </c>
      <c r="FK287" s="89">
        <v>44.15219582000001</v>
      </c>
      <c r="FL287" s="89">
        <v>-129.06574096</v>
      </c>
      <c r="FM287" s="89">
        <v>1059.5909999999999</v>
      </c>
      <c r="FN287" s="89"/>
      <c r="FO287" s="88">
        <v>3996.7324733699998</v>
      </c>
      <c r="FP287" s="89">
        <v>-110.56652663</v>
      </c>
      <c r="FQ287" s="89">
        <v>264.29847337000001</v>
      </c>
      <c r="FR287" s="89">
        <v>-374.86500000000001</v>
      </c>
      <c r="FS287" s="89">
        <v>4107.299</v>
      </c>
      <c r="FT287" s="89"/>
      <c r="FU287" s="88">
        <v>5195.4000000000005</v>
      </c>
      <c r="FV287" s="89">
        <v>573.1</v>
      </c>
      <c r="FW287" s="89">
        <v>453.3</v>
      </c>
      <c r="FX287" s="89">
        <v>119.8</v>
      </c>
      <c r="FY287" s="89">
        <v>4493.1000000000004</v>
      </c>
      <c r="FZ287" s="89">
        <v>129.19999999999999</v>
      </c>
      <c r="GA287" s="88">
        <v>27085.9</v>
      </c>
      <c r="GB287" s="89">
        <v>-18085</v>
      </c>
      <c r="GC287" s="89"/>
      <c r="GD287" s="89"/>
      <c r="GE287" s="89">
        <v>45170.9</v>
      </c>
      <c r="GF287" s="89"/>
      <c r="GG287" s="88">
        <v>188791.97808517783</v>
      </c>
      <c r="GH287" s="89">
        <v>81153.735063623055</v>
      </c>
      <c r="GI287" s="89">
        <v>74747.770500584331</v>
      </c>
      <c r="GJ287" s="89">
        <v>6405.9645630387295</v>
      </c>
      <c r="GK287" s="89">
        <v>287779.9892936562</v>
      </c>
      <c r="GL287" s="89">
        <v>-180141.74627210139</v>
      </c>
      <c r="GM287" s="88">
        <v>908200.85311768984</v>
      </c>
      <c r="GN287" s="89">
        <v>324077.72558943002</v>
      </c>
      <c r="GO287" s="89">
        <v>233586.82956336002</v>
      </c>
      <c r="GP287" s="89">
        <v>90490.896026069997</v>
      </c>
      <c r="GQ287" s="89">
        <v>542397.94999356975</v>
      </c>
      <c r="GR287" s="89">
        <v>41725.177534690003</v>
      </c>
    </row>
    <row r="288" spans="1:200">
      <c r="B288" s="93" t="s">
        <v>497</v>
      </c>
      <c r="C288" s="88">
        <v>2703.0273928199999</v>
      </c>
      <c r="D288" s="87">
        <v>404.85139281999994</v>
      </c>
      <c r="E288" s="87">
        <v>526.02519443999995</v>
      </c>
      <c r="F288" s="87">
        <v>-121.17380161999999</v>
      </c>
      <c r="G288" s="87">
        <v>2298.1759999999999</v>
      </c>
      <c r="H288" s="87"/>
      <c r="I288" s="88">
        <v>826817.08999999985</v>
      </c>
      <c r="J288" s="89">
        <v>701309.81900000002</v>
      </c>
      <c r="K288" s="89"/>
      <c r="L288" s="89"/>
      <c r="M288" s="89">
        <v>482991.79399999999</v>
      </c>
      <c r="N288" s="89">
        <v>-357484.52299999999</v>
      </c>
      <c r="O288" s="88">
        <v>8953.1</v>
      </c>
      <c r="P288" s="89">
        <v>2425.8000000000002</v>
      </c>
      <c r="Q288" s="89">
        <v>1943.3</v>
      </c>
      <c r="R288" s="89">
        <v>482.5</v>
      </c>
      <c r="S288" s="89">
        <v>6527.3</v>
      </c>
      <c r="T288" s="89"/>
      <c r="U288" s="88">
        <v>8068.9799700000003</v>
      </c>
      <c r="V288" s="89">
        <v>2379.08097</v>
      </c>
      <c r="W288" s="89">
        <v>1918.0659699999999</v>
      </c>
      <c r="X288" s="89">
        <v>461.01499999999999</v>
      </c>
      <c r="Y288" s="89">
        <v>5689.8990000000003</v>
      </c>
      <c r="Z288" s="89"/>
      <c r="AA288" s="88">
        <v>1869.7090000000001</v>
      </c>
      <c r="AB288" s="89">
        <v>71.329000000000008</v>
      </c>
      <c r="AC288" s="89">
        <v>53.652000000000001</v>
      </c>
      <c r="AD288" s="89">
        <v>17.677</v>
      </c>
      <c r="AE288" s="89">
        <v>1798.38</v>
      </c>
      <c r="AF288" s="89"/>
      <c r="AG288" s="88">
        <v>103064.5704831342</v>
      </c>
      <c r="AH288" s="89">
        <v>21088.089023172997</v>
      </c>
      <c r="AI288" s="89">
        <v>10763.032050962998</v>
      </c>
      <c r="AJ288" s="89">
        <v>10325.056972209999</v>
      </c>
      <c r="AK288" s="89">
        <v>81976.4814599612</v>
      </c>
      <c r="AL288" s="89"/>
      <c r="AM288" s="88">
        <v>5217662</v>
      </c>
      <c r="AN288" s="89">
        <v>1485672</v>
      </c>
      <c r="AO288" s="89">
        <v>1366496</v>
      </c>
      <c r="AP288" s="89">
        <v>119176</v>
      </c>
      <c r="AQ288" s="89">
        <v>3289146</v>
      </c>
      <c r="AR288" s="89">
        <v>442843</v>
      </c>
      <c r="AS288" s="88">
        <v>85631023.408759996</v>
      </c>
      <c r="AT288" s="89">
        <v>831451.806278</v>
      </c>
      <c r="AU288" s="89">
        <v>831451.806278</v>
      </c>
      <c r="AV288" s="89"/>
      <c r="AW288" s="89">
        <v>104496857.900719</v>
      </c>
      <c r="AX288" s="89">
        <v>-19697286.298237</v>
      </c>
      <c r="AY288" s="88">
        <v>335303433.78648353</v>
      </c>
      <c r="AZ288" s="89">
        <f t="shared" si="19"/>
        <v>60153963.950470515</v>
      </c>
      <c r="BA288" s="89">
        <v>47765634.602445513</v>
      </c>
      <c r="BB288" s="89">
        <v>12388329.348025</v>
      </c>
      <c r="BC288" s="89">
        <v>275149469.83601302</v>
      </c>
      <c r="BD288" s="89"/>
      <c r="BE288" s="88">
        <v>11602327.741768699</v>
      </c>
      <c r="BF288" s="89">
        <v>744332.1604263701</v>
      </c>
      <c r="BG288" s="89">
        <v>578772.56651497004</v>
      </c>
      <c r="BH288" s="89">
        <v>165559.59391140001</v>
      </c>
      <c r="BI288" s="89">
        <v>11897243.5267729</v>
      </c>
      <c r="BJ288" s="89">
        <v>-1039247.94543057</v>
      </c>
      <c r="BK288" s="88">
        <v>733.11263989999998</v>
      </c>
      <c r="BL288" s="89">
        <v>-70.183360100000016</v>
      </c>
      <c r="BM288" s="89">
        <v>47.440752920000001</v>
      </c>
      <c r="BN288" s="89">
        <v>-117.62411302000001</v>
      </c>
      <c r="BO288" s="89">
        <v>803.29600000000005</v>
      </c>
      <c r="BP288" s="89"/>
      <c r="BQ288" s="88">
        <v>23995.178907999994</v>
      </c>
      <c r="BR288" s="89">
        <v>-2044.0622540000004</v>
      </c>
      <c r="BS288" s="89">
        <v>-1089.3116010000003</v>
      </c>
      <c r="BT288" s="89">
        <v>-954.75065299999994</v>
      </c>
      <c r="BU288" s="89">
        <v>26039.241161999995</v>
      </c>
      <c r="BV288" s="89"/>
      <c r="BW288" s="88">
        <v>14675.351118740002</v>
      </c>
      <c r="BX288" s="89">
        <v>6899.279790730614</v>
      </c>
      <c r="BY288" s="89">
        <v>6676.3719142206137</v>
      </c>
      <c r="BZ288" s="89">
        <v>222.90787651000002</v>
      </c>
      <c r="CA288" s="89">
        <v>9953.8291076601381</v>
      </c>
      <c r="CB288" s="89">
        <v>-2177.7577796507521</v>
      </c>
      <c r="CC288" s="88">
        <v>1726.8066783199999</v>
      </c>
      <c r="CD288" s="89">
        <v>3.5676783199999846</v>
      </c>
      <c r="CE288" s="89">
        <v>85.350285799999995</v>
      </c>
      <c r="CF288" s="89">
        <v>-81.78260748000001</v>
      </c>
      <c r="CG288" s="89">
        <v>1723.239</v>
      </c>
      <c r="CH288" s="89"/>
      <c r="CI288" s="88">
        <v>151743.9</v>
      </c>
      <c r="CJ288" s="89">
        <v>30840.3</v>
      </c>
      <c r="CK288" s="89">
        <v>29778.5</v>
      </c>
      <c r="CL288" s="89">
        <v>1061.8</v>
      </c>
      <c r="CM288" s="89">
        <v>134286.29999999999</v>
      </c>
      <c r="CN288" s="89">
        <v>-13382.7</v>
      </c>
      <c r="CO288" s="88">
        <v>138968.9</v>
      </c>
      <c r="CP288" s="89">
        <v>-11582.3</v>
      </c>
      <c r="CQ288" s="89">
        <v>30093.4</v>
      </c>
      <c r="CR288" s="89">
        <v>-41675.699999999997</v>
      </c>
      <c r="CS288" s="89">
        <v>174229.7</v>
      </c>
      <c r="CT288" s="89">
        <v>-23678.5</v>
      </c>
      <c r="CU288" s="88">
        <v>71156.305239813257</v>
      </c>
      <c r="CV288" s="89">
        <v>-5035.5653555807221</v>
      </c>
      <c r="CW288" s="89">
        <v>957.21865390371534</v>
      </c>
      <c r="CX288" s="89">
        <v>-5992.7840094844369</v>
      </c>
      <c r="CY288" s="89">
        <v>76191.870595393979</v>
      </c>
      <c r="CZ288" s="89"/>
      <c r="DA288" s="88">
        <v>142037.32937226343</v>
      </c>
      <c r="DB288" s="89">
        <v>11751.54401546446</v>
      </c>
      <c r="DC288" s="89">
        <v>6467.1749620717383</v>
      </c>
      <c r="DD288" s="89">
        <v>5284.369053392722</v>
      </c>
      <c r="DE288" s="89">
        <v>201333.1576534512</v>
      </c>
      <c r="DF288" s="89">
        <v>-71047.372296652204</v>
      </c>
      <c r="DG288" s="88">
        <v>421869.8272662884</v>
      </c>
      <c r="DH288" s="89">
        <v>131407.60326628832</v>
      </c>
      <c r="DI288" s="89"/>
      <c r="DJ288" s="89"/>
      <c r="DK288" s="89">
        <v>314530.86200000002</v>
      </c>
      <c r="DL288" s="89">
        <v>-24068.637999999999</v>
      </c>
      <c r="DM288" s="88">
        <v>7582394.8650370901</v>
      </c>
      <c r="DN288" s="89">
        <v>2891292.6600370896</v>
      </c>
      <c r="DO288" s="89">
        <v>2288181.4960370897</v>
      </c>
      <c r="DP288" s="89">
        <v>603111.16399999999</v>
      </c>
      <c r="DQ288" s="89">
        <v>4691102.2050000001</v>
      </c>
      <c r="DR288" s="89"/>
      <c r="DS288" s="88">
        <v>89806.433604737103</v>
      </c>
      <c r="DT288" s="89">
        <v>44633.434583931215</v>
      </c>
      <c r="DU288" s="89">
        <v>43437.702761941218</v>
      </c>
      <c r="DV288" s="89">
        <v>1195.7318219899998</v>
      </c>
      <c r="DW288" s="89">
        <v>79077.807578254346</v>
      </c>
      <c r="DX288" s="89">
        <v>-33904.80855744845</v>
      </c>
      <c r="DY288" s="88">
        <v>13011.782214999999</v>
      </c>
      <c r="DZ288" s="89">
        <f t="shared" si="18"/>
        <v>-464.4547849999999</v>
      </c>
      <c r="EA288" s="89">
        <v>1180.4805229999999</v>
      </c>
      <c r="EB288" s="89">
        <v>-1644.9353079999998</v>
      </c>
      <c r="EC288" s="89">
        <v>13124.348</v>
      </c>
      <c r="ED288" s="89"/>
      <c r="EE288" s="88">
        <v>26280.330395479996</v>
      </c>
      <c r="EF288" s="89">
        <v>-1425.15209241</v>
      </c>
      <c r="EG288" s="89">
        <v>-1555.65647747</v>
      </c>
      <c r="EH288" s="89">
        <v>130.50438506</v>
      </c>
      <c r="EI288" s="89">
        <v>35666.325102479997</v>
      </c>
      <c r="EJ288" s="89">
        <v>-7960.8426145899984</v>
      </c>
      <c r="EK288" s="88">
        <v>34108967.960715242</v>
      </c>
      <c r="EL288" s="89">
        <v>-8851019.7355381213</v>
      </c>
      <c r="EM288" s="89">
        <v>-7509437.3367220713</v>
      </c>
      <c r="EN288" s="89">
        <v>-1341582.39881605</v>
      </c>
      <c r="EO288" s="89">
        <v>43911412.54424575</v>
      </c>
      <c r="EP288" s="89">
        <v>-951424.84799237992</v>
      </c>
      <c r="EQ288" s="88">
        <v>108435.27153952001</v>
      </c>
      <c r="ER288" s="89">
        <v>-61502.676435920002</v>
      </c>
      <c r="ES288" s="89"/>
      <c r="ET288" s="89"/>
      <c r="EU288" s="89">
        <v>231786.66308497998</v>
      </c>
      <c r="EV288" s="89">
        <v>-61848.715109539975</v>
      </c>
      <c r="EW288" s="88">
        <v>1003824.5791557508</v>
      </c>
      <c r="EX288" s="89">
        <f t="shared" si="20"/>
        <v>605044.01512136008</v>
      </c>
      <c r="EY288" s="89">
        <v>584498.40356651007</v>
      </c>
      <c r="EZ288" s="89">
        <v>20545.611554849998</v>
      </c>
      <c r="FA288" s="89">
        <v>587379.65807389002</v>
      </c>
      <c r="FB288" s="89">
        <v>-188599.09403949906</v>
      </c>
      <c r="FC288" s="88">
        <v>1161.5912512999998</v>
      </c>
      <c r="FD288" s="89">
        <v>-792.86674870000002</v>
      </c>
      <c r="FE288" s="89">
        <v>-175.16784157000004</v>
      </c>
      <c r="FF288" s="89">
        <v>-617.69890712999995</v>
      </c>
      <c r="FG288" s="89">
        <v>1954.4580000000001</v>
      </c>
      <c r="FH288" s="89"/>
      <c r="FI288" s="88">
        <v>979.46264655999994</v>
      </c>
      <c r="FJ288" s="89">
        <v>-82.982353439999997</v>
      </c>
      <c r="FK288" s="89">
        <v>48.860387519999989</v>
      </c>
      <c r="FL288" s="89">
        <v>-131.84274095999999</v>
      </c>
      <c r="FM288" s="89">
        <v>1062.4449999999999</v>
      </c>
      <c r="FN288" s="89"/>
      <c r="FO288" s="88">
        <v>3974.02236567</v>
      </c>
      <c r="FP288" s="89">
        <v>-127.97763433</v>
      </c>
      <c r="FQ288" s="89">
        <v>247.21836567000003</v>
      </c>
      <c r="FR288" s="89">
        <v>-375.19600000000003</v>
      </c>
      <c r="FS288" s="89">
        <v>4102</v>
      </c>
      <c r="FT288" s="89"/>
      <c r="FU288" s="88">
        <v>5308</v>
      </c>
      <c r="FV288" s="89">
        <v>627.4</v>
      </c>
      <c r="FW288" s="89">
        <v>510.1</v>
      </c>
      <c r="FX288" s="89">
        <v>117.3</v>
      </c>
      <c r="FY288" s="89">
        <v>4543.8</v>
      </c>
      <c r="FZ288" s="89">
        <v>136.80000000000001</v>
      </c>
      <c r="GA288" s="88">
        <v>23618.6</v>
      </c>
      <c r="GB288" s="89">
        <v>-21699.9</v>
      </c>
      <c r="GC288" s="89"/>
      <c r="GD288" s="89"/>
      <c r="GE288" s="89">
        <v>45318.5</v>
      </c>
      <c r="GF288" s="89"/>
      <c r="GG288" s="88">
        <v>190751.55797127465</v>
      </c>
      <c r="GH288" s="89">
        <v>90389.896553986473</v>
      </c>
      <c r="GI288" s="89">
        <v>83533.266012142441</v>
      </c>
      <c r="GJ288" s="89">
        <v>6856.6305418440388</v>
      </c>
      <c r="GK288" s="89">
        <v>283222.68531454273</v>
      </c>
      <c r="GL288" s="89">
        <v>-182861.02389725455</v>
      </c>
      <c r="GM288" s="88">
        <v>946818.51294506015</v>
      </c>
      <c r="GN288" s="89">
        <v>335409.05576091993</v>
      </c>
      <c r="GO288" s="89">
        <v>245192.71885675995</v>
      </c>
      <c r="GP288" s="89">
        <v>90216.33690415998</v>
      </c>
      <c r="GQ288" s="89">
        <v>571312.29220230016</v>
      </c>
      <c r="GR288" s="89">
        <v>40097.164981839996</v>
      </c>
    </row>
    <row r="289" spans="1:200">
      <c r="B289" s="93" t="s">
        <v>498</v>
      </c>
      <c r="C289" s="88">
        <v>2715.5806551799997</v>
      </c>
      <c r="D289" s="87">
        <v>428.81265518000004</v>
      </c>
      <c r="E289" s="87">
        <v>530.84380796000005</v>
      </c>
      <c r="F289" s="87">
        <v>-102.03115278</v>
      </c>
      <c r="G289" s="87">
        <v>2286.768</v>
      </c>
      <c r="H289" s="87"/>
      <c r="I289" s="88">
        <v>845684.80499999993</v>
      </c>
      <c r="J289" s="89">
        <v>723435.57799999998</v>
      </c>
      <c r="K289" s="89"/>
      <c r="L289" s="89"/>
      <c r="M289" s="89">
        <v>493568.734</v>
      </c>
      <c r="N289" s="89">
        <v>-371319.50699999998</v>
      </c>
      <c r="O289" s="88">
        <v>8891.6</v>
      </c>
      <c r="P289" s="89">
        <v>2386</v>
      </c>
      <c r="Q289" s="89">
        <v>1901.1</v>
      </c>
      <c r="R289" s="89">
        <v>484.9</v>
      </c>
      <c r="S289" s="89">
        <v>6505.6</v>
      </c>
      <c r="T289" s="89"/>
      <c r="U289" s="88">
        <v>8163.4716399999998</v>
      </c>
      <c r="V289" s="89">
        <v>2489.3806399999999</v>
      </c>
      <c r="W289" s="89">
        <v>2004.6376399999999</v>
      </c>
      <c r="X289" s="89">
        <v>484.74299999999999</v>
      </c>
      <c r="Y289" s="89">
        <v>5674.0910000000003</v>
      </c>
      <c r="Z289" s="89"/>
      <c r="AA289" s="88">
        <v>1816.194</v>
      </c>
      <c r="AB289" s="89">
        <v>11.523999999999999</v>
      </c>
      <c r="AC289" s="89">
        <v>-10.132</v>
      </c>
      <c r="AD289" s="89">
        <v>21.655999999999999</v>
      </c>
      <c r="AE289" s="89">
        <v>1804.67</v>
      </c>
      <c r="AF289" s="89"/>
      <c r="AG289" s="88">
        <v>104676.70999999999</v>
      </c>
      <c r="AH289" s="89">
        <v>21500.984</v>
      </c>
      <c r="AI289" s="89">
        <v>10718.531999999999</v>
      </c>
      <c r="AJ289" s="89">
        <v>10782.451999999999</v>
      </c>
      <c r="AK289" s="89">
        <v>83175.725999999995</v>
      </c>
      <c r="AL289" s="89"/>
      <c r="AM289" s="88">
        <v>5259849</v>
      </c>
      <c r="AN289" s="89">
        <v>1501411</v>
      </c>
      <c r="AO289" s="89">
        <v>1381771</v>
      </c>
      <c r="AP289" s="89">
        <v>119640</v>
      </c>
      <c r="AQ289" s="89">
        <v>3323140</v>
      </c>
      <c r="AR289" s="89">
        <v>435299</v>
      </c>
      <c r="AS289" s="88">
        <v>86058449.903479993</v>
      </c>
      <c r="AT289" s="89">
        <v>933982.144753</v>
      </c>
      <c r="AU289" s="89">
        <v>933982.144753</v>
      </c>
      <c r="AV289" s="89"/>
      <c r="AW289" s="89">
        <v>105059378.596643</v>
      </c>
      <c r="AX289" s="89">
        <v>-19934910.837915998</v>
      </c>
      <c r="AY289" s="88">
        <v>339622755.0334481</v>
      </c>
      <c r="AZ289" s="89">
        <f t="shared" si="19"/>
        <v>60405577.879041605</v>
      </c>
      <c r="BA289" s="89">
        <v>47897908.240491606</v>
      </c>
      <c r="BB289" s="89">
        <v>12507669.638549998</v>
      </c>
      <c r="BC289" s="89">
        <v>279217177.15440649</v>
      </c>
      <c r="BD289" s="89"/>
      <c r="BE289" s="88">
        <v>11835552.975620801</v>
      </c>
      <c r="BF289" s="89">
        <v>775800.92199074011</v>
      </c>
      <c r="BG289" s="89">
        <v>611534.27560199006</v>
      </c>
      <c r="BH289" s="89">
        <v>164266.64638875</v>
      </c>
      <c r="BI289" s="89">
        <v>12084269.41828936</v>
      </c>
      <c r="BJ289" s="89">
        <v>-1024517.36465927</v>
      </c>
      <c r="BK289" s="88">
        <v>729.87644788</v>
      </c>
      <c r="BL289" s="89">
        <v>-72.053552119999978</v>
      </c>
      <c r="BM289" s="89">
        <v>54.042106010000005</v>
      </c>
      <c r="BN289" s="89">
        <v>-126.09565812999999</v>
      </c>
      <c r="BO289" s="89">
        <v>801.93</v>
      </c>
      <c r="BP289" s="89"/>
      <c r="BQ289" s="88">
        <v>24354.315888999998</v>
      </c>
      <c r="BR289" s="89">
        <v>-1917.7283030000006</v>
      </c>
      <c r="BS289" s="89">
        <v>-815.4028430000003</v>
      </c>
      <c r="BT289" s="89">
        <v>-1102.3254600000002</v>
      </c>
      <c r="BU289" s="89">
        <v>26272.044191999998</v>
      </c>
      <c r="BV289" s="89"/>
      <c r="BW289" s="88">
        <v>14825.803723120003</v>
      </c>
      <c r="BX289" s="89">
        <v>6988.885286989067</v>
      </c>
      <c r="BY289" s="89">
        <v>6778.5620434390667</v>
      </c>
      <c r="BZ289" s="89">
        <v>210.32324355</v>
      </c>
      <c r="CA289" s="89">
        <v>10098.290524831869</v>
      </c>
      <c r="CB289" s="89">
        <v>-2261.3720887009335</v>
      </c>
      <c r="CC289" s="88">
        <v>1733.1017178899999</v>
      </c>
      <c r="CD289" s="89">
        <v>14.64171789000001</v>
      </c>
      <c r="CE289" s="89">
        <v>92.615440200000009</v>
      </c>
      <c r="CF289" s="89">
        <v>-77.973722309999999</v>
      </c>
      <c r="CG289" s="89">
        <v>1718.46</v>
      </c>
      <c r="CH289" s="89"/>
      <c r="CI289" s="88">
        <v>152950</v>
      </c>
      <c r="CJ289" s="89">
        <v>31096.799999999999</v>
      </c>
      <c r="CK289" s="89">
        <v>30048.3</v>
      </c>
      <c r="CL289" s="89">
        <v>1048.5</v>
      </c>
      <c r="CM289" s="89">
        <v>135650.79999999999</v>
      </c>
      <c r="CN289" s="89">
        <v>-13797.5</v>
      </c>
      <c r="CO289" s="88">
        <v>143386</v>
      </c>
      <c r="CP289" s="89">
        <v>-10857.1</v>
      </c>
      <c r="CQ289" s="89">
        <v>29490.6</v>
      </c>
      <c r="CR289" s="89">
        <v>-40347.699999999997</v>
      </c>
      <c r="CS289" s="89">
        <v>177774.2</v>
      </c>
      <c r="CT289" s="89">
        <v>-23531.1</v>
      </c>
      <c r="CU289" s="88">
        <v>73773.484660872855</v>
      </c>
      <c r="CV289" s="89">
        <v>-2554.0478378196963</v>
      </c>
      <c r="CW289" s="89">
        <v>3477.9438007817866</v>
      </c>
      <c r="CX289" s="89">
        <v>-6031.9916386014829</v>
      </c>
      <c r="CY289" s="89">
        <v>76327.532498692555</v>
      </c>
      <c r="CZ289" s="89"/>
      <c r="DA289" s="88">
        <v>145743.42164148617</v>
      </c>
      <c r="DB289" s="89">
        <v>14238.266595908521</v>
      </c>
      <c r="DC289" s="89">
        <v>5952.099039117842</v>
      </c>
      <c r="DD289" s="89">
        <v>8286.1675567906786</v>
      </c>
      <c r="DE289" s="89">
        <v>204109.9183941888</v>
      </c>
      <c r="DF289" s="89">
        <v>-72604.763348611174</v>
      </c>
      <c r="DG289" s="88">
        <v>415988.66584265081</v>
      </c>
      <c r="DH289" s="89">
        <v>127765.66584265073</v>
      </c>
      <c r="DI289" s="89"/>
      <c r="DJ289" s="89"/>
      <c r="DK289" s="89">
        <v>315306.10600000003</v>
      </c>
      <c r="DL289" s="89">
        <v>-27083.106</v>
      </c>
      <c r="DM289" s="88">
        <v>7705320.1834158897</v>
      </c>
      <c r="DN289" s="89">
        <v>2933194.7424158901</v>
      </c>
      <c r="DO289" s="89">
        <v>2313064.8434158904</v>
      </c>
      <c r="DP289" s="89">
        <v>620129.89899999998</v>
      </c>
      <c r="DQ289" s="89">
        <v>4772125.4409999996</v>
      </c>
      <c r="DR289" s="89"/>
      <c r="DS289" s="88">
        <v>91000.273530278311</v>
      </c>
      <c r="DT289" s="89">
        <v>44785.968511975479</v>
      </c>
      <c r="DU289" s="89">
        <v>43582.619542025481</v>
      </c>
      <c r="DV289" s="89">
        <v>1203.3489699500001</v>
      </c>
      <c r="DW289" s="89">
        <v>81720.927593439119</v>
      </c>
      <c r="DX289" s="89">
        <v>-35506.622575136294</v>
      </c>
      <c r="DY289" s="88">
        <v>13104.391178</v>
      </c>
      <c r="DZ289" s="89">
        <f t="shared" si="18"/>
        <v>-338.86282200000005</v>
      </c>
      <c r="EA289" s="89">
        <v>1295.204776</v>
      </c>
      <c r="EB289" s="89">
        <v>-1634.0675980000001</v>
      </c>
      <c r="EC289" s="89">
        <v>13087.17</v>
      </c>
      <c r="ED289" s="89"/>
      <c r="EE289" s="88">
        <v>26706.107552599995</v>
      </c>
      <c r="EF289" s="89">
        <v>-1614.0931418300004</v>
      </c>
      <c r="EG289" s="89">
        <v>-1756.2279752800005</v>
      </c>
      <c r="EH289" s="89">
        <v>142.13483345</v>
      </c>
      <c r="EI289" s="89">
        <v>36037.189415319997</v>
      </c>
      <c r="EJ289" s="89">
        <v>-7716.9887208900009</v>
      </c>
      <c r="EK289" s="88">
        <v>35378848.628847674</v>
      </c>
      <c r="EL289" s="89">
        <v>-8888884.7769438308</v>
      </c>
      <c r="EM289" s="89">
        <v>-7618172.4874717407</v>
      </c>
      <c r="EN289" s="89">
        <v>-1270712.2894720901</v>
      </c>
      <c r="EO289" s="89">
        <v>45222078.465795353</v>
      </c>
      <c r="EP289" s="89">
        <v>-954345.06000385003</v>
      </c>
      <c r="EQ289" s="88">
        <v>110669.76143725999</v>
      </c>
      <c r="ER289" s="89">
        <v>-60970.441215789993</v>
      </c>
      <c r="ES289" s="89"/>
      <c r="ET289" s="89"/>
      <c r="EU289" s="89">
        <v>233864.69494622998</v>
      </c>
      <c r="EV289" s="89">
        <v>-62224.492293179996</v>
      </c>
      <c r="EW289" s="88">
        <v>981519.60642972379</v>
      </c>
      <c r="EX289" s="89">
        <f t="shared" si="20"/>
        <v>578157.75038808002</v>
      </c>
      <c r="EY289" s="89">
        <v>559232.24271086999</v>
      </c>
      <c r="EZ289" s="89">
        <v>18925.50767721</v>
      </c>
      <c r="FA289" s="89">
        <v>592170.24281342002</v>
      </c>
      <c r="FB289" s="89">
        <v>-188808.38677177631</v>
      </c>
      <c r="FC289" s="88">
        <v>1170.9790097800001</v>
      </c>
      <c r="FD289" s="89">
        <v>-785.0749902199999</v>
      </c>
      <c r="FE289" s="89">
        <v>-157.44073654000002</v>
      </c>
      <c r="FF289" s="89">
        <v>-627.63425367999992</v>
      </c>
      <c r="FG289" s="89">
        <v>1956.0540000000001</v>
      </c>
      <c r="FH289" s="89"/>
      <c r="FI289" s="88">
        <v>1018.3576522200001</v>
      </c>
      <c r="FJ289" s="89">
        <v>-46.967347779999997</v>
      </c>
      <c r="FK289" s="89">
        <v>80.646326200000004</v>
      </c>
      <c r="FL289" s="89">
        <v>-127.61367398</v>
      </c>
      <c r="FM289" s="89">
        <v>1065.325</v>
      </c>
      <c r="FN289" s="89"/>
      <c r="FO289" s="88">
        <v>3994.8548540000002</v>
      </c>
      <c r="FP289" s="89">
        <v>-87.34314599999999</v>
      </c>
      <c r="FQ289" s="89">
        <v>293.82985400000001</v>
      </c>
      <c r="FR289" s="89">
        <v>-381.173</v>
      </c>
      <c r="FS289" s="89">
        <v>4082.1979999999999</v>
      </c>
      <c r="FT289" s="89"/>
      <c r="FU289" s="88">
        <v>5522.4000000000005</v>
      </c>
      <c r="FV289" s="89">
        <v>728.6</v>
      </c>
      <c r="FW289" s="89">
        <v>612.6</v>
      </c>
      <c r="FX289" s="89">
        <v>116</v>
      </c>
      <c r="FY289" s="89">
        <v>4656.5</v>
      </c>
      <c r="FZ289" s="89">
        <v>137.30000000000001</v>
      </c>
      <c r="GA289" s="88">
        <v>26312.799999999999</v>
      </c>
      <c r="GB289" s="89">
        <v>-18994.899999999998</v>
      </c>
      <c r="GC289" s="89"/>
      <c r="GD289" s="89"/>
      <c r="GE289" s="89">
        <v>45307.7</v>
      </c>
      <c r="GF289" s="89"/>
      <c r="GG289" s="88">
        <v>188043.84665771318</v>
      </c>
      <c r="GH289" s="89">
        <v>93129.280427005404</v>
      </c>
      <c r="GI289" s="89">
        <v>87056.436939865293</v>
      </c>
      <c r="GJ289" s="89">
        <v>6072.8434871401205</v>
      </c>
      <c r="GK289" s="89">
        <v>285284.22132600169</v>
      </c>
      <c r="GL289" s="89">
        <v>-190369.65509529386</v>
      </c>
      <c r="GM289" s="88">
        <v>1014129.8281083999</v>
      </c>
      <c r="GN289" s="89">
        <v>359682.24653236993</v>
      </c>
      <c r="GO289" s="89">
        <v>261942.70098235997</v>
      </c>
      <c r="GP289" s="89">
        <v>97739.545550009963</v>
      </c>
      <c r="GQ289" s="89">
        <v>611100.40108514996</v>
      </c>
      <c r="GR289" s="89">
        <v>43347.180490880004</v>
      </c>
    </row>
    <row r="290" spans="1:200">
      <c r="B290" s="93" t="s">
        <v>499</v>
      </c>
      <c r="C290" s="88">
        <v>2711.6192898599998</v>
      </c>
      <c r="D290" s="87">
        <v>423.70928986000007</v>
      </c>
      <c r="E290" s="87">
        <v>525.18844264000006</v>
      </c>
      <c r="F290" s="87">
        <v>-101.47915278000001</v>
      </c>
      <c r="G290" s="87">
        <v>2287.91</v>
      </c>
      <c r="H290" s="87"/>
      <c r="I290" s="88">
        <v>859275.32972074999</v>
      </c>
      <c r="J290" s="89">
        <v>731528.82803999993</v>
      </c>
      <c r="K290" s="89"/>
      <c r="L290" s="89"/>
      <c r="M290" s="89">
        <v>505986.06199999998</v>
      </c>
      <c r="N290" s="89">
        <v>-378239.56031924998</v>
      </c>
      <c r="O290" s="88">
        <v>8960.2000000000007</v>
      </c>
      <c r="P290" s="89">
        <v>2430.6</v>
      </c>
      <c r="Q290" s="89">
        <v>1945.6</v>
      </c>
      <c r="R290" s="89">
        <v>485</v>
      </c>
      <c r="S290" s="89">
        <v>6529.6</v>
      </c>
      <c r="T290" s="89"/>
      <c r="U290" s="88">
        <v>8237.287980000001</v>
      </c>
      <c r="V290" s="89">
        <v>2546.3979800000002</v>
      </c>
      <c r="W290" s="89">
        <v>2057.1629800000001</v>
      </c>
      <c r="X290" s="89">
        <v>489.23500000000001</v>
      </c>
      <c r="Y290" s="89">
        <v>5690.89</v>
      </c>
      <c r="Z290" s="89"/>
      <c r="AA290" s="88">
        <v>1854.3</v>
      </c>
      <c r="AB290" s="89">
        <v>23.670999999999999</v>
      </c>
      <c r="AC290" s="89">
        <v>3.577</v>
      </c>
      <c r="AD290" s="89">
        <v>20.094000000000001</v>
      </c>
      <c r="AE290" s="89">
        <v>1830.6289999999999</v>
      </c>
      <c r="AF290" s="89"/>
      <c r="AG290" s="88">
        <v>106743.71699999999</v>
      </c>
      <c r="AH290" s="89">
        <v>21882.956999999999</v>
      </c>
      <c r="AI290" s="89">
        <v>10718.183000000001</v>
      </c>
      <c r="AJ290" s="89">
        <v>11164.773999999999</v>
      </c>
      <c r="AK290" s="89">
        <v>84860.76</v>
      </c>
      <c r="AL290" s="89"/>
      <c r="AM290" s="88">
        <v>5223646</v>
      </c>
      <c r="AN290" s="89">
        <v>1424240</v>
      </c>
      <c r="AO290" s="89">
        <v>1301661</v>
      </c>
      <c r="AP290" s="89">
        <v>122579</v>
      </c>
      <c r="AQ290" s="89">
        <v>3364685</v>
      </c>
      <c r="AR290" s="89">
        <v>434721</v>
      </c>
      <c r="AS290" s="88">
        <v>87458495.231309995</v>
      </c>
      <c r="AT290" s="89">
        <v>1047193.221499</v>
      </c>
      <c r="AU290" s="89">
        <v>1047193.221499</v>
      </c>
      <c r="AV290" s="89"/>
      <c r="AW290" s="89">
        <v>106680268.109685</v>
      </c>
      <c r="AX290" s="89">
        <v>-20268966.099874001</v>
      </c>
      <c r="AY290" s="88">
        <v>336441360.44845366</v>
      </c>
      <c r="AZ290" s="89">
        <f t="shared" si="19"/>
        <v>58137559.545362264</v>
      </c>
      <c r="BA290" s="89">
        <v>45636775.943869263</v>
      </c>
      <c r="BB290" s="89">
        <v>12500783.601492999</v>
      </c>
      <c r="BC290" s="89">
        <v>278303800.90309143</v>
      </c>
      <c r="BD290" s="89"/>
      <c r="BE290" s="88">
        <v>12151666.2120682</v>
      </c>
      <c r="BF290" s="89">
        <v>884730.51976327004</v>
      </c>
      <c r="BG290" s="89">
        <v>719278.44299153006</v>
      </c>
      <c r="BH290" s="89">
        <v>165452.07677173999</v>
      </c>
      <c r="BI290" s="89">
        <v>12297556.379578151</v>
      </c>
      <c r="BJ290" s="89">
        <v>-1030620.68727327</v>
      </c>
      <c r="BK290" s="88">
        <v>740.43383574999996</v>
      </c>
      <c r="BL290" s="89">
        <v>-62.244164249999997</v>
      </c>
      <c r="BM290" s="89">
        <v>62.834482030000004</v>
      </c>
      <c r="BN290" s="89">
        <v>-125.07864628</v>
      </c>
      <c r="BO290" s="89">
        <v>802.678</v>
      </c>
      <c r="BP290" s="89"/>
      <c r="BQ290" s="88">
        <v>25128.167823999996</v>
      </c>
      <c r="BR290" s="89">
        <v>-1529.9589539999997</v>
      </c>
      <c r="BS290" s="89">
        <v>-488.99832899999979</v>
      </c>
      <c r="BT290" s="89">
        <v>-1040.9606249999999</v>
      </c>
      <c r="BU290" s="89">
        <v>26658.126777999998</v>
      </c>
      <c r="BV290" s="89"/>
      <c r="BW290" s="88">
        <v>14916.189256579997</v>
      </c>
      <c r="BX290" s="89">
        <v>7011.6239848300011</v>
      </c>
      <c r="BY290" s="89">
        <v>6756.0086491200009</v>
      </c>
      <c r="BZ290" s="89">
        <v>255.61533571000001</v>
      </c>
      <c r="CA290" s="89">
        <v>10269.790000300138</v>
      </c>
      <c r="CB290" s="89">
        <v>-2365.2247285501398</v>
      </c>
      <c r="CC290" s="88">
        <v>1726.3664424599999</v>
      </c>
      <c r="CD290" s="89">
        <v>7.9294424600000113</v>
      </c>
      <c r="CE290" s="89">
        <v>70.383164770000008</v>
      </c>
      <c r="CF290" s="89">
        <v>-62.453722309999996</v>
      </c>
      <c r="CG290" s="89">
        <v>1718.4369999999999</v>
      </c>
      <c r="CH290" s="89"/>
      <c r="CI290" s="88">
        <v>153486.79999999999</v>
      </c>
      <c r="CJ290" s="89">
        <v>31903.3</v>
      </c>
      <c r="CK290" s="89">
        <v>30870.6</v>
      </c>
      <c r="CL290" s="89">
        <v>1032.7</v>
      </c>
      <c r="CM290" s="89">
        <v>136856.4</v>
      </c>
      <c r="CN290" s="89">
        <v>-15272.8</v>
      </c>
      <c r="CO290" s="88">
        <v>145247.6</v>
      </c>
      <c r="CP290" s="89">
        <v>-12749.3</v>
      </c>
      <c r="CQ290" s="89">
        <v>34290.400000000001</v>
      </c>
      <c r="CR290" s="89">
        <v>-47039.7</v>
      </c>
      <c r="CS290" s="89">
        <v>181429.6</v>
      </c>
      <c r="CT290" s="89">
        <v>-23432.6</v>
      </c>
      <c r="CU290" s="88">
        <v>76310.877782467651</v>
      </c>
      <c r="CV290" s="89">
        <v>-1206.3141750024174</v>
      </c>
      <c r="CW290" s="89">
        <v>4479.847984657571</v>
      </c>
      <c r="CX290" s="89">
        <v>-5686.1621596599889</v>
      </c>
      <c r="CY290" s="89">
        <v>77517.191957470073</v>
      </c>
      <c r="CZ290" s="89"/>
      <c r="DA290" s="88">
        <v>149581.54327139739</v>
      </c>
      <c r="DB290" s="89">
        <v>15977.066261889784</v>
      </c>
      <c r="DC290" s="89">
        <v>7586.9894601905835</v>
      </c>
      <c r="DD290" s="89">
        <v>8390.0768016992006</v>
      </c>
      <c r="DE290" s="89">
        <v>206840.79981209885</v>
      </c>
      <c r="DF290" s="89">
        <v>-73236.322802591225</v>
      </c>
      <c r="DG290" s="88">
        <v>436002.19866736012</v>
      </c>
      <c r="DH290" s="89">
        <v>143919.47766736007</v>
      </c>
      <c r="DI290" s="89"/>
      <c r="DJ290" s="89"/>
      <c r="DK290" s="89">
        <v>317779.30900000001</v>
      </c>
      <c r="DL290" s="89">
        <v>-25696.588</v>
      </c>
      <c r="DM290" s="88">
        <v>7782985.3648624197</v>
      </c>
      <c r="DN290" s="89">
        <v>2934420.8078624201</v>
      </c>
      <c r="DO290" s="89">
        <v>2309417.8928624201</v>
      </c>
      <c r="DP290" s="89">
        <v>625002.91500000004</v>
      </c>
      <c r="DQ290" s="89">
        <v>4848564.557</v>
      </c>
      <c r="DR290" s="89"/>
      <c r="DS290" s="88">
        <v>98335.337669816276</v>
      </c>
      <c r="DT290" s="89">
        <v>44854.902389754243</v>
      </c>
      <c r="DU290" s="89">
        <v>43643.569454734243</v>
      </c>
      <c r="DV290" s="89">
        <v>1211.3329350200001</v>
      </c>
      <c r="DW290" s="89">
        <v>83936.269790691746</v>
      </c>
      <c r="DX290" s="89">
        <v>-30455.834510629713</v>
      </c>
      <c r="DY290" s="88">
        <v>13040.42015</v>
      </c>
      <c r="DZ290" s="89">
        <f t="shared" si="18"/>
        <v>-382.8468499999999</v>
      </c>
      <c r="EA290" s="89">
        <v>1242.2763600000001</v>
      </c>
      <c r="EB290" s="89">
        <v>-1625.12321</v>
      </c>
      <c r="EC290" s="89">
        <v>13062.102999999999</v>
      </c>
      <c r="ED290" s="89"/>
      <c r="EE290" s="88">
        <v>22052.978679949996</v>
      </c>
      <c r="EF290" s="89">
        <v>-2540.0427360900007</v>
      </c>
      <c r="EG290" s="89">
        <v>-2574.1464174200009</v>
      </c>
      <c r="EH290" s="89">
        <v>34.103681330000001</v>
      </c>
      <c r="EI290" s="89">
        <v>31559.266707669995</v>
      </c>
      <c r="EJ290" s="89">
        <v>-6966.2452916299981</v>
      </c>
      <c r="EK290" s="88">
        <v>36620811.608335689</v>
      </c>
      <c r="EL290" s="89">
        <v>-8991445.6226687673</v>
      </c>
      <c r="EM290" s="89">
        <v>-7748187.6829540171</v>
      </c>
      <c r="EN290" s="89">
        <v>-1243257.9397147503</v>
      </c>
      <c r="EO290" s="89">
        <v>46581423.553266734</v>
      </c>
      <c r="EP290" s="89">
        <v>-969166.32226228015</v>
      </c>
      <c r="EQ290" s="88">
        <v>112031.8006584</v>
      </c>
      <c r="ER290" s="89">
        <v>-61452.034880000007</v>
      </c>
      <c r="ES290" s="89"/>
      <c r="ET290" s="89"/>
      <c r="EU290" s="89">
        <v>237353.1255466</v>
      </c>
      <c r="EV290" s="89">
        <v>-63869.290008200012</v>
      </c>
      <c r="EW290" s="88">
        <v>1010016.7907408539</v>
      </c>
      <c r="EX290" s="89">
        <f t="shared" si="20"/>
        <v>596080.67981467</v>
      </c>
      <c r="EY290" s="89">
        <v>565823.36494800996</v>
      </c>
      <c r="EZ290" s="89">
        <v>30257.314866660006</v>
      </c>
      <c r="FA290" s="89">
        <v>604942.66570908006</v>
      </c>
      <c r="FB290" s="89">
        <v>-191006.55478289607</v>
      </c>
      <c r="FC290" s="88">
        <v>1146.8365960399997</v>
      </c>
      <c r="FD290" s="89">
        <v>-803.49140396000007</v>
      </c>
      <c r="FE290" s="89">
        <v>-163.87359370000001</v>
      </c>
      <c r="FF290" s="89">
        <v>-639.61781026000006</v>
      </c>
      <c r="FG290" s="89">
        <v>1950.328</v>
      </c>
      <c r="FH290" s="89"/>
      <c r="FI290" s="88">
        <v>1001.8540556600001</v>
      </c>
      <c r="FJ290" s="89">
        <v>-52.006944340000011</v>
      </c>
      <c r="FK290" s="89">
        <v>61.287796609999994</v>
      </c>
      <c r="FL290" s="89">
        <v>-113.29474095</v>
      </c>
      <c r="FM290" s="89">
        <v>1053.8610000000001</v>
      </c>
      <c r="FN290" s="89"/>
      <c r="FO290" s="88">
        <v>3995.6721777900002</v>
      </c>
      <c r="FP290" s="89">
        <v>-75.277822210000011</v>
      </c>
      <c r="FQ290" s="89">
        <v>310.15117778999996</v>
      </c>
      <c r="FR290" s="89">
        <v>-385.42899999999997</v>
      </c>
      <c r="FS290" s="89">
        <v>4070.95</v>
      </c>
      <c r="FT290" s="89"/>
      <c r="FU290" s="88">
        <v>5545.5999999999995</v>
      </c>
      <c r="FV290" s="89">
        <v>712.69999999999993</v>
      </c>
      <c r="FW290" s="89">
        <v>595.9</v>
      </c>
      <c r="FX290" s="89">
        <v>116.8</v>
      </c>
      <c r="FY290" s="89">
        <v>4696.3999999999996</v>
      </c>
      <c r="FZ290" s="89">
        <v>136.5</v>
      </c>
      <c r="GA290" s="88">
        <v>27819.4</v>
      </c>
      <c r="GB290" s="89">
        <v>-18173.699999999997</v>
      </c>
      <c r="GC290" s="89"/>
      <c r="GD290" s="89"/>
      <c r="GE290" s="89">
        <v>45993.1</v>
      </c>
      <c r="GF290" s="89"/>
      <c r="GG290" s="88">
        <v>200261.05023713387</v>
      </c>
      <c r="GH290" s="89">
        <v>105151.44103095593</v>
      </c>
      <c r="GI290" s="89">
        <v>99516.481247043383</v>
      </c>
      <c r="GJ290" s="89">
        <v>5634.9597839125408</v>
      </c>
      <c r="GK290" s="89">
        <v>288414.91480228613</v>
      </c>
      <c r="GL290" s="89">
        <v>-193305.30559610823</v>
      </c>
      <c r="GM290" s="88">
        <v>1072377.38800631</v>
      </c>
      <c r="GN290" s="89">
        <v>356327.91082317993</v>
      </c>
      <c r="GO290" s="89">
        <v>267248.98676962999</v>
      </c>
      <c r="GP290" s="89">
        <v>89078.924053549941</v>
      </c>
      <c r="GQ290" s="89">
        <v>644074.69140858005</v>
      </c>
      <c r="GR290" s="89">
        <v>71974.785774550008</v>
      </c>
    </row>
    <row r="291" spans="1:200">
      <c r="A291" s="132"/>
      <c r="B291" s="130" t="s">
        <v>500</v>
      </c>
      <c r="C291" s="104">
        <v>2684.3385193300001</v>
      </c>
      <c r="D291" s="105">
        <v>414.80051932999999</v>
      </c>
      <c r="E291" s="105">
        <v>523.79767211000001</v>
      </c>
      <c r="F291" s="105">
        <v>-108.99715278000001</v>
      </c>
      <c r="G291" s="105">
        <v>2269.538</v>
      </c>
      <c r="H291" s="105"/>
      <c r="I291" s="104">
        <v>864047.45700000017</v>
      </c>
      <c r="J291" s="105">
        <v>723923.22400000005</v>
      </c>
      <c r="K291" s="105"/>
      <c r="L291" s="105"/>
      <c r="M291" s="105">
        <v>526747.48699999996</v>
      </c>
      <c r="N291" s="105">
        <v>-386623.25400000002</v>
      </c>
      <c r="O291" s="104">
        <v>8949.9</v>
      </c>
      <c r="P291" s="105">
        <v>2398</v>
      </c>
      <c r="Q291" s="105">
        <v>1943.3</v>
      </c>
      <c r="R291" s="105">
        <v>454.7</v>
      </c>
      <c r="S291" s="105">
        <v>6551.9</v>
      </c>
      <c r="T291" s="103"/>
      <c r="U291" s="104">
        <v>8085.8569199999993</v>
      </c>
      <c r="V291" s="105">
        <v>2439.5819199999996</v>
      </c>
      <c r="W291" s="105">
        <v>1961.7949199999998</v>
      </c>
      <c r="X291" s="105">
        <v>477.78699999999998</v>
      </c>
      <c r="Y291" s="105">
        <v>5646.2749999999996</v>
      </c>
      <c r="Z291" s="105"/>
      <c r="AA291" s="104">
        <v>1872.2170000000001</v>
      </c>
      <c r="AB291" s="105">
        <v>37.460999999999999</v>
      </c>
      <c r="AC291" s="105">
        <v>16.577999999999999</v>
      </c>
      <c r="AD291" s="105">
        <v>20.882999999999999</v>
      </c>
      <c r="AE291" s="105">
        <v>1834.7560000000001</v>
      </c>
      <c r="AF291" s="103"/>
      <c r="AG291" s="104">
        <v>109158.005</v>
      </c>
      <c r="AH291" s="105">
        <v>23547.096000000001</v>
      </c>
      <c r="AI291" s="105">
        <v>11051.169</v>
      </c>
      <c r="AJ291" s="105">
        <v>12495.927</v>
      </c>
      <c r="AK291" s="105">
        <v>85610.909</v>
      </c>
      <c r="AL291" s="105"/>
      <c r="AM291" s="104">
        <v>5334549</v>
      </c>
      <c r="AN291" s="105">
        <v>1478384</v>
      </c>
      <c r="AO291" s="105">
        <v>1346111</v>
      </c>
      <c r="AP291" s="105">
        <v>132273</v>
      </c>
      <c r="AQ291" s="105">
        <v>3424529</v>
      </c>
      <c r="AR291" s="105">
        <v>431635</v>
      </c>
      <c r="AS291" s="104">
        <v>86750997.873785987</v>
      </c>
      <c r="AT291" s="105">
        <v>1183253.9858649999</v>
      </c>
      <c r="AU291" s="105">
        <v>1183253.9858649999</v>
      </c>
      <c r="AV291" s="105"/>
      <c r="AW291" s="105">
        <v>107194696.81842901</v>
      </c>
      <c r="AX291" s="105">
        <v>-21626952.930507999</v>
      </c>
      <c r="AY291" s="104">
        <v>342916772.29140681</v>
      </c>
      <c r="AZ291" s="105">
        <f t="shared" si="19"/>
        <v>60966493.781924263</v>
      </c>
      <c r="BA291" s="105">
        <v>47750156.335421264</v>
      </c>
      <c r="BB291" s="105">
        <v>13216337.446502998</v>
      </c>
      <c r="BC291" s="105">
        <v>281950278.50948256</v>
      </c>
      <c r="BD291" s="105"/>
      <c r="BE291" s="104">
        <v>12494080.601485001</v>
      </c>
      <c r="BF291" s="105">
        <v>1089859.33660474</v>
      </c>
      <c r="BG291" s="105">
        <v>923842.64780320995</v>
      </c>
      <c r="BH291" s="105">
        <v>166016.68880152999</v>
      </c>
      <c r="BI291" s="105">
        <v>12507499.05930455</v>
      </c>
      <c r="BJ291" s="105">
        <v>-1103277.79442425</v>
      </c>
      <c r="BK291" s="104">
        <v>722.45282649000001</v>
      </c>
      <c r="BL291" s="105">
        <v>-68.478173510000005</v>
      </c>
      <c r="BM291" s="105">
        <v>53.501865150000008</v>
      </c>
      <c r="BN291" s="105">
        <v>-121.98003866000001</v>
      </c>
      <c r="BO291" s="105">
        <v>790.93100000000004</v>
      </c>
      <c r="BP291" s="105"/>
      <c r="BQ291" s="104">
        <v>26300.989923999998</v>
      </c>
      <c r="BR291" s="105">
        <v>-511.18164599999989</v>
      </c>
      <c r="BS291" s="105">
        <v>226.77177600000005</v>
      </c>
      <c r="BT291" s="105">
        <v>-737.95342199999993</v>
      </c>
      <c r="BU291" s="105">
        <v>26812.171569999999</v>
      </c>
      <c r="BV291" s="105"/>
      <c r="BW291" s="104">
        <v>15139.37693061</v>
      </c>
      <c r="BX291" s="105">
        <v>7127.1381387312213</v>
      </c>
      <c r="BY291" s="105">
        <v>6861.9498072012211</v>
      </c>
      <c r="BZ291" s="105">
        <v>265.18833153000003</v>
      </c>
      <c r="CA291" s="105">
        <v>10356.97401615014</v>
      </c>
      <c r="CB291" s="105">
        <v>-2344.7352242713596</v>
      </c>
      <c r="CC291" s="104">
        <v>1695.3943146899999</v>
      </c>
      <c r="CD291" s="105">
        <v>-5.0076853099999994</v>
      </c>
      <c r="CE291" s="105">
        <v>52.253036999999999</v>
      </c>
      <c r="CF291" s="105">
        <v>-57.260722309999998</v>
      </c>
      <c r="CG291" s="105">
        <v>1700.402</v>
      </c>
      <c r="CH291" s="105"/>
      <c r="CI291" s="104">
        <v>156352.5</v>
      </c>
      <c r="CJ291" s="105">
        <v>33789.1</v>
      </c>
      <c r="CK291" s="105">
        <v>32757.8</v>
      </c>
      <c r="CL291" s="105">
        <v>1031.3000000000002</v>
      </c>
      <c r="CM291" s="105">
        <v>137951.70000000001</v>
      </c>
      <c r="CN291" s="105">
        <v>-15388.2</v>
      </c>
      <c r="CO291" s="104">
        <v>123789.6</v>
      </c>
      <c r="CP291" s="105">
        <v>-36146</v>
      </c>
      <c r="CQ291" s="105">
        <v>16675.8</v>
      </c>
      <c r="CR291" s="105">
        <v>-52821.8</v>
      </c>
      <c r="CS291" s="105">
        <v>185141.5</v>
      </c>
      <c r="CT291" s="105">
        <v>-25205.9</v>
      </c>
      <c r="CU291" s="104">
        <v>79070.313377904662</v>
      </c>
      <c r="CV291" s="105">
        <v>982.09525894719366</v>
      </c>
      <c r="CW291" s="105">
        <v>6621.5372560491414</v>
      </c>
      <c r="CX291" s="105">
        <v>-5639.4419971019479</v>
      </c>
      <c r="CY291" s="105">
        <v>78088.218118957462</v>
      </c>
      <c r="CZ291" s="105"/>
      <c r="DA291" s="104">
        <v>143031.78982277072</v>
      </c>
      <c r="DB291" s="105">
        <v>7870.2626561021352</v>
      </c>
      <c r="DC291" s="105">
        <v>-1836.5655753985629</v>
      </c>
      <c r="DD291" s="105">
        <v>9706.8282315006982</v>
      </c>
      <c r="DE291" s="105">
        <v>208556.40171082132</v>
      </c>
      <c r="DF291" s="105">
        <v>-73394.874544152728</v>
      </c>
      <c r="DG291" s="104">
        <v>426653.89144788834</v>
      </c>
      <c r="DH291" s="105">
        <v>132761.61344788832</v>
      </c>
      <c r="DI291" s="105"/>
      <c r="DJ291" s="105"/>
      <c r="DK291" s="105">
        <v>318881.24099999998</v>
      </c>
      <c r="DL291" s="105">
        <v>-24988.963</v>
      </c>
      <c r="DM291" s="104">
        <v>7974871.4727702998</v>
      </c>
      <c r="DN291" s="105">
        <v>3046276.9717702996</v>
      </c>
      <c r="DO291" s="105">
        <v>2398307.8357702997</v>
      </c>
      <c r="DP291" s="105">
        <v>647969.13599999994</v>
      </c>
      <c r="DQ291" s="105">
        <v>4928594.5010000002</v>
      </c>
      <c r="DR291" s="105"/>
      <c r="DS291" s="104">
        <v>98498.532620926548</v>
      </c>
      <c r="DT291" s="105">
        <v>45267.425933958235</v>
      </c>
      <c r="DU291" s="105">
        <v>44033.637883808238</v>
      </c>
      <c r="DV291" s="105">
        <v>1233.7880501499999</v>
      </c>
      <c r="DW291" s="105">
        <v>86541.922032932285</v>
      </c>
      <c r="DX291" s="105">
        <v>-33310.815345963973</v>
      </c>
      <c r="DY291" s="104">
        <v>12888.291338999999</v>
      </c>
      <c r="DZ291" s="105">
        <f t="shared" si="18"/>
        <v>-437.54966100000001</v>
      </c>
      <c r="EA291" s="105">
        <v>1183.5656839999999</v>
      </c>
      <c r="EB291" s="105">
        <v>-1621.1153449999999</v>
      </c>
      <c r="EC291" s="105">
        <v>12979.51</v>
      </c>
      <c r="ED291" s="103"/>
      <c r="EE291" s="104">
        <v>21338.437133589992</v>
      </c>
      <c r="EF291" s="105">
        <v>-2517.7712907500008</v>
      </c>
      <c r="EG291" s="105">
        <v>-2544.4925489900006</v>
      </c>
      <c r="EH291" s="105">
        <v>26.721258239999997</v>
      </c>
      <c r="EI291" s="105">
        <v>30158.917082280001</v>
      </c>
      <c r="EJ291" s="105">
        <v>-6302.7086579400038</v>
      </c>
      <c r="EK291" s="104">
        <v>36598381.539181635</v>
      </c>
      <c r="EL291" s="105">
        <v>-10646511.4646507</v>
      </c>
      <c r="EM291" s="105">
        <v>-9506739.8189291097</v>
      </c>
      <c r="EN291" s="105">
        <v>-1139771.6457215901</v>
      </c>
      <c r="EO291" s="105">
        <v>48421136.29299093</v>
      </c>
      <c r="EP291" s="105">
        <v>-1176243.2891586001</v>
      </c>
      <c r="EQ291" s="104">
        <v>121195.30211040002</v>
      </c>
      <c r="ER291" s="105">
        <v>-57141.1671222</v>
      </c>
      <c r="ES291" s="105"/>
      <c r="ET291" s="105"/>
      <c r="EU291" s="105">
        <v>240739.1112018</v>
      </c>
      <c r="EV291" s="103">
        <v>-62402.641969199991</v>
      </c>
      <c r="EW291" s="104">
        <v>1022706.6287902872</v>
      </c>
      <c r="EX291" s="105">
        <f t="shared" si="20"/>
        <v>607352.75656414998</v>
      </c>
      <c r="EY291" s="105">
        <v>601736.92262249999</v>
      </c>
      <c r="EZ291" s="105">
        <v>5615.8339416500003</v>
      </c>
      <c r="FA291" s="105">
        <v>612757.61169262999</v>
      </c>
      <c r="FB291" s="103">
        <v>-197403.73946649293</v>
      </c>
      <c r="FC291" s="104">
        <v>1133.03485916</v>
      </c>
      <c r="FD291" s="105">
        <v>-828.3311408400001</v>
      </c>
      <c r="FE291" s="105">
        <v>-193.02133058000007</v>
      </c>
      <c r="FF291" s="105">
        <v>-635.30981026000006</v>
      </c>
      <c r="FG291" s="105">
        <v>1961.366</v>
      </c>
      <c r="FH291" s="105"/>
      <c r="FI291" s="104">
        <v>998.91192393999984</v>
      </c>
      <c r="FJ291" s="105">
        <v>-48.932076060000014</v>
      </c>
      <c r="FK291" s="105">
        <v>61.153407739999992</v>
      </c>
      <c r="FL291" s="105">
        <v>-110.08548380000001</v>
      </c>
      <c r="FM291" s="105">
        <v>1047.8440000000001</v>
      </c>
      <c r="FN291" s="105"/>
      <c r="FO291" s="104">
        <v>3977.3231324899998</v>
      </c>
      <c r="FP291" s="105">
        <v>-74.109867509999958</v>
      </c>
      <c r="FQ291" s="105">
        <v>307.99313249000005</v>
      </c>
      <c r="FR291" s="105">
        <v>-382.10300000000001</v>
      </c>
      <c r="FS291" s="105">
        <v>4051.433</v>
      </c>
      <c r="FT291" s="105"/>
      <c r="FU291" s="104">
        <v>5526.9</v>
      </c>
      <c r="FV291" s="105">
        <v>645.79999999999995</v>
      </c>
      <c r="FW291" s="105">
        <v>525.5</v>
      </c>
      <c r="FX291" s="105">
        <v>120.3</v>
      </c>
      <c r="FY291" s="105">
        <v>4742.7</v>
      </c>
      <c r="FZ291" s="105">
        <v>138.4</v>
      </c>
      <c r="GA291" s="104">
        <v>20522.7</v>
      </c>
      <c r="GB291" s="105">
        <v>-25332.499999999996</v>
      </c>
      <c r="GC291" s="105"/>
      <c r="GD291" s="105"/>
      <c r="GE291" s="105">
        <v>45855.199999999997</v>
      </c>
      <c r="GF291" s="105"/>
      <c r="GG291" s="104">
        <v>219643.66077797624</v>
      </c>
      <c r="GH291" s="105">
        <v>107927.10997312685</v>
      </c>
      <c r="GI291" s="105">
        <v>101773.3812467145</v>
      </c>
      <c r="GJ291" s="105">
        <v>6153.7287264123397</v>
      </c>
      <c r="GK291" s="105">
        <v>303020.78147085541</v>
      </c>
      <c r="GL291" s="105">
        <v>-191304.23066600593</v>
      </c>
      <c r="GM291" s="104">
        <v>1115103.1880690297</v>
      </c>
      <c r="GN291" s="105">
        <v>363092.58450973989</v>
      </c>
      <c r="GO291" s="105">
        <v>270174.69121501996</v>
      </c>
      <c r="GP291" s="105">
        <v>92917.893294719921</v>
      </c>
      <c r="GQ291" s="105">
        <v>667797.1831097398</v>
      </c>
      <c r="GR291" s="103">
        <v>84213.420449550002</v>
      </c>
    </row>
    <row r="292" spans="1:200">
      <c r="A292" s="86">
        <v>2014</v>
      </c>
      <c r="B292" s="93" t="s">
        <v>489</v>
      </c>
      <c r="C292" s="88">
        <v>2689.9616188500004</v>
      </c>
      <c r="D292" s="87">
        <v>428.42061884999993</v>
      </c>
      <c r="E292" s="87">
        <v>521.45288600000003</v>
      </c>
      <c r="F292" s="87">
        <v>-93.032267000000004</v>
      </c>
      <c r="G292" s="87">
        <v>2261.5410000000002</v>
      </c>
      <c r="H292" s="87"/>
      <c r="I292" s="88">
        <v>841133.89621577994</v>
      </c>
      <c r="J292" s="89">
        <v>797126.88008999999</v>
      </c>
      <c r="K292" s="89"/>
      <c r="L292" s="89"/>
      <c r="M292" s="89">
        <v>541852.38</v>
      </c>
      <c r="N292" s="89">
        <v>-497845.36387422</v>
      </c>
      <c r="O292" s="88">
        <v>8665</v>
      </c>
      <c r="P292" s="89">
        <v>2130.1999999999998</v>
      </c>
      <c r="Q292" s="89">
        <v>1671.7</v>
      </c>
      <c r="R292" s="89">
        <v>458.5</v>
      </c>
      <c r="S292" s="89">
        <v>6534.8</v>
      </c>
      <c r="T292" s="89"/>
      <c r="U292" s="88">
        <v>8125.6361700000007</v>
      </c>
      <c r="V292" s="89">
        <v>2520.0751700000001</v>
      </c>
      <c r="W292" s="89">
        <v>2022.6681699999999</v>
      </c>
      <c r="X292" s="89">
        <v>497.40699999999998</v>
      </c>
      <c r="Y292" s="89">
        <v>5605.5610000000006</v>
      </c>
      <c r="Z292" s="89"/>
      <c r="AA292" s="88">
        <v>1850.9970000000001</v>
      </c>
      <c r="AB292" s="89">
        <v>9.8359999999999985</v>
      </c>
      <c r="AC292" s="89">
        <v>-11.058</v>
      </c>
      <c r="AD292" s="89">
        <v>20.893999999999998</v>
      </c>
      <c r="AE292" s="89">
        <v>1841.1610000000001</v>
      </c>
      <c r="AF292" s="89"/>
      <c r="AG292" s="88">
        <v>108867.31802938078</v>
      </c>
      <c r="AH292" s="89">
        <v>23908.537825241692</v>
      </c>
      <c r="AI292" s="89">
        <v>11402.261075151697</v>
      </c>
      <c r="AJ292" s="89">
        <v>12506.276750089997</v>
      </c>
      <c r="AK292" s="89">
        <v>84958.780204139097</v>
      </c>
      <c r="AL292" s="89"/>
      <c r="AM292" s="88">
        <v>5283243</v>
      </c>
      <c r="AN292" s="89">
        <v>1423167</v>
      </c>
      <c r="AO292" s="89">
        <v>1286789</v>
      </c>
      <c r="AP292" s="89">
        <v>136378</v>
      </c>
      <c r="AQ292" s="89">
        <v>3415562</v>
      </c>
      <c r="AR292" s="89">
        <v>444514</v>
      </c>
      <c r="AS292" s="88">
        <v>87931922.941051006</v>
      </c>
      <c r="AT292" s="89">
        <v>881401.28134400002</v>
      </c>
      <c r="AU292" s="89">
        <v>881401.28134400002</v>
      </c>
      <c r="AV292" s="89"/>
      <c r="AW292" s="89">
        <v>108590153.416655</v>
      </c>
      <c r="AX292" s="89">
        <v>-21539631.756948002</v>
      </c>
      <c r="AY292" s="88">
        <v>346532248.49567044</v>
      </c>
      <c r="AZ292" s="89">
        <f t="shared" si="19"/>
        <v>62051390.4637869</v>
      </c>
      <c r="BA292" s="89">
        <v>48872373.676513903</v>
      </c>
      <c r="BB292" s="89">
        <v>13179016.787273001</v>
      </c>
      <c r="BC292" s="89">
        <v>284480858.03188354</v>
      </c>
      <c r="BD292" s="89"/>
      <c r="BE292" s="88">
        <v>12742032.230848327</v>
      </c>
      <c r="BF292" s="89">
        <v>1106686.3156351075</v>
      </c>
      <c r="BG292" s="89">
        <v>940691.24352411588</v>
      </c>
      <c r="BH292" s="89">
        <v>165995.07211099166</v>
      </c>
      <c r="BI292" s="89">
        <v>12676027.600305175</v>
      </c>
      <c r="BJ292" s="89">
        <v>-1040681.6850919549</v>
      </c>
      <c r="BK292" s="88">
        <v>722.85257028000001</v>
      </c>
      <c r="BL292" s="89">
        <v>-68.619429719999999</v>
      </c>
      <c r="BM292" s="89">
        <v>56.428564940000008</v>
      </c>
      <c r="BN292" s="89">
        <v>-125.04799466</v>
      </c>
      <c r="BO292" s="89">
        <v>791.47199999999998</v>
      </c>
      <c r="BP292" s="89"/>
      <c r="BQ292" s="88">
        <v>26118.592879</v>
      </c>
      <c r="BR292" s="89">
        <v>-613.08661099999949</v>
      </c>
      <c r="BS292" s="89">
        <v>204.61331800000039</v>
      </c>
      <c r="BT292" s="89">
        <v>-817.69992899999988</v>
      </c>
      <c r="BU292" s="89">
        <v>26731.679489999999</v>
      </c>
      <c r="BV292" s="89"/>
      <c r="BW292" s="88">
        <v>15092.85284566</v>
      </c>
      <c r="BX292" s="89">
        <v>7251.4549245232001</v>
      </c>
      <c r="BY292" s="89">
        <v>7000.3434909932002</v>
      </c>
      <c r="BZ292" s="89">
        <v>251.11143353</v>
      </c>
      <c r="CA292" s="89">
        <v>10365.777539830138</v>
      </c>
      <c r="CB292" s="89">
        <v>-2524.3796186933355</v>
      </c>
      <c r="CC292" s="88">
        <v>1687.92845547</v>
      </c>
      <c r="CD292" s="89">
        <v>-7.8715445299999942</v>
      </c>
      <c r="CE292" s="89">
        <v>53.876166620000006</v>
      </c>
      <c r="CF292" s="89">
        <v>-61.747711150000001</v>
      </c>
      <c r="CG292" s="89">
        <v>1695.8</v>
      </c>
      <c r="CH292" s="89"/>
      <c r="CI292" s="88">
        <v>155571.29999999999</v>
      </c>
      <c r="CJ292" s="89">
        <v>33435.5</v>
      </c>
      <c r="CK292" s="89">
        <v>32416.400000000001</v>
      </c>
      <c r="CL292" s="89">
        <v>1019.1</v>
      </c>
      <c r="CM292" s="89">
        <v>139052</v>
      </c>
      <c r="CN292" s="89">
        <v>-16916.2</v>
      </c>
      <c r="CO292" s="88">
        <v>132532</v>
      </c>
      <c r="CP292" s="89">
        <v>-29900.7</v>
      </c>
      <c r="CQ292" s="89">
        <v>18564.2</v>
      </c>
      <c r="CR292" s="89">
        <v>-48464.9</v>
      </c>
      <c r="CS292" s="89">
        <v>184732.7</v>
      </c>
      <c r="CT292" s="89">
        <v>-22300</v>
      </c>
      <c r="CU292" s="88">
        <v>79862.424318222402</v>
      </c>
      <c r="CV292" s="89">
        <v>2132.5151444857343</v>
      </c>
      <c r="CW292" s="89">
        <v>7225.1654657019153</v>
      </c>
      <c r="CX292" s="89">
        <v>-5092.6503212161815</v>
      </c>
      <c r="CY292" s="89">
        <v>77729.909173736669</v>
      </c>
      <c r="CZ292" s="89"/>
      <c r="DA292" s="88">
        <v>146380.93788319483</v>
      </c>
      <c r="DB292" s="89">
        <v>10652.120908343266</v>
      </c>
      <c r="DC292" s="89">
        <v>939.45306140370667</v>
      </c>
      <c r="DD292" s="89">
        <v>9712.6678469395592</v>
      </c>
      <c r="DE292" s="89">
        <v>210253.68824128568</v>
      </c>
      <c r="DF292" s="89">
        <v>-74524.871266434129</v>
      </c>
      <c r="DG292" s="88">
        <v>433201.48318721884</v>
      </c>
      <c r="DH292" s="89">
        <v>142926.02318721885</v>
      </c>
      <c r="DI292" s="89"/>
      <c r="DJ292" s="89"/>
      <c r="DK292" s="89">
        <v>316912.848</v>
      </c>
      <c r="DL292" s="89">
        <v>-26637.387999999999</v>
      </c>
      <c r="DM292" s="88">
        <v>7864350</v>
      </c>
      <c r="DN292" s="89">
        <f>DO292+DP292</f>
        <v>2985208</v>
      </c>
      <c r="DO292" s="89">
        <v>2339280</v>
      </c>
      <c r="DP292" s="89">
        <v>645928</v>
      </c>
      <c r="DQ292" s="89">
        <v>4879140</v>
      </c>
      <c r="DR292" s="89"/>
      <c r="DS292" s="88">
        <v>97634.66293989899</v>
      </c>
      <c r="DT292" s="89">
        <v>45039.549252281693</v>
      </c>
      <c r="DU292" s="89">
        <v>43821.662934091692</v>
      </c>
      <c r="DV292" s="89">
        <v>1217.8863181900001</v>
      </c>
      <c r="DW292" s="89">
        <v>86568.191590266884</v>
      </c>
      <c r="DX292" s="89">
        <v>-33973.077902649587</v>
      </c>
      <c r="DY292" s="88">
        <v>12823.90431</v>
      </c>
      <c r="DZ292" s="89">
        <f t="shared" si="18"/>
        <v>-472.66268999999988</v>
      </c>
      <c r="EA292" s="89">
        <v>1167.4423240000001</v>
      </c>
      <c r="EB292" s="89">
        <v>-1640.105014</v>
      </c>
      <c r="EC292" s="89">
        <v>12945.367</v>
      </c>
      <c r="ED292" s="89"/>
      <c r="EE292" s="88">
        <v>27480.889846810009</v>
      </c>
      <c r="EF292" s="89">
        <v>-1409.5423686799993</v>
      </c>
      <c r="EG292" s="89">
        <v>-1542.1087572299994</v>
      </c>
      <c r="EH292" s="89">
        <v>132.56638855000003</v>
      </c>
      <c r="EI292" s="89">
        <v>36430.109031200009</v>
      </c>
      <c r="EJ292" s="89">
        <v>-7539.6768157100014</v>
      </c>
      <c r="EK292" s="88">
        <v>36922580.259506397</v>
      </c>
      <c r="EL292" s="89">
        <v>-11035164.753800858</v>
      </c>
      <c r="EM292" s="89">
        <v>-9662450.3182498384</v>
      </c>
      <c r="EN292" s="89">
        <v>-1372714.4355510201</v>
      </c>
      <c r="EO292" s="89">
        <v>49173516.569292903</v>
      </c>
      <c r="EP292" s="89">
        <v>-1215771.5559856498</v>
      </c>
      <c r="EQ292" s="88">
        <v>123020.27408563999</v>
      </c>
      <c r="ER292" s="89">
        <v>-56667.402645640002</v>
      </c>
      <c r="ES292" s="89"/>
      <c r="ET292" s="89"/>
      <c r="EU292" s="89">
        <v>241150.93416067999</v>
      </c>
      <c r="EV292" s="89">
        <v>-61463.257429399993</v>
      </c>
      <c r="EW292" s="88">
        <v>1033755.9376596059</v>
      </c>
      <c r="EX292" s="89">
        <f t="shared" si="20"/>
        <v>631923.65157777013</v>
      </c>
      <c r="EY292" s="89">
        <v>615422.71018080018</v>
      </c>
      <c r="EZ292" s="89">
        <v>16500.941396970004</v>
      </c>
      <c r="FA292" s="89">
        <v>602694.47141759004</v>
      </c>
      <c r="FB292" s="89">
        <v>-200862.18533575442</v>
      </c>
      <c r="FC292" s="88">
        <v>1088.0417215099999</v>
      </c>
      <c r="FD292" s="89">
        <v>-866.2422784900001</v>
      </c>
      <c r="FE292" s="89">
        <v>-208.64811673000005</v>
      </c>
      <c r="FF292" s="89">
        <v>-657.59416176000002</v>
      </c>
      <c r="FG292" s="89">
        <v>1954.2840000000001</v>
      </c>
      <c r="FH292" s="89"/>
      <c r="FI292" s="88">
        <v>1009.2666441199999</v>
      </c>
      <c r="FJ292" s="89">
        <v>-38.168355880000007</v>
      </c>
      <c r="FK292" s="89">
        <v>73.929385079999989</v>
      </c>
      <c r="FL292" s="89">
        <v>-112.09774096</v>
      </c>
      <c r="FM292" s="89">
        <v>1047.4349999999999</v>
      </c>
      <c r="FN292" s="89"/>
      <c r="FO292" s="88">
        <v>3956.4413245799997</v>
      </c>
      <c r="FP292" s="89">
        <v>-82.866675419999979</v>
      </c>
      <c r="FQ292" s="89">
        <v>304.50832458000002</v>
      </c>
      <c r="FR292" s="89">
        <v>-387.375</v>
      </c>
      <c r="FS292" s="89">
        <v>4039.308</v>
      </c>
      <c r="FT292" s="89"/>
      <c r="FU292" s="88">
        <v>5650.4</v>
      </c>
      <c r="FV292" s="89">
        <v>760.3</v>
      </c>
      <c r="FW292" s="89">
        <v>638</v>
      </c>
      <c r="FX292" s="89">
        <v>122.3</v>
      </c>
      <c r="FY292" s="89">
        <v>4753.7</v>
      </c>
      <c r="FZ292" s="89">
        <v>136.4</v>
      </c>
      <c r="GA292" s="88">
        <v>28571.7</v>
      </c>
      <c r="GB292" s="89">
        <v>-17696.7</v>
      </c>
      <c r="GC292" s="89"/>
      <c r="GD292" s="89"/>
      <c r="GE292" s="89">
        <v>46268.4</v>
      </c>
      <c r="GF292" s="89"/>
      <c r="GG292" s="88">
        <v>221304.80300910637</v>
      </c>
      <c r="GH292" s="89">
        <v>105670.10477582221</v>
      </c>
      <c r="GI292" s="89">
        <v>100737.46379021203</v>
      </c>
      <c r="GJ292" s="89">
        <v>4932.6409856101818</v>
      </c>
      <c r="GK292" s="89">
        <v>308192.63432344736</v>
      </c>
      <c r="GL292" s="89">
        <v>-192557.93609016319</v>
      </c>
      <c r="GM292" s="88">
        <v>1122722.5315442299</v>
      </c>
      <c r="GN292" s="89">
        <v>366363.40969351999</v>
      </c>
      <c r="GO292" s="89">
        <v>272123.58090409002</v>
      </c>
      <c r="GP292" s="89">
        <v>94239.828789429972</v>
      </c>
      <c r="GQ292" s="89">
        <v>673059.8475002799</v>
      </c>
      <c r="GR292" s="89">
        <v>83299.274350430002</v>
      </c>
    </row>
    <row r="293" spans="1:200">
      <c r="A293" s="93"/>
      <c r="B293" s="93" t="s">
        <v>490</v>
      </c>
      <c r="C293" s="88">
        <v>2694.6039235399999</v>
      </c>
      <c r="D293" s="87">
        <v>432.57792354000014</v>
      </c>
      <c r="E293" s="87">
        <v>517.87419</v>
      </c>
      <c r="F293" s="87">
        <v>-85.296267</v>
      </c>
      <c r="G293" s="87">
        <v>2262.0259999999998</v>
      </c>
      <c r="H293" s="87"/>
      <c r="I293" s="88">
        <v>865090.9659999999</v>
      </c>
      <c r="J293" s="89">
        <v>851496.65500000003</v>
      </c>
      <c r="K293" s="89"/>
      <c r="L293" s="89"/>
      <c r="M293" s="89">
        <v>541676.27899999998</v>
      </c>
      <c r="N293" s="89">
        <v>-528081.96799999999</v>
      </c>
      <c r="O293" s="88">
        <v>8651.6</v>
      </c>
      <c r="P293" s="89">
        <v>2123.7999999999997</v>
      </c>
      <c r="Q293" s="89">
        <v>1700.6</v>
      </c>
      <c r="R293" s="89">
        <v>423.2</v>
      </c>
      <c r="S293" s="89">
        <v>6527.8</v>
      </c>
      <c r="T293" s="89"/>
      <c r="U293" s="88">
        <v>8139.11283</v>
      </c>
      <c r="V293" s="89">
        <v>2571.1468300000001</v>
      </c>
      <c r="W293" s="89">
        <v>2075.79783</v>
      </c>
      <c r="X293" s="89">
        <v>495.34900000000005</v>
      </c>
      <c r="Y293" s="89">
        <v>5567.9660000000003</v>
      </c>
      <c r="Z293" s="89"/>
      <c r="AA293" s="88">
        <v>1887.576</v>
      </c>
      <c r="AB293" s="89">
        <v>47.284999999999997</v>
      </c>
      <c r="AC293" s="89">
        <v>27.265999999999998</v>
      </c>
      <c r="AD293" s="89">
        <v>20.018999999999998</v>
      </c>
      <c r="AE293" s="89">
        <v>1840.2909999999999</v>
      </c>
      <c r="AF293" s="89"/>
      <c r="AG293" s="88">
        <v>109992.22674804802</v>
      </c>
      <c r="AH293" s="89">
        <v>24301.4987816381</v>
      </c>
      <c r="AI293" s="89">
        <v>11421.4355795381</v>
      </c>
      <c r="AJ293" s="89">
        <v>12880.063202100002</v>
      </c>
      <c r="AK293" s="89">
        <v>85690.727966409919</v>
      </c>
      <c r="AL293" s="89"/>
      <c r="AM293" s="88">
        <v>5356058</v>
      </c>
      <c r="AN293" s="89">
        <v>1471247</v>
      </c>
      <c r="AO293" s="89">
        <v>1331568</v>
      </c>
      <c r="AP293" s="89">
        <v>139679</v>
      </c>
      <c r="AQ293" s="89">
        <v>3436917</v>
      </c>
      <c r="AR293" s="89">
        <v>447894</v>
      </c>
      <c r="AS293" s="88">
        <v>88708362.273620009</v>
      </c>
      <c r="AT293" s="89">
        <v>1086135.7758219999</v>
      </c>
      <c r="AU293" s="89">
        <v>1086135.7758219999</v>
      </c>
      <c r="AV293" s="89"/>
      <c r="AW293" s="89">
        <v>109319023.480812</v>
      </c>
      <c r="AX293" s="89">
        <v>-21696796.983013999</v>
      </c>
      <c r="AY293" s="88">
        <v>351893391.32187933</v>
      </c>
      <c r="AZ293" s="89">
        <f t="shared" si="19"/>
        <v>64325345.348559387</v>
      </c>
      <c r="BA293" s="89">
        <v>50990769.323996387</v>
      </c>
      <c r="BB293" s="89">
        <v>13334576.024563</v>
      </c>
      <c r="BC293" s="89">
        <v>287568045.97331995</v>
      </c>
      <c r="BD293" s="89"/>
      <c r="BE293" s="88">
        <v>13109327.798936933</v>
      </c>
      <c r="BF293" s="89">
        <v>1191642.2196533703</v>
      </c>
      <c r="BG293" s="89">
        <v>1024173.793560676</v>
      </c>
      <c r="BH293" s="89">
        <v>167468.42609269428</v>
      </c>
      <c r="BI293" s="89">
        <v>13162813.966561217</v>
      </c>
      <c r="BJ293" s="89">
        <v>-1245128.3872776562</v>
      </c>
      <c r="BK293" s="88">
        <v>701.69108730000005</v>
      </c>
      <c r="BL293" s="89">
        <v>-85.129912699999977</v>
      </c>
      <c r="BM293" s="89">
        <v>39.455081960000008</v>
      </c>
      <c r="BN293" s="89">
        <v>-124.58499465999999</v>
      </c>
      <c r="BO293" s="89">
        <v>786.82100000000003</v>
      </c>
      <c r="BP293" s="89"/>
      <c r="BQ293" s="88">
        <v>26195.390728999999</v>
      </c>
      <c r="BR293" s="89">
        <v>-429.75066700000013</v>
      </c>
      <c r="BS293" s="89">
        <v>542.68040999999994</v>
      </c>
      <c r="BT293" s="89">
        <v>-972.43107700000007</v>
      </c>
      <c r="BU293" s="89">
        <v>26625.141395999999</v>
      </c>
      <c r="BV293" s="89"/>
      <c r="BW293" s="88">
        <v>15273.818292069998</v>
      </c>
      <c r="BX293" s="89">
        <v>7273.3717933800008</v>
      </c>
      <c r="BY293" s="89">
        <v>7016.0263484000006</v>
      </c>
      <c r="BZ293" s="89">
        <v>257.34544498000002</v>
      </c>
      <c r="CA293" s="89">
        <v>10388.69442304</v>
      </c>
      <c r="CB293" s="89">
        <v>-2388.2479243500011</v>
      </c>
      <c r="CC293" s="88">
        <v>1691.4912595999999</v>
      </c>
      <c r="CD293" s="89">
        <v>-2.0537404000000095</v>
      </c>
      <c r="CE293" s="89">
        <v>53.985970749999993</v>
      </c>
      <c r="CF293" s="89">
        <v>-56.039711150000002</v>
      </c>
      <c r="CG293" s="89">
        <v>1693.5450000000001</v>
      </c>
      <c r="CH293" s="89"/>
      <c r="CI293" s="88">
        <v>156637.79999999999</v>
      </c>
      <c r="CJ293" s="89">
        <v>33992.299999999996</v>
      </c>
      <c r="CK293" s="89">
        <v>33003.699999999997</v>
      </c>
      <c r="CL293" s="89">
        <v>988.6</v>
      </c>
      <c r="CM293" s="89">
        <v>138957.29999999999</v>
      </c>
      <c r="CN293" s="89">
        <v>-16311.8</v>
      </c>
      <c r="CO293" s="88">
        <v>142418.6</v>
      </c>
      <c r="CP293" s="89">
        <v>-21253</v>
      </c>
      <c r="CQ293" s="89">
        <v>24660.3</v>
      </c>
      <c r="CR293" s="89">
        <v>-45913.3</v>
      </c>
      <c r="CS293" s="89">
        <v>185782.3</v>
      </c>
      <c r="CT293" s="89">
        <v>-22110.799999999999</v>
      </c>
      <c r="CU293" s="88">
        <v>81973.404551045882</v>
      </c>
      <c r="CV293" s="89">
        <v>2835.9425457396692</v>
      </c>
      <c r="CW293" s="89">
        <v>7289.8263132127304</v>
      </c>
      <c r="CX293" s="89">
        <v>-4453.8837674730603</v>
      </c>
      <c r="CY293" s="89">
        <v>79137.46200530621</v>
      </c>
      <c r="CZ293" s="89"/>
      <c r="DA293" s="88">
        <v>146512.42782776227</v>
      </c>
      <c r="DB293" s="89">
        <v>10176.536880572532</v>
      </c>
      <c r="DC293" s="89">
        <v>480.5527841958683</v>
      </c>
      <c r="DD293" s="89">
        <v>9695.9840963766637</v>
      </c>
      <c r="DE293" s="89">
        <v>211695.58597187599</v>
      </c>
      <c r="DF293" s="89">
        <v>-75359.695024686269</v>
      </c>
      <c r="DG293" s="88">
        <v>450842.69665075029</v>
      </c>
      <c r="DH293" s="89">
        <v>161686.30065075029</v>
      </c>
      <c r="DI293" s="89"/>
      <c r="DJ293" s="89"/>
      <c r="DK293" s="89">
        <v>320556.96899999998</v>
      </c>
      <c r="DL293" s="89">
        <v>-31400.573</v>
      </c>
      <c r="DM293" s="88">
        <v>7902190</v>
      </c>
      <c r="DN293" s="89">
        <f t="shared" ref="DN293:DN321" si="21">DO293+DP293</f>
        <v>3024378</v>
      </c>
      <c r="DO293" s="89">
        <v>2372920</v>
      </c>
      <c r="DP293" s="89">
        <v>651458</v>
      </c>
      <c r="DQ293" s="89">
        <v>4877820</v>
      </c>
      <c r="DR293" s="89"/>
      <c r="DS293" s="88">
        <v>98645.851933608152</v>
      </c>
      <c r="DT293" s="89">
        <v>46800.949194902525</v>
      </c>
      <c r="DU293" s="89">
        <v>45660.865120802526</v>
      </c>
      <c r="DV293" s="89">
        <v>1140.0840741</v>
      </c>
      <c r="DW293" s="89">
        <v>87870.793387686601</v>
      </c>
      <c r="DX293" s="89">
        <v>-36025.890648980974</v>
      </c>
      <c r="DY293" s="88">
        <v>12740.852456000001</v>
      </c>
      <c r="DZ293" s="89">
        <f t="shared" si="18"/>
        <v>-535.25154399999997</v>
      </c>
      <c r="EA293" s="89">
        <v>1103.2914699999999</v>
      </c>
      <c r="EB293" s="89">
        <v>-1638.5430139999999</v>
      </c>
      <c r="EC293" s="89">
        <v>12910.527</v>
      </c>
      <c r="ED293" s="89"/>
      <c r="EE293" s="88">
        <v>27156.22376352</v>
      </c>
      <c r="EF293" s="89">
        <v>-1143.6859736500001</v>
      </c>
      <c r="EG293" s="89">
        <v>-1275.0622936</v>
      </c>
      <c r="EH293" s="89">
        <v>131.37631995000001</v>
      </c>
      <c r="EI293" s="89">
        <v>36704.645009510001</v>
      </c>
      <c r="EJ293" s="89">
        <v>-8404.7352723400018</v>
      </c>
      <c r="EK293" s="88">
        <v>36062751.184847645</v>
      </c>
      <c r="EL293" s="89">
        <v>-10975307.877202887</v>
      </c>
      <c r="EM293" s="89">
        <v>-9410764.3819826879</v>
      </c>
      <c r="EN293" s="89">
        <v>-1564543.4952201999</v>
      </c>
      <c r="EO293" s="89">
        <v>48209294.732900105</v>
      </c>
      <c r="EP293" s="89">
        <v>-1171235.6708495698</v>
      </c>
      <c r="EQ293" s="88">
        <v>123325.15964879998</v>
      </c>
      <c r="ER293" s="89">
        <v>-55206.640345400003</v>
      </c>
      <c r="ES293" s="89"/>
      <c r="ET293" s="89"/>
      <c r="EU293" s="89">
        <v>242749.6461104</v>
      </c>
      <c r="EV293" s="89">
        <v>-64217.846116200031</v>
      </c>
      <c r="EW293" s="88">
        <v>1070464.259741642</v>
      </c>
      <c r="EX293" s="89">
        <f t="shared" si="20"/>
        <v>671264.61947353987</v>
      </c>
      <c r="EY293" s="89">
        <v>648381.20477115992</v>
      </c>
      <c r="EZ293" s="89">
        <v>22883.414702380003</v>
      </c>
      <c r="FA293" s="89">
        <v>605305.63428788004</v>
      </c>
      <c r="FB293" s="89">
        <v>-206105.99401977792</v>
      </c>
      <c r="FC293" s="88">
        <v>1054.5501465399998</v>
      </c>
      <c r="FD293" s="89">
        <v>-885.38885346000006</v>
      </c>
      <c r="FE293" s="89">
        <v>-219.66769170000003</v>
      </c>
      <c r="FF293" s="89">
        <v>-665.72116176000009</v>
      </c>
      <c r="FG293" s="89">
        <v>1939.9390000000001</v>
      </c>
      <c r="FH293" s="89"/>
      <c r="FI293" s="88">
        <v>1009.8668358900001</v>
      </c>
      <c r="FJ293" s="89">
        <v>-35.494164109999986</v>
      </c>
      <c r="FK293" s="89">
        <v>72.581576850000005</v>
      </c>
      <c r="FL293" s="89">
        <v>-108.07574095999999</v>
      </c>
      <c r="FM293" s="89">
        <v>1045.3610000000001</v>
      </c>
      <c r="FN293" s="89"/>
      <c r="FO293" s="88">
        <v>3925.3592823900003</v>
      </c>
      <c r="FP293" s="89">
        <v>-110.82371761000002</v>
      </c>
      <c r="FQ293" s="89">
        <v>280.99028239</v>
      </c>
      <c r="FR293" s="89">
        <v>-391.81400000000002</v>
      </c>
      <c r="FS293" s="89">
        <v>4036.183</v>
      </c>
      <c r="FT293" s="89"/>
      <c r="FU293" s="88">
        <v>5812.8</v>
      </c>
      <c r="FV293" s="89">
        <v>915.8</v>
      </c>
      <c r="FW293" s="89">
        <v>807</v>
      </c>
      <c r="FX293" s="89">
        <v>108.8</v>
      </c>
      <c r="FY293" s="89">
        <v>4775</v>
      </c>
      <c r="FZ293" s="89">
        <v>122</v>
      </c>
      <c r="GA293" s="88">
        <v>28868.7</v>
      </c>
      <c r="GB293" s="89">
        <v>-17871.100000000002</v>
      </c>
      <c r="GC293" s="89"/>
      <c r="GD293" s="89"/>
      <c r="GE293" s="89">
        <v>46739.8</v>
      </c>
      <c r="GF293" s="89"/>
      <c r="GG293" s="88">
        <v>230009.37322712041</v>
      </c>
      <c r="GH293" s="89">
        <v>114848.75929433064</v>
      </c>
      <c r="GI293" s="89">
        <v>110190.989815465</v>
      </c>
      <c r="GJ293" s="89">
        <v>4657.769478865649</v>
      </c>
      <c r="GK293" s="89">
        <v>314503.76372392487</v>
      </c>
      <c r="GL293" s="89">
        <v>-199343.1497911351</v>
      </c>
      <c r="GM293" s="88">
        <v>1177884.93169255</v>
      </c>
      <c r="GN293" s="89">
        <v>394502.81968488003</v>
      </c>
      <c r="GO293" s="89">
        <v>296846.03451732005</v>
      </c>
      <c r="GP293" s="89">
        <v>97656.785167559981</v>
      </c>
      <c r="GQ293" s="89">
        <v>693897.49040260992</v>
      </c>
      <c r="GR293" s="89">
        <v>89484.621605060005</v>
      </c>
    </row>
    <row r="294" spans="1:200">
      <c r="A294" s="93"/>
      <c r="B294" s="93" t="s">
        <v>491</v>
      </c>
      <c r="C294" s="88">
        <v>2679.6542614800001</v>
      </c>
      <c r="D294" s="87">
        <v>432.23026147999997</v>
      </c>
      <c r="E294" s="87">
        <v>524.24550399999998</v>
      </c>
      <c r="F294" s="87">
        <v>-92.015242000000001</v>
      </c>
      <c r="G294" s="87">
        <v>2247.424</v>
      </c>
      <c r="H294" s="87"/>
      <c r="I294" s="88">
        <v>881913.51</v>
      </c>
      <c r="J294" s="89">
        <v>876544.29799999995</v>
      </c>
      <c r="K294" s="89"/>
      <c r="L294" s="89"/>
      <c r="M294" s="89">
        <v>544619.74300000002</v>
      </c>
      <c r="N294" s="89">
        <v>-539250.53099999996</v>
      </c>
      <c r="O294" s="88">
        <v>8651.2000000000007</v>
      </c>
      <c r="P294" s="89">
        <v>2134.8000000000002</v>
      </c>
      <c r="Q294" s="89">
        <v>1706.7</v>
      </c>
      <c r="R294" s="89">
        <v>428.1</v>
      </c>
      <c r="S294" s="89">
        <v>6516.4</v>
      </c>
      <c r="T294" s="89"/>
      <c r="U294" s="88">
        <v>8017.9517599999999</v>
      </c>
      <c r="V294" s="89">
        <v>2585.7047600000001</v>
      </c>
      <c r="W294" s="89">
        <v>2022.8781100000001</v>
      </c>
      <c r="X294" s="89">
        <v>562.82664999999997</v>
      </c>
      <c r="Y294" s="89">
        <v>5432.2470000000003</v>
      </c>
      <c r="Z294" s="89"/>
      <c r="AA294" s="88">
        <v>1866.134</v>
      </c>
      <c r="AB294" s="89">
        <v>33.915999999999997</v>
      </c>
      <c r="AC294" s="89">
        <v>14.494</v>
      </c>
      <c r="AD294" s="89">
        <v>19.422000000000001</v>
      </c>
      <c r="AE294" s="89">
        <v>1832.2180000000001</v>
      </c>
      <c r="AF294" s="89"/>
      <c r="AG294" s="88">
        <v>111256.27112814784</v>
      </c>
      <c r="AH294" s="89">
        <v>24557.287803710708</v>
      </c>
      <c r="AI294" s="89">
        <v>11372.567128160705</v>
      </c>
      <c r="AJ294" s="89">
        <v>13184.720675550001</v>
      </c>
      <c r="AK294" s="89">
        <v>86698.983324437126</v>
      </c>
      <c r="AL294" s="89"/>
      <c r="AM294" s="88">
        <v>5426305</v>
      </c>
      <c r="AN294" s="89">
        <v>1484065</v>
      </c>
      <c r="AO294" s="89">
        <v>1339330</v>
      </c>
      <c r="AP294" s="89">
        <v>144735</v>
      </c>
      <c r="AQ294" s="89">
        <v>3479995</v>
      </c>
      <c r="AR294" s="89">
        <v>462244</v>
      </c>
      <c r="AS294" s="88">
        <v>88493375.291237995</v>
      </c>
      <c r="AT294" s="89">
        <v>1126716.377634</v>
      </c>
      <c r="AU294" s="89">
        <v>1126716.377634</v>
      </c>
      <c r="AV294" s="89"/>
      <c r="AW294" s="89">
        <v>109397351.50182299</v>
      </c>
      <c r="AX294" s="89">
        <v>-22030692.588219002</v>
      </c>
      <c r="AY294" s="88">
        <v>358030853.54045159</v>
      </c>
      <c r="AZ294" s="89">
        <f t="shared" si="19"/>
        <v>68329666.396901384</v>
      </c>
      <c r="BA294" s="89">
        <v>54667585.398284391</v>
      </c>
      <c r="BB294" s="89">
        <v>13662080.998616999</v>
      </c>
      <c r="BC294" s="89">
        <v>289701187.14355022</v>
      </c>
      <c r="BD294" s="89"/>
      <c r="BE294" s="88">
        <v>13375312.714275762</v>
      </c>
      <c r="BF294" s="89">
        <v>1285139.367305387</v>
      </c>
      <c r="BG294" s="89">
        <v>1116511.5847962964</v>
      </c>
      <c r="BH294" s="89">
        <v>168627.78250909052</v>
      </c>
      <c r="BI294" s="89">
        <v>13351056.186712202</v>
      </c>
      <c r="BJ294" s="89">
        <v>-1260882.8397418254</v>
      </c>
      <c r="BK294" s="88">
        <v>704.83869673000004</v>
      </c>
      <c r="BL294" s="89">
        <v>-83.819303270000006</v>
      </c>
      <c r="BM294" s="89">
        <v>38.535691390000004</v>
      </c>
      <c r="BN294" s="89">
        <v>-122.35499466</v>
      </c>
      <c r="BO294" s="89">
        <v>788.65800000000002</v>
      </c>
      <c r="BP294" s="89"/>
      <c r="BQ294" s="88">
        <v>26972.522238999998</v>
      </c>
      <c r="BR294" s="89">
        <v>136.60082799999986</v>
      </c>
      <c r="BS294" s="89">
        <v>841.31950599999982</v>
      </c>
      <c r="BT294" s="89">
        <v>-704.71867799999995</v>
      </c>
      <c r="BU294" s="89">
        <v>26835.921410999999</v>
      </c>
      <c r="BV294" s="89"/>
      <c r="BW294" s="88">
        <v>15506.700353300002</v>
      </c>
      <c r="BX294" s="89">
        <v>7314.0556738935011</v>
      </c>
      <c r="BY294" s="89">
        <v>7051.0375425235006</v>
      </c>
      <c r="BZ294" s="89">
        <v>263.01813136999999</v>
      </c>
      <c r="CA294" s="89">
        <v>10501.081212360139</v>
      </c>
      <c r="CB294" s="89">
        <v>-2308.4365329536386</v>
      </c>
      <c r="CC294" s="88">
        <v>1682.7189778999998</v>
      </c>
      <c r="CD294" s="89">
        <v>-2.3910221000000078</v>
      </c>
      <c r="CE294" s="89">
        <v>63.116689049999998</v>
      </c>
      <c r="CF294" s="89">
        <v>-65.507711150000006</v>
      </c>
      <c r="CG294" s="89">
        <v>1685.11</v>
      </c>
      <c r="CH294" s="89"/>
      <c r="CI294" s="88">
        <v>158774.70000000001</v>
      </c>
      <c r="CJ294" s="89">
        <v>34633.399999999994</v>
      </c>
      <c r="CK294" s="89">
        <v>33666.199999999997</v>
      </c>
      <c r="CL294" s="89">
        <v>967.2</v>
      </c>
      <c r="CM294" s="89">
        <v>139737.20000000001</v>
      </c>
      <c r="CN294" s="89">
        <v>-15596</v>
      </c>
      <c r="CO294" s="88">
        <v>145686</v>
      </c>
      <c r="CP294" s="89">
        <v>-20841</v>
      </c>
      <c r="CQ294" s="89">
        <v>25255.200000000001</v>
      </c>
      <c r="CR294" s="89">
        <v>-46096.2</v>
      </c>
      <c r="CS294" s="89">
        <v>186446</v>
      </c>
      <c r="CT294" s="89">
        <v>-19919</v>
      </c>
      <c r="CU294" s="88">
        <v>82070.582142463158</v>
      </c>
      <c r="CV294" s="89">
        <v>3012.3790087227849</v>
      </c>
      <c r="CW294" s="89">
        <v>7570.3210247804445</v>
      </c>
      <c r="CX294" s="89">
        <v>-4557.9420160576601</v>
      </c>
      <c r="CY294" s="89">
        <v>79058.203133740375</v>
      </c>
      <c r="CZ294" s="89"/>
      <c r="DA294" s="88">
        <v>148043.53387694265</v>
      </c>
      <c r="DB294" s="89">
        <v>11394.054717940746</v>
      </c>
      <c r="DC294" s="89">
        <v>1787.0858268969678</v>
      </c>
      <c r="DD294" s="89">
        <v>9606.9688910437781</v>
      </c>
      <c r="DE294" s="89">
        <v>213392.59815247165</v>
      </c>
      <c r="DF294" s="89">
        <v>-76743.118993469732</v>
      </c>
      <c r="DG294" s="88">
        <v>459890.66534999997</v>
      </c>
      <c r="DH294" s="89">
        <v>166776.80134999999</v>
      </c>
      <c r="DI294" s="89"/>
      <c r="DJ294" s="89"/>
      <c r="DK294" s="89">
        <v>320478.88500000001</v>
      </c>
      <c r="DL294" s="89">
        <v>-27365.021000000001</v>
      </c>
      <c r="DM294" s="88">
        <v>7951450</v>
      </c>
      <c r="DN294" s="89">
        <f t="shared" si="21"/>
        <v>3027789</v>
      </c>
      <c r="DO294" s="89">
        <v>2370140</v>
      </c>
      <c r="DP294" s="89">
        <v>657649</v>
      </c>
      <c r="DQ294" s="89">
        <v>4923660</v>
      </c>
      <c r="DR294" s="89"/>
      <c r="DS294" s="88">
        <v>97323.452887897321</v>
      </c>
      <c r="DT294" s="89">
        <v>44015.883481726414</v>
      </c>
      <c r="DU294" s="89">
        <v>42901.959049286415</v>
      </c>
      <c r="DV294" s="89">
        <v>1113.9244324400001</v>
      </c>
      <c r="DW294" s="89">
        <v>88716.301968997694</v>
      </c>
      <c r="DX294" s="89">
        <v>-35408.732562826772</v>
      </c>
      <c r="DY294" s="88">
        <v>12657.221528999999</v>
      </c>
      <c r="DZ294" s="89">
        <f t="shared" si="18"/>
        <v>-534.76447099999996</v>
      </c>
      <c r="EA294" s="89">
        <v>1125.570518</v>
      </c>
      <c r="EB294" s="89">
        <v>-1660.334989</v>
      </c>
      <c r="EC294" s="89">
        <v>12827.141</v>
      </c>
      <c r="ED294" s="89"/>
      <c r="EE294" s="88">
        <v>27029.384868460002</v>
      </c>
      <c r="EF294" s="89">
        <v>-1572.9844214799991</v>
      </c>
      <c r="EG294" s="89">
        <v>-1729.2018466799991</v>
      </c>
      <c r="EH294" s="89">
        <v>156.21742520000001</v>
      </c>
      <c r="EI294" s="89">
        <v>37038.990889029999</v>
      </c>
      <c r="EJ294" s="89">
        <v>-8436.62159909</v>
      </c>
      <c r="EK294" s="88">
        <v>36338213.179318801</v>
      </c>
      <c r="EL294" s="89">
        <v>-11016287.660566948</v>
      </c>
      <c r="EM294" s="89">
        <v>-9426151.6905648187</v>
      </c>
      <c r="EN294" s="89">
        <v>-1590135.9700021306</v>
      </c>
      <c r="EO294" s="89">
        <v>48547717.830736399</v>
      </c>
      <c r="EP294" s="89">
        <v>-1193216.99085065</v>
      </c>
      <c r="EQ294" s="88">
        <v>123254.27173517999</v>
      </c>
      <c r="ER294" s="89">
        <v>-57980.444532059999</v>
      </c>
      <c r="ES294" s="89"/>
      <c r="ET294" s="89"/>
      <c r="EU294" s="89">
        <v>244844.92666043004</v>
      </c>
      <c r="EV294" s="89">
        <v>-63610.210393190035</v>
      </c>
      <c r="EW294" s="88">
        <v>1092600.9202138479</v>
      </c>
      <c r="EX294" s="89">
        <f t="shared" si="20"/>
        <v>675123.12490137003</v>
      </c>
      <c r="EY294" s="89">
        <v>652283.60509587999</v>
      </c>
      <c r="EZ294" s="89">
        <v>22839.519805489996</v>
      </c>
      <c r="FA294" s="89">
        <v>615949.25168068008</v>
      </c>
      <c r="FB294" s="89">
        <v>-198471.45636820205</v>
      </c>
      <c r="FC294" s="88">
        <v>1039.0442671599999</v>
      </c>
      <c r="FD294" s="89">
        <v>-897.86173284000006</v>
      </c>
      <c r="FE294" s="89">
        <v>-221.09357108000003</v>
      </c>
      <c r="FF294" s="89">
        <v>-676.76816176</v>
      </c>
      <c r="FG294" s="89">
        <v>1936.9059999999999</v>
      </c>
      <c r="FH294" s="89"/>
      <c r="FI294" s="88">
        <v>1012.7721832</v>
      </c>
      <c r="FJ294" s="89">
        <v>-33.09581679999998</v>
      </c>
      <c r="FK294" s="89">
        <v>79.440924160000009</v>
      </c>
      <c r="FL294" s="89">
        <v>-112.53674095999999</v>
      </c>
      <c r="FM294" s="89">
        <v>1045.8679999999999</v>
      </c>
      <c r="FN294" s="89"/>
      <c r="FO294" s="88">
        <v>3894.9642483799998</v>
      </c>
      <c r="FP294" s="89">
        <v>-109.63075162000001</v>
      </c>
      <c r="FQ294" s="89">
        <v>273.16624838000001</v>
      </c>
      <c r="FR294" s="89">
        <v>-382.79700000000003</v>
      </c>
      <c r="FS294" s="89">
        <v>4004.5949999999998</v>
      </c>
      <c r="FT294" s="89"/>
      <c r="FU294" s="88">
        <v>5624.8</v>
      </c>
      <c r="FV294" s="89">
        <v>694.80000000000007</v>
      </c>
      <c r="FW294" s="89">
        <v>604.20000000000005</v>
      </c>
      <c r="FX294" s="89">
        <v>90.6</v>
      </c>
      <c r="FY294" s="89">
        <v>4787.2</v>
      </c>
      <c r="FZ294" s="89">
        <v>142.80000000000001</v>
      </c>
      <c r="GA294" s="88">
        <v>25150.7</v>
      </c>
      <c r="GB294" s="89">
        <v>-21650.799999999999</v>
      </c>
      <c r="GC294" s="89"/>
      <c r="GD294" s="89"/>
      <c r="GE294" s="89">
        <v>46801.5</v>
      </c>
      <c r="GF294" s="89"/>
      <c r="GG294" s="88">
        <v>236111.89044577623</v>
      </c>
      <c r="GH294" s="89">
        <v>98178.788977677905</v>
      </c>
      <c r="GI294" s="89">
        <v>92821.285945829441</v>
      </c>
      <c r="GJ294" s="89">
        <v>5357.5030318484805</v>
      </c>
      <c r="GK294" s="89">
        <v>321842.4780655175</v>
      </c>
      <c r="GL294" s="89">
        <v>-183909.37659741924</v>
      </c>
      <c r="GM294" s="88">
        <v>1232059.9000711301</v>
      </c>
      <c r="GN294" s="89">
        <v>403071.37732144003</v>
      </c>
      <c r="GO294" s="89">
        <v>296089.20232874999</v>
      </c>
      <c r="GP294" s="89">
        <v>106982.17499269004</v>
      </c>
      <c r="GQ294" s="89">
        <v>731126.78263522009</v>
      </c>
      <c r="GR294" s="89">
        <v>97861.740114469983</v>
      </c>
    </row>
    <row r="295" spans="1:200">
      <c r="B295" s="93" t="s">
        <v>492</v>
      </c>
      <c r="C295" s="88">
        <v>2656.3272810199996</v>
      </c>
      <c r="D295" s="87">
        <v>417.45328102000002</v>
      </c>
      <c r="E295" s="87">
        <v>510.49453299999999</v>
      </c>
      <c r="F295" s="87">
        <v>-93.041252</v>
      </c>
      <c r="G295" s="87">
        <v>2238.8739999999998</v>
      </c>
      <c r="H295" s="87"/>
      <c r="I295" s="88">
        <v>878166.74399999995</v>
      </c>
      <c r="J295" s="89">
        <v>886373.88399999996</v>
      </c>
      <c r="K295" s="89"/>
      <c r="L295" s="89"/>
      <c r="M295" s="89">
        <v>546937.65</v>
      </c>
      <c r="N295" s="89">
        <v>-555144.79</v>
      </c>
      <c r="O295" s="88">
        <v>8735.7000000000007</v>
      </c>
      <c r="P295" s="89">
        <v>2247.6</v>
      </c>
      <c r="Q295" s="89">
        <v>1821.9</v>
      </c>
      <c r="R295" s="89">
        <v>425.7</v>
      </c>
      <c r="S295" s="89">
        <v>6488.1</v>
      </c>
      <c r="T295" s="89"/>
      <c r="U295" s="88">
        <v>8088.6880499999997</v>
      </c>
      <c r="V295" s="89">
        <v>2679.9470499999998</v>
      </c>
      <c r="W295" s="89">
        <v>2125.6304</v>
      </c>
      <c r="X295" s="89">
        <v>554.31664999999998</v>
      </c>
      <c r="Y295" s="89">
        <v>5408.741</v>
      </c>
      <c r="Z295" s="89"/>
      <c r="AA295" s="88">
        <v>1848.182</v>
      </c>
      <c r="AB295" s="89">
        <v>7.0879999999999992</v>
      </c>
      <c r="AC295" s="89">
        <v>-10.811999999999999</v>
      </c>
      <c r="AD295" s="89">
        <v>17.899999999999999</v>
      </c>
      <c r="AE295" s="89">
        <v>1841.0940000000001</v>
      </c>
      <c r="AF295" s="89"/>
      <c r="AG295" s="88">
        <v>113525.7742510955</v>
      </c>
      <c r="AH295" s="89">
        <v>24621.448788194186</v>
      </c>
      <c r="AI295" s="89">
        <v>11051.096473204188</v>
      </c>
      <c r="AJ295" s="89">
        <v>13570.352314989997</v>
      </c>
      <c r="AK295" s="89">
        <v>88904.32546290131</v>
      </c>
      <c r="AL295" s="89"/>
      <c r="AM295" s="88">
        <v>5481729</v>
      </c>
      <c r="AN295" s="89">
        <v>1498746</v>
      </c>
      <c r="AO295" s="89">
        <v>1350661</v>
      </c>
      <c r="AP295" s="89">
        <v>148085</v>
      </c>
      <c r="AQ295" s="89">
        <v>3524592</v>
      </c>
      <c r="AR295" s="89">
        <v>458391</v>
      </c>
      <c r="AS295" s="88">
        <v>87422886.051832005</v>
      </c>
      <c r="AT295" s="89">
        <v>664566.88883100008</v>
      </c>
      <c r="AU295" s="89">
        <v>664789.30372500001</v>
      </c>
      <c r="AV295" s="89"/>
      <c r="AW295" s="89">
        <v>110264905.87684101</v>
      </c>
      <c r="AX295" s="89">
        <v>-23506586.71384</v>
      </c>
      <c r="AY295" s="88">
        <v>360762515.90943229</v>
      </c>
      <c r="AZ295" s="89">
        <f t="shared" si="19"/>
        <v>67031932.583694659</v>
      </c>
      <c r="BA295" s="89">
        <v>53115878.324124657</v>
      </c>
      <c r="BB295" s="89">
        <v>13916054.259570001</v>
      </c>
      <c r="BC295" s="89">
        <v>293730583.32573766</v>
      </c>
      <c r="BD295" s="89"/>
      <c r="BE295" s="88">
        <v>12944614.004833763</v>
      </c>
      <c r="BF295" s="89">
        <v>710351.98842500383</v>
      </c>
      <c r="BG295" s="89">
        <v>539936.78546210623</v>
      </c>
      <c r="BH295" s="89">
        <v>170415.20296289757</v>
      </c>
      <c r="BI295" s="89">
        <v>13528442.058331065</v>
      </c>
      <c r="BJ295" s="89">
        <v>-1294180.0419223043</v>
      </c>
      <c r="BK295" s="88">
        <v>715.90376729999991</v>
      </c>
      <c r="BL295" s="89">
        <v>-72.232232699999997</v>
      </c>
      <c r="BM295" s="89">
        <v>56.512210279999998</v>
      </c>
      <c r="BN295" s="89">
        <v>-128.74444298</v>
      </c>
      <c r="BO295" s="89">
        <v>788.13599999999997</v>
      </c>
      <c r="BP295" s="89"/>
      <c r="BQ295" s="88">
        <v>27108.184702999995</v>
      </c>
      <c r="BR295" s="89">
        <v>-93.761328000000731</v>
      </c>
      <c r="BS295" s="89">
        <v>649.22138199999927</v>
      </c>
      <c r="BT295" s="89">
        <v>-742.98271</v>
      </c>
      <c r="BU295" s="89">
        <v>27201.946030999996</v>
      </c>
      <c r="BV295" s="89"/>
      <c r="BW295" s="88">
        <v>15450.64040869</v>
      </c>
      <c r="BX295" s="89">
        <v>7222.0136077518</v>
      </c>
      <c r="BY295" s="89">
        <v>6969.2917610118002</v>
      </c>
      <c r="BZ295" s="89">
        <v>252.72184674000002</v>
      </c>
      <c r="CA295" s="89">
        <v>10562.011501500137</v>
      </c>
      <c r="CB295" s="89">
        <v>-2333.3847005619396</v>
      </c>
      <c r="CC295" s="88">
        <v>1655.9127741700001</v>
      </c>
      <c r="CD295" s="89">
        <v>-20.534225830000004</v>
      </c>
      <c r="CE295" s="89">
        <v>52.585581029999993</v>
      </c>
      <c r="CF295" s="89">
        <v>-73.119806859999997</v>
      </c>
      <c r="CG295" s="89">
        <v>1676.4469999999999</v>
      </c>
      <c r="CH295" s="89"/>
      <c r="CI295" s="88">
        <v>160174.1</v>
      </c>
      <c r="CJ295" s="89">
        <v>33706.6</v>
      </c>
      <c r="CK295" s="89">
        <v>32764.799999999999</v>
      </c>
      <c r="CL295" s="89">
        <v>941.80000000000007</v>
      </c>
      <c r="CM295" s="89">
        <v>141532.1</v>
      </c>
      <c r="CN295" s="89">
        <v>-15064.6</v>
      </c>
      <c r="CO295" s="88">
        <v>151826.20000000001</v>
      </c>
      <c r="CP295" s="89">
        <v>-18508.7</v>
      </c>
      <c r="CQ295" s="89">
        <v>26502.1</v>
      </c>
      <c r="CR295" s="89">
        <v>-45010.8</v>
      </c>
      <c r="CS295" s="89">
        <v>190463.5</v>
      </c>
      <c r="CT295" s="89">
        <v>-20128.599999999999</v>
      </c>
      <c r="CU295" s="88">
        <v>84364.20506104012</v>
      </c>
      <c r="CV295" s="89">
        <v>3923.9332801980727</v>
      </c>
      <c r="CW295" s="89">
        <v>8159.8968225017343</v>
      </c>
      <c r="CX295" s="89">
        <v>-4235.9635423036616</v>
      </c>
      <c r="CY295" s="89">
        <v>80440.271780842042</v>
      </c>
      <c r="CZ295" s="89"/>
      <c r="DA295" s="88">
        <v>145472.05294900003</v>
      </c>
      <c r="DB295" s="89">
        <v>8149.3533991751083</v>
      </c>
      <c r="DC295" s="89">
        <v>-1460.5577978173242</v>
      </c>
      <c r="DD295" s="89">
        <v>9609.9111969924325</v>
      </c>
      <c r="DE295" s="89">
        <v>215160.52727162221</v>
      </c>
      <c r="DF295" s="89">
        <v>-77837.827721797265</v>
      </c>
      <c r="DG295" s="88">
        <v>463576.80907999998</v>
      </c>
      <c r="DH295" s="89">
        <v>173750.44507999998</v>
      </c>
      <c r="DI295" s="89"/>
      <c r="DJ295" s="89"/>
      <c r="DK295" s="89">
        <v>319471.61800000002</v>
      </c>
      <c r="DL295" s="89">
        <v>-29645.254000000001</v>
      </c>
      <c r="DM295" s="88">
        <v>8000600</v>
      </c>
      <c r="DN295" s="89">
        <f t="shared" si="21"/>
        <v>3037951</v>
      </c>
      <c r="DO295" s="89">
        <v>2383880</v>
      </c>
      <c r="DP295" s="89">
        <v>654071</v>
      </c>
      <c r="DQ295" s="89">
        <v>4962650</v>
      </c>
      <c r="DR295" s="89"/>
      <c r="DS295" s="88">
        <v>98378.084881404095</v>
      </c>
      <c r="DT295" s="89">
        <v>43658.966111392991</v>
      </c>
      <c r="DU295" s="89">
        <v>42546.754507622987</v>
      </c>
      <c r="DV295" s="89">
        <v>1112.21160377</v>
      </c>
      <c r="DW295" s="89">
        <v>90307.673668221832</v>
      </c>
      <c r="DX295" s="89">
        <v>-35588.554898210743</v>
      </c>
      <c r="DY295" s="88">
        <v>12555.447719</v>
      </c>
      <c r="DZ295" s="89">
        <f t="shared" si="18"/>
        <v>-595.590281</v>
      </c>
      <c r="EA295" s="89">
        <v>1093.786824</v>
      </c>
      <c r="EB295" s="89">
        <v>-1689.377105</v>
      </c>
      <c r="EC295" s="89">
        <v>12787.914000000001</v>
      </c>
      <c r="ED295" s="89"/>
      <c r="EE295" s="88">
        <v>27088.670106360012</v>
      </c>
      <c r="EF295" s="89">
        <v>-1867.7011909099997</v>
      </c>
      <c r="EG295" s="89">
        <v>-2022.3614373299997</v>
      </c>
      <c r="EH295" s="89">
        <v>154.66024641999999</v>
      </c>
      <c r="EI295" s="89">
        <v>37460.681202100008</v>
      </c>
      <c r="EJ295" s="89">
        <v>-8504.3099048299991</v>
      </c>
      <c r="EK295" s="88">
        <v>36138927</v>
      </c>
      <c r="EL295" s="89">
        <v>-11264200</v>
      </c>
      <c r="EM295" s="89">
        <v>-9490544</v>
      </c>
      <c r="EN295" s="89">
        <v>-1773656</v>
      </c>
      <c r="EO295" s="89">
        <v>48786648</v>
      </c>
      <c r="EP295" s="89">
        <v>-1383521</v>
      </c>
      <c r="EQ295" s="88">
        <v>124107.75528939004</v>
      </c>
      <c r="ER295" s="89">
        <v>-60681.283991420001</v>
      </c>
      <c r="ES295" s="89"/>
      <c r="ET295" s="89"/>
      <c r="EU295" s="89">
        <v>247411.47039110001</v>
      </c>
      <c r="EV295" s="89">
        <v>-62622.431110289966</v>
      </c>
      <c r="EW295" s="88">
        <v>1034553.2732478082</v>
      </c>
      <c r="EX295" s="89">
        <f t="shared" si="20"/>
        <v>606250.82467282994</v>
      </c>
      <c r="EY295" s="89">
        <v>585300.11855957995</v>
      </c>
      <c r="EZ295" s="89">
        <v>20950.706113249998</v>
      </c>
      <c r="FA295" s="89">
        <v>622033.00986929005</v>
      </c>
      <c r="FB295" s="89">
        <v>-193730.56129431172</v>
      </c>
      <c r="FC295" s="88">
        <v>996.49888213999986</v>
      </c>
      <c r="FD295" s="89">
        <v>-952.1601178599999</v>
      </c>
      <c r="FE295" s="89">
        <v>-262.38259039999997</v>
      </c>
      <c r="FF295" s="89">
        <v>-689.77752745999999</v>
      </c>
      <c r="FG295" s="89">
        <v>1948.6590000000001</v>
      </c>
      <c r="FH295" s="89"/>
      <c r="FI295" s="88">
        <v>994.90192578999984</v>
      </c>
      <c r="FJ295" s="89">
        <v>-49.483074209999998</v>
      </c>
      <c r="FK295" s="89">
        <v>59.345863399999999</v>
      </c>
      <c r="FL295" s="89">
        <v>-108.82893761</v>
      </c>
      <c r="FM295" s="89">
        <v>1044.385</v>
      </c>
      <c r="FN295" s="89"/>
      <c r="FO295" s="88">
        <v>3899.9448419199994</v>
      </c>
      <c r="FP295" s="89">
        <v>-85.394158080000011</v>
      </c>
      <c r="FQ295" s="89">
        <v>305.18184192000001</v>
      </c>
      <c r="FR295" s="89">
        <v>-390.57600000000002</v>
      </c>
      <c r="FS295" s="89">
        <v>3985.3389999999999</v>
      </c>
      <c r="FT295" s="89"/>
      <c r="FU295" s="88">
        <v>5748.0000000000009</v>
      </c>
      <c r="FV295" s="89">
        <v>781.3</v>
      </c>
      <c r="FW295" s="89">
        <v>693.3</v>
      </c>
      <c r="FX295" s="89">
        <v>88</v>
      </c>
      <c r="FY295" s="89">
        <v>4824.1000000000004</v>
      </c>
      <c r="FZ295" s="89">
        <v>142.6</v>
      </c>
      <c r="GA295" s="88">
        <v>22341.9</v>
      </c>
      <c r="GB295" s="89">
        <v>-24863.199999999997</v>
      </c>
      <c r="GC295" s="89"/>
      <c r="GD295" s="89"/>
      <c r="GE295" s="89">
        <v>47205.1</v>
      </c>
      <c r="GF295" s="89"/>
      <c r="GG295" s="88">
        <v>239025.93489221873</v>
      </c>
      <c r="GH295" s="89">
        <v>99026.492708898411</v>
      </c>
      <c r="GI295" s="89">
        <v>92834.311212184068</v>
      </c>
      <c r="GJ295" s="89">
        <v>6192.1814967143509</v>
      </c>
      <c r="GK295" s="89">
        <v>332028.38086944801</v>
      </c>
      <c r="GL295" s="89">
        <v>-192028.93868612766</v>
      </c>
      <c r="GM295" s="88">
        <v>1287345.95768891</v>
      </c>
      <c r="GN295" s="89">
        <v>408681.4316452301</v>
      </c>
      <c r="GO295" s="89">
        <v>304129.48123915005</v>
      </c>
      <c r="GP295" s="89">
        <v>104551.95040608005</v>
      </c>
      <c r="GQ295" s="89">
        <v>765542.95128540008</v>
      </c>
      <c r="GR295" s="89">
        <v>113121.57475827998</v>
      </c>
    </row>
    <row r="296" spans="1:200">
      <c r="B296" s="93" t="s">
        <v>493</v>
      </c>
      <c r="C296" s="88">
        <v>2666.3816088799999</v>
      </c>
      <c r="D296" s="87">
        <v>434.43960887999992</v>
      </c>
      <c r="E296" s="87">
        <v>520.43586099999993</v>
      </c>
      <c r="F296" s="87">
        <v>-85.996251999999998</v>
      </c>
      <c r="G296" s="87">
        <v>2231.942</v>
      </c>
      <c r="H296" s="87"/>
      <c r="I296" s="88">
        <v>905746.81700000016</v>
      </c>
      <c r="J296" s="89">
        <v>915688.03399999999</v>
      </c>
      <c r="K296" s="89"/>
      <c r="L296" s="89"/>
      <c r="M296" s="89">
        <v>552120.26800000004</v>
      </c>
      <c r="N296" s="89">
        <v>-562061.48499999999</v>
      </c>
      <c r="O296" s="88">
        <v>8769.9</v>
      </c>
      <c r="P296" s="89">
        <v>2275.7000000000003</v>
      </c>
      <c r="Q296" s="89">
        <v>1848.9</v>
      </c>
      <c r="R296" s="89">
        <v>426.8</v>
      </c>
      <c r="S296" s="89">
        <v>6494.2</v>
      </c>
      <c r="T296" s="89"/>
      <c r="U296" s="88">
        <v>8193.7997299999988</v>
      </c>
      <c r="V296" s="89">
        <v>2781.0837299999998</v>
      </c>
      <c r="W296" s="89">
        <v>2208.6217299999998</v>
      </c>
      <c r="X296" s="89">
        <v>572.46199999999999</v>
      </c>
      <c r="Y296" s="89">
        <v>5412.7159999999994</v>
      </c>
      <c r="Z296" s="89"/>
      <c r="AA296" s="88">
        <v>1833.4570000000001</v>
      </c>
      <c r="AB296" s="89">
        <v>-18.884</v>
      </c>
      <c r="AC296" s="89">
        <v>-35.073</v>
      </c>
      <c r="AD296" s="89">
        <v>16.189</v>
      </c>
      <c r="AE296" s="89">
        <v>1852.3409999999999</v>
      </c>
      <c r="AF296" s="89"/>
      <c r="AG296" s="88">
        <v>115353.64329349871</v>
      </c>
      <c r="AH296" s="89">
        <v>24723.401203859012</v>
      </c>
      <c r="AI296" s="89">
        <v>10840.569900369012</v>
      </c>
      <c r="AJ296" s="89">
        <v>13882.831303490002</v>
      </c>
      <c r="AK296" s="89">
        <v>90630.242089639694</v>
      </c>
      <c r="AL296" s="89"/>
      <c r="AM296" s="88">
        <v>5558221</v>
      </c>
      <c r="AN296" s="89">
        <v>1532697</v>
      </c>
      <c r="AO296" s="89">
        <v>1383665</v>
      </c>
      <c r="AP296" s="89">
        <v>149032</v>
      </c>
      <c r="AQ296" s="89">
        <v>3567750</v>
      </c>
      <c r="AR296" s="89">
        <v>457774</v>
      </c>
      <c r="AS296" s="88">
        <v>90347397.319373012</v>
      </c>
      <c r="AT296" s="89">
        <v>1061261.130263</v>
      </c>
      <c r="AU296" s="89">
        <v>1061261.130263</v>
      </c>
      <c r="AV296" s="89"/>
      <c r="AW296" s="89">
        <v>111155680.929882</v>
      </c>
      <c r="AX296" s="89">
        <v>-21869544.740771998</v>
      </c>
      <c r="AY296" s="88">
        <v>357424029.4361766</v>
      </c>
      <c r="AZ296" s="89">
        <f t="shared" si="19"/>
        <v>59192982.489362456</v>
      </c>
      <c r="BA296" s="89">
        <v>44989950.244855456</v>
      </c>
      <c r="BB296" s="89">
        <v>14203032.244507002</v>
      </c>
      <c r="BC296" s="89">
        <v>298231046.94681412</v>
      </c>
      <c r="BD296" s="89"/>
      <c r="BE296" s="88">
        <v>13104257.772522835</v>
      </c>
      <c r="BF296" s="89">
        <v>779734.10470808169</v>
      </c>
      <c r="BG296" s="89">
        <v>609558.65632985928</v>
      </c>
      <c r="BH296" s="89">
        <v>170175.44837822238</v>
      </c>
      <c r="BI296" s="89">
        <v>13703624.144351466</v>
      </c>
      <c r="BJ296" s="89">
        <v>-1379100.4765367124</v>
      </c>
      <c r="BK296" s="88">
        <v>717.54454307999993</v>
      </c>
      <c r="BL296" s="89">
        <v>-67.196456919999974</v>
      </c>
      <c r="BM296" s="89">
        <v>62.582201700000006</v>
      </c>
      <c r="BN296" s="89">
        <v>-129.77865861999999</v>
      </c>
      <c r="BO296" s="89">
        <v>784.74099999999999</v>
      </c>
      <c r="BP296" s="89"/>
      <c r="BQ296" s="88">
        <v>27127.992784000009</v>
      </c>
      <c r="BR296" s="89">
        <v>-274.54037200000039</v>
      </c>
      <c r="BS296" s="89">
        <v>560.49328899999955</v>
      </c>
      <c r="BT296" s="89">
        <v>-835.03366099999994</v>
      </c>
      <c r="BU296" s="89">
        <v>27402.533156000009</v>
      </c>
      <c r="BV296" s="89"/>
      <c r="BW296" s="88">
        <v>15650.841173477002</v>
      </c>
      <c r="BX296" s="89">
        <v>7266.4896551299889</v>
      </c>
      <c r="BY296" s="89">
        <v>7011.8404320699892</v>
      </c>
      <c r="BZ296" s="89">
        <v>254.64922306000005</v>
      </c>
      <c r="CA296" s="89">
        <v>10575.224471860001</v>
      </c>
      <c r="CB296" s="89">
        <v>-2190.8729535129864</v>
      </c>
      <c r="CC296" s="88">
        <v>1652.2415319700001</v>
      </c>
      <c r="CD296" s="89">
        <v>-17.614468029999998</v>
      </c>
      <c r="CE296" s="89">
        <v>64.127338829999999</v>
      </c>
      <c r="CF296" s="89">
        <v>-81.741806859999997</v>
      </c>
      <c r="CG296" s="89">
        <v>1669.856</v>
      </c>
      <c r="CH296" s="89"/>
      <c r="CI296" s="88">
        <v>158034.1</v>
      </c>
      <c r="CJ296" s="89">
        <v>33780.400000000001</v>
      </c>
      <c r="CK296" s="89">
        <v>32779.300000000003</v>
      </c>
      <c r="CL296" s="89">
        <v>1001.1</v>
      </c>
      <c r="CM296" s="89">
        <v>142564.90000000002</v>
      </c>
      <c r="CN296" s="89">
        <v>-18311.3</v>
      </c>
      <c r="CO296" s="88">
        <v>150436.70000000001</v>
      </c>
      <c r="CP296" s="89">
        <v>-18691.400000000001</v>
      </c>
      <c r="CQ296" s="89">
        <v>26862.799999999999</v>
      </c>
      <c r="CR296" s="89">
        <v>-45554.2</v>
      </c>
      <c r="CS296" s="89">
        <v>189756.3</v>
      </c>
      <c r="CT296" s="89">
        <v>-20628.3</v>
      </c>
      <c r="CU296" s="88">
        <v>86509.6997349085</v>
      </c>
      <c r="CV296" s="89">
        <v>5283.5043666892761</v>
      </c>
      <c r="CW296" s="89">
        <v>9558.9471152131773</v>
      </c>
      <c r="CX296" s="89">
        <v>-4275.4427485239012</v>
      </c>
      <c r="CY296" s="89">
        <v>81226.195368219225</v>
      </c>
      <c r="CZ296" s="89"/>
      <c r="DA296" s="88">
        <v>144582.94706013048</v>
      </c>
      <c r="DB296" s="89">
        <v>6660.5339501133531</v>
      </c>
      <c r="DC296" s="89">
        <v>-3101.5930828642813</v>
      </c>
      <c r="DD296" s="89">
        <v>9762.1270329776344</v>
      </c>
      <c r="DE296" s="89">
        <v>216064.20143673886</v>
      </c>
      <c r="DF296" s="89">
        <v>-78141.788326721755</v>
      </c>
      <c r="DG296" s="88">
        <v>473997.69220687146</v>
      </c>
      <c r="DH296" s="89">
        <v>183390.68020687145</v>
      </c>
      <c r="DI296" s="89"/>
      <c r="DJ296" s="89"/>
      <c r="DK296" s="89">
        <v>322561.66399999999</v>
      </c>
      <c r="DL296" s="89">
        <v>-31954.651999999998</v>
      </c>
      <c r="DM296" s="88">
        <v>8135260</v>
      </c>
      <c r="DN296" s="89">
        <f t="shared" si="21"/>
        <v>3051148</v>
      </c>
      <c r="DO296" s="89">
        <v>2384270</v>
      </c>
      <c r="DP296" s="89">
        <v>666878</v>
      </c>
      <c r="DQ296" s="89">
        <v>5084110</v>
      </c>
      <c r="DR296" s="89"/>
      <c r="DS296" s="88">
        <v>98437.212226249307</v>
      </c>
      <c r="DT296" s="89">
        <v>40415.33888718774</v>
      </c>
      <c r="DU296" s="89">
        <v>39212.335326127737</v>
      </c>
      <c r="DV296" s="89">
        <v>1203.0035610599998</v>
      </c>
      <c r="DW296" s="89">
        <v>92170.26013970573</v>
      </c>
      <c r="DX296" s="89">
        <v>-34148.386800644163</v>
      </c>
      <c r="DY296" s="88">
        <v>12583.912961</v>
      </c>
      <c r="DZ296" s="89">
        <f t="shared" si="18"/>
        <v>-551.71803900000009</v>
      </c>
      <c r="EA296" s="89">
        <v>1180.2927999999999</v>
      </c>
      <c r="EB296" s="89">
        <v>-1732.010839</v>
      </c>
      <c r="EC296" s="89">
        <v>12769.906000000001</v>
      </c>
      <c r="ED296" s="89"/>
      <c r="EE296" s="88">
        <v>28107.115615469986</v>
      </c>
      <c r="EF296" s="89">
        <v>-1758.4889365800002</v>
      </c>
      <c r="EG296" s="89">
        <v>-1911.8974593900002</v>
      </c>
      <c r="EH296" s="89">
        <v>153.40852280999999</v>
      </c>
      <c r="EI296" s="89">
        <v>37895.590071899991</v>
      </c>
      <c r="EJ296" s="89">
        <v>-8029.9855198500018</v>
      </c>
      <c r="EK296" s="88">
        <v>35641380</v>
      </c>
      <c r="EL296" s="89">
        <v>-12123857</v>
      </c>
      <c r="EM296" s="89">
        <v>-10329899</v>
      </c>
      <c r="EN296" s="89">
        <v>-1793958</v>
      </c>
      <c r="EO296" s="89">
        <v>49141785</v>
      </c>
      <c r="EP296" s="89">
        <v>-1376548</v>
      </c>
      <c r="EQ296" s="88">
        <v>127083.00536118002</v>
      </c>
      <c r="ER296" s="89">
        <v>-60208.574208799997</v>
      </c>
      <c r="ES296" s="89"/>
      <c r="ET296" s="89"/>
      <c r="EU296" s="89">
        <v>249015.07430464998</v>
      </c>
      <c r="EV296" s="89">
        <v>-61723.494734669948</v>
      </c>
      <c r="EW296" s="88">
        <v>1048331.1213290389</v>
      </c>
      <c r="EX296" s="89">
        <f t="shared" si="20"/>
        <v>640410.51332246</v>
      </c>
      <c r="EY296" s="89">
        <v>621425.55311784998</v>
      </c>
      <c r="EZ296" s="89">
        <v>18984.960204610001</v>
      </c>
      <c r="FA296" s="89">
        <v>631841.38805630011</v>
      </c>
      <c r="FB296" s="89">
        <v>-223920.78004972122</v>
      </c>
      <c r="FC296" s="88">
        <v>990.70294460000002</v>
      </c>
      <c r="FD296" s="89">
        <v>-954.35605540000006</v>
      </c>
      <c r="FE296" s="89">
        <v>-264.57652794000001</v>
      </c>
      <c r="FF296" s="89">
        <v>-689.77952746000005</v>
      </c>
      <c r="FG296" s="89">
        <v>1945.059</v>
      </c>
      <c r="FH296" s="89"/>
      <c r="FI296" s="88">
        <v>1012.7634725099999</v>
      </c>
      <c r="FJ296" s="89">
        <v>-34.957527490000004</v>
      </c>
      <c r="FK296" s="89">
        <v>75.861158469999992</v>
      </c>
      <c r="FL296" s="89">
        <v>-110.81868596</v>
      </c>
      <c r="FM296" s="89">
        <v>1047.721</v>
      </c>
      <c r="FN296" s="89"/>
      <c r="FO296" s="88">
        <v>3904.3204193000001</v>
      </c>
      <c r="FP296" s="89">
        <v>-85.999580699999967</v>
      </c>
      <c r="FQ296" s="89">
        <v>334.28641930000003</v>
      </c>
      <c r="FR296" s="89">
        <v>-420.286</v>
      </c>
      <c r="FS296" s="89">
        <v>3990.32</v>
      </c>
      <c r="FT296" s="89"/>
      <c r="FU296" s="88">
        <v>5945.9999999999991</v>
      </c>
      <c r="FV296" s="89">
        <v>892.4</v>
      </c>
      <c r="FW296" s="89">
        <v>808.1</v>
      </c>
      <c r="FX296" s="89">
        <v>84.3</v>
      </c>
      <c r="FY296" s="89">
        <v>4911.2</v>
      </c>
      <c r="FZ296" s="89">
        <v>142.4</v>
      </c>
      <c r="GA296" s="88">
        <v>21735.4</v>
      </c>
      <c r="GB296" s="89">
        <v>-25778.6</v>
      </c>
      <c r="GC296" s="89"/>
      <c r="GD296" s="89"/>
      <c r="GE296" s="89">
        <v>47514</v>
      </c>
      <c r="GF296" s="89"/>
      <c r="GG296" s="88">
        <v>234218.60041565291</v>
      </c>
      <c r="GH296" s="89">
        <v>100218.67123788955</v>
      </c>
      <c r="GI296" s="89">
        <v>93350.912459951564</v>
      </c>
      <c r="GJ296" s="89">
        <v>6867.7587779379801</v>
      </c>
      <c r="GK296" s="89">
        <v>335756.96309082489</v>
      </c>
      <c r="GL296" s="89">
        <v>-201757.03391306149</v>
      </c>
      <c r="GM296" s="88">
        <v>1371037.6792644595</v>
      </c>
      <c r="GN296" s="89">
        <v>441193.59816283995</v>
      </c>
      <c r="GO296" s="89">
        <v>308007.12718033994</v>
      </c>
      <c r="GP296" s="89">
        <v>133186.4709825</v>
      </c>
      <c r="GQ296" s="89">
        <v>806186.69211928977</v>
      </c>
      <c r="GR296" s="89">
        <v>123657.38898233001</v>
      </c>
    </row>
    <row r="297" spans="1:200">
      <c r="B297" s="93" t="s">
        <v>494</v>
      </c>
      <c r="C297" s="88">
        <v>2640.0346964800001</v>
      </c>
      <c r="D297" s="87">
        <v>422.57669648000007</v>
      </c>
      <c r="E297" s="87">
        <v>516.34594900000002</v>
      </c>
      <c r="F297" s="87">
        <v>-93.769251999999994</v>
      </c>
      <c r="G297" s="87">
        <v>2217.4580000000001</v>
      </c>
      <c r="H297" s="87"/>
      <c r="I297" s="88">
        <v>924352.647</v>
      </c>
      <c r="J297" s="89">
        <v>923350.94352065993</v>
      </c>
      <c r="K297" s="89"/>
      <c r="L297" s="89"/>
      <c r="M297" s="89">
        <v>561123.94799999997</v>
      </c>
      <c r="N297" s="89">
        <v>-560122.24452065991</v>
      </c>
      <c r="O297" s="88">
        <v>8789.6</v>
      </c>
      <c r="P297" s="89">
        <v>2301.4</v>
      </c>
      <c r="Q297" s="89">
        <v>1877.1</v>
      </c>
      <c r="R297" s="89">
        <v>424.3</v>
      </c>
      <c r="S297" s="89">
        <v>6488.2</v>
      </c>
      <c r="T297" s="89"/>
      <c r="U297" s="88">
        <v>8264.1742000000013</v>
      </c>
      <c r="V297" s="89">
        <v>2837.5612000000001</v>
      </c>
      <c r="W297" s="89">
        <v>2269.0122000000001</v>
      </c>
      <c r="X297" s="89">
        <v>568.54899999999998</v>
      </c>
      <c r="Y297" s="89">
        <v>5426.6130000000003</v>
      </c>
      <c r="Z297" s="89"/>
      <c r="AA297" s="88">
        <v>1853.4169999999999</v>
      </c>
      <c r="AB297" s="89">
        <v>-8.2459999999999987</v>
      </c>
      <c r="AC297" s="89">
        <v>-23.844999999999999</v>
      </c>
      <c r="AD297" s="89">
        <v>15.599</v>
      </c>
      <c r="AE297" s="89">
        <v>1861.663</v>
      </c>
      <c r="AF297" s="89"/>
      <c r="AG297" s="88">
        <v>116992.31223211899</v>
      </c>
      <c r="AH297" s="89">
        <v>25408.684726312549</v>
      </c>
      <c r="AI297" s="89">
        <v>10940.073204912545</v>
      </c>
      <c r="AJ297" s="89">
        <v>14468.6115214</v>
      </c>
      <c r="AK297" s="89">
        <v>91583.627505806435</v>
      </c>
      <c r="AL297" s="89"/>
      <c r="AM297" s="88">
        <v>5575924</v>
      </c>
      <c r="AN297" s="89">
        <v>1503450</v>
      </c>
      <c r="AO297" s="89">
        <v>1351398</v>
      </c>
      <c r="AP297" s="89">
        <v>152052</v>
      </c>
      <c r="AQ297" s="89">
        <v>3584023</v>
      </c>
      <c r="AR297" s="89">
        <v>488451</v>
      </c>
      <c r="AS297" s="88">
        <v>89343051.832403004</v>
      </c>
      <c r="AT297" s="89">
        <v>715205.58305600006</v>
      </c>
      <c r="AU297" s="89">
        <v>715205.58305600006</v>
      </c>
      <c r="AV297" s="89"/>
      <c r="AW297" s="89">
        <v>111540346.97029799</v>
      </c>
      <c r="AX297" s="89">
        <v>-22912500.720951002</v>
      </c>
      <c r="AY297" s="88">
        <v>360653869.36582679</v>
      </c>
      <c r="AZ297" s="89">
        <f t="shared" si="19"/>
        <v>59442417.635704152</v>
      </c>
      <c r="BA297" s="89">
        <v>44526720.212114155</v>
      </c>
      <c r="BB297" s="89">
        <v>14915697.423589997</v>
      </c>
      <c r="BC297" s="89">
        <v>301211451.73012263</v>
      </c>
      <c r="BD297" s="89"/>
      <c r="BE297" s="88">
        <v>13334044.040972689</v>
      </c>
      <c r="BF297" s="89">
        <v>883972.79715914617</v>
      </c>
      <c r="BG297" s="89">
        <v>712979.73730288073</v>
      </c>
      <c r="BH297" s="89">
        <v>170993.05985626543</v>
      </c>
      <c r="BI297" s="89">
        <v>13756702.54097843</v>
      </c>
      <c r="BJ297" s="89">
        <v>-1306631.2971648879</v>
      </c>
      <c r="BK297" s="88">
        <v>721.87289145</v>
      </c>
      <c r="BL297" s="89">
        <v>-57.832108550000015</v>
      </c>
      <c r="BM297" s="89">
        <v>71.610198819999994</v>
      </c>
      <c r="BN297" s="89">
        <v>-129.44230737000001</v>
      </c>
      <c r="BO297" s="89">
        <v>779.70500000000004</v>
      </c>
      <c r="BP297" s="89"/>
      <c r="BQ297" s="88">
        <v>26090.225150000006</v>
      </c>
      <c r="BR297" s="89">
        <v>-1366.3143760000003</v>
      </c>
      <c r="BS297" s="89">
        <v>-324.54272100000026</v>
      </c>
      <c r="BT297" s="89">
        <v>-1041.771655</v>
      </c>
      <c r="BU297" s="89">
        <v>27456.539526000004</v>
      </c>
      <c r="BV297" s="89"/>
      <c r="BW297" s="88">
        <v>15829.505561880002</v>
      </c>
      <c r="BX297" s="89">
        <v>7307.5531345299778</v>
      </c>
      <c r="BY297" s="89">
        <v>7046.4667150999776</v>
      </c>
      <c r="BZ297" s="89">
        <v>261.08641943000003</v>
      </c>
      <c r="CA297" s="89">
        <v>10632.505313449999</v>
      </c>
      <c r="CB297" s="89">
        <v>-2110.5528860999784</v>
      </c>
      <c r="CC297" s="88">
        <v>1635.9604832700002</v>
      </c>
      <c r="CD297" s="89">
        <v>-26.157516729999998</v>
      </c>
      <c r="CE297" s="89">
        <v>65.521290129999997</v>
      </c>
      <c r="CF297" s="89">
        <v>-91.678806859999995</v>
      </c>
      <c r="CG297" s="89">
        <v>1662.1179999999999</v>
      </c>
      <c r="CH297" s="89"/>
      <c r="CI297" s="88">
        <v>162707.20000000001</v>
      </c>
      <c r="CJ297" s="89">
        <v>34955.5</v>
      </c>
      <c r="CK297" s="89">
        <v>33977.599999999999</v>
      </c>
      <c r="CL297" s="89">
        <v>977.9</v>
      </c>
      <c r="CM297" s="89">
        <v>142771.40000000002</v>
      </c>
      <c r="CN297" s="89">
        <v>-15019.6</v>
      </c>
      <c r="CO297" s="88">
        <v>141896.20000000001</v>
      </c>
      <c r="CP297" s="89">
        <v>-28564.799999999999</v>
      </c>
      <c r="CQ297" s="89">
        <v>19977.3</v>
      </c>
      <c r="CR297" s="89">
        <v>-48542.1</v>
      </c>
      <c r="CS297" s="89">
        <v>190541.8</v>
      </c>
      <c r="CT297" s="89">
        <v>-20080.900000000001</v>
      </c>
      <c r="CU297" s="88">
        <v>84710.3981132724</v>
      </c>
      <c r="CV297" s="89">
        <v>3568.9280457108657</v>
      </c>
      <c r="CW297" s="89">
        <v>7390.0138924733701</v>
      </c>
      <c r="CX297" s="89">
        <v>-3821.0858467625039</v>
      </c>
      <c r="CY297" s="89">
        <v>81141.470067561531</v>
      </c>
      <c r="CZ297" s="89"/>
      <c r="DA297" s="88">
        <v>148321.88133236842</v>
      </c>
      <c r="DB297" s="89">
        <v>7534.3176350632493</v>
      </c>
      <c r="DC297" s="89">
        <v>-2411.2791116301814</v>
      </c>
      <c r="DD297" s="89">
        <v>9945.5967466934308</v>
      </c>
      <c r="DE297" s="89">
        <v>218610.56644744848</v>
      </c>
      <c r="DF297" s="89">
        <v>-77823.002750143307</v>
      </c>
      <c r="DG297" s="88">
        <v>477801.24481198343</v>
      </c>
      <c r="DH297" s="89">
        <v>187243.93281198345</v>
      </c>
      <c r="DI297" s="89"/>
      <c r="DJ297" s="89"/>
      <c r="DK297" s="89">
        <v>324051.03499999997</v>
      </c>
      <c r="DL297" s="89">
        <v>-33493.722999999998</v>
      </c>
      <c r="DM297" s="88">
        <v>8216350</v>
      </c>
      <c r="DN297" s="89">
        <f t="shared" si="21"/>
        <v>3084625</v>
      </c>
      <c r="DO297" s="89">
        <v>2425600</v>
      </c>
      <c r="DP297" s="89">
        <v>659025</v>
      </c>
      <c r="DQ297" s="89">
        <v>5131720</v>
      </c>
      <c r="DR297" s="89"/>
      <c r="DS297" s="88">
        <v>97624.323206451794</v>
      </c>
      <c r="DT297" s="89">
        <v>39957.309678761958</v>
      </c>
      <c r="DU297" s="89">
        <v>38770.045354291957</v>
      </c>
      <c r="DV297" s="89">
        <v>1187.26432447</v>
      </c>
      <c r="DW297" s="89">
        <v>92886.273841652874</v>
      </c>
      <c r="DX297" s="89">
        <v>-35219.260313963037</v>
      </c>
      <c r="DY297" s="88">
        <v>12603.864079999999</v>
      </c>
      <c r="DZ297" s="89">
        <f t="shared" si="18"/>
        <v>-561.98892000000023</v>
      </c>
      <c r="EA297" s="89">
        <v>1184.4873929999999</v>
      </c>
      <c r="EB297" s="89">
        <v>-1746.4763130000001</v>
      </c>
      <c r="EC297" s="89">
        <v>12792.831</v>
      </c>
      <c r="ED297" s="89"/>
      <c r="EE297" s="88">
        <v>27811.813740799989</v>
      </c>
      <c r="EF297" s="89">
        <v>-1894.2521398599997</v>
      </c>
      <c r="EG297" s="89">
        <v>-1954.4976559799998</v>
      </c>
      <c r="EH297" s="89">
        <v>60.245516120000005</v>
      </c>
      <c r="EI297" s="89">
        <v>38097.476176249998</v>
      </c>
      <c r="EJ297" s="89">
        <v>-8391.4102955899998</v>
      </c>
      <c r="EK297" s="88">
        <v>36447726</v>
      </c>
      <c r="EL297" s="89">
        <v>-12054232</v>
      </c>
      <c r="EM297" s="89">
        <v>-10379028</v>
      </c>
      <c r="EN297" s="89">
        <v>-1675204</v>
      </c>
      <c r="EO297" s="89">
        <v>49872824</v>
      </c>
      <c r="EP297" s="89">
        <v>-1370866</v>
      </c>
      <c r="EQ297" s="88">
        <v>127044.54314639998</v>
      </c>
      <c r="ER297" s="89">
        <v>-60077.008014599996</v>
      </c>
      <c r="ES297" s="89"/>
      <c r="ET297" s="89"/>
      <c r="EU297" s="89">
        <v>252793.99789920001</v>
      </c>
      <c r="EV297" s="89">
        <v>-65672.446738200029</v>
      </c>
      <c r="EW297" s="88">
        <v>1063260.3029320054</v>
      </c>
      <c r="EX297" s="89">
        <f t="shared" si="20"/>
        <v>654007.38893076999</v>
      </c>
      <c r="EY297" s="89">
        <v>636934.25317738997</v>
      </c>
      <c r="EZ297" s="89">
        <v>17073.13575338</v>
      </c>
      <c r="FA297" s="89">
        <v>640625.45677057002</v>
      </c>
      <c r="FB297" s="89">
        <v>-231372.54276933463</v>
      </c>
      <c r="FC297" s="88">
        <v>1032.3412959100001</v>
      </c>
      <c r="FD297" s="89">
        <v>-923.80270408999991</v>
      </c>
      <c r="FE297" s="89">
        <v>-231.56330663</v>
      </c>
      <c r="FF297" s="89">
        <v>-692.23939745999996</v>
      </c>
      <c r="FG297" s="89">
        <v>1956.144</v>
      </c>
      <c r="FH297" s="89"/>
      <c r="FI297" s="88">
        <v>1005.8014750699999</v>
      </c>
      <c r="FJ297" s="89">
        <v>-42.101524929999997</v>
      </c>
      <c r="FK297" s="89">
        <v>64.638886310000004</v>
      </c>
      <c r="FL297" s="89">
        <v>-106.74041124</v>
      </c>
      <c r="FM297" s="89">
        <v>1047.903</v>
      </c>
      <c r="FN297" s="89"/>
      <c r="FO297" s="88">
        <v>3935.6246843200001</v>
      </c>
      <c r="FP297" s="89">
        <v>-102.07231568000003</v>
      </c>
      <c r="FQ297" s="89">
        <v>321.76868431999998</v>
      </c>
      <c r="FR297" s="89">
        <v>-423.84100000000001</v>
      </c>
      <c r="FS297" s="89">
        <v>4037.6970000000001</v>
      </c>
      <c r="FT297" s="89"/>
      <c r="FU297" s="88">
        <v>5961.4000000000005</v>
      </c>
      <c r="FV297" s="89">
        <v>943</v>
      </c>
      <c r="FW297" s="89">
        <v>860.6</v>
      </c>
      <c r="FX297" s="89">
        <v>82.4</v>
      </c>
      <c r="FY297" s="89">
        <v>4875.6000000000004</v>
      </c>
      <c r="FZ297" s="89">
        <v>142.80000000000001</v>
      </c>
      <c r="GA297" s="88">
        <v>20711.400000000001</v>
      </c>
      <c r="GB297" s="89">
        <v>-26872.6</v>
      </c>
      <c r="GC297" s="89"/>
      <c r="GD297" s="89"/>
      <c r="GE297" s="89">
        <v>47584</v>
      </c>
      <c r="GF297" s="89"/>
      <c r="GG297" s="88">
        <v>223655.22828433337</v>
      </c>
      <c r="GH297" s="89">
        <v>91415.459769048815</v>
      </c>
      <c r="GI297" s="89">
        <v>83666.930155392416</v>
      </c>
      <c r="GJ297" s="89">
        <v>7748.5296136564002</v>
      </c>
      <c r="GK297" s="89">
        <v>334000.6215989436</v>
      </c>
      <c r="GL297" s="89">
        <v>-201760.85308365899</v>
      </c>
      <c r="GM297" s="88">
        <v>1376577.7599723204</v>
      </c>
      <c r="GN297" s="89">
        <v>429333.34764801001</v>
      </c>
      <c r="GO297" s="89">
        <v>315866.71266858</v>
      </c>
      <c r="GP297" s="89">
        <v>113466.63497943</v>
      </c>
      <c r="GQ297" s="89">
        <v>850752.98064397019</v>
      </c>
      <c r="GR297" s="89">
        <v>96491.43168034</v>
      </c>
    </row>
    <row r="298" spans="1:200">
      <c r="B298" s="93" t="s">
        <v>495</v>
      </c>
      <c r="C298" s="88">
        <v>2661.8988419500001</v>
      </c>
      <c r="D298" s="87">
        <v>447.08084194999992</v>
      </c>
      <c r="E298" s="89">
        <v>506.39020699999998</v>
      </c>
      <c r="F298" s="89">
        <v>-59.309365</v>
      </c>
      <c r="G298" s="89">
        <v>2214.8180000000002</v>
      </c>
      <c r="H298" s="89"/>
      <c r="I298" s="88">
        <v>947349.15699999989</v>
      </c>
      <c r="J298" s="89">
        <v>952678.49899999995</v>
      </c>
      <c r="K298" s="89"/>
      <c r="L298" s="89"/>
      <c r="M298" s="89">
        <v>566443.29</v>
      </c>
      <c r="N298" s="89">
        <v>-571772.63199999998</v>
      </c>
      <c r="O298" s="88">
        <v>8842.2999999999993</v>
      </c>
      <c r="P298" s="89">
        <v>2341.6999999999998</v>
      </c>
      <c r="Q298" s="89">
        <v>1918</v>
      </c>
      <c r="R298" s="89">
        <v>423.7</v>
      </c>
      <c r="S298" s="89">
        <v>6500.6</v>
      </c>
      <c r="T298" s="89"/>
      <c r="U298" s="88">
        <v>8161.1579200000006</v>
      </c>
      <c r="V298" s="89">
        <v>2832.77592</v>
      </c>
      <c r="W298" s="89">
        <v>2271.0159199999998</v>
      </c>
      <c r="X298" s="89">
        <v>561.76</v>
      </c>
      <c r="Y298" s="89">
        <v>5328.3820000000005</v>
      </c>
      <c r="Z298" s="89"/>
      <c r="AA298" s="88">
        <v>1832.5940000000001</v>
      </c>
      <c r="AB298" s="89">
        <v>-44.444000000000003</v>
      </c>
      <c r="AC298" s="89">
        <v>-59.606000000000002</v>
      </c>
      <c r="AD298" s="89">
        <v>15.162000000000001</v>
      </c>
      <c r="AE298" s="89">
        <v>1877.038</v>
      </c>
      <c r="AF298" s="89"/>
      <c r="AG298" s="88">
        <v>118438.07026251312</v>
      </c>
      <c r="AH298" s="89">
        <v>25575.334531249806</v>
      </c>
      <c r="AI298" s="89">
        <v>10965.900376909805</v>
      </c>
      <c r="AJ298" s="89">
        <v>14609.434154340001</v>
      </c>
      <c r="AK298" s="89">
        <v>92862.735731263325</v>
      </c>
      <c r="AL298" s="89"/>
      <c r="AM298" s="88">
        <v>5646048</v>
      </c>
      <c r="AN298" s="89">
        <v>1543746</v>
      </c>
      <c r="AO298" s="89">
        <v>1387376</v>
      </c>
      <c r="AP298" s="89">
        <v>156370</v>
      </c>
      <c r="AQ298" s="89">
        <v>3613600</v>
      </c>
      <c r="AR298" s="89">
        <v>488702</v>
      </c>
      <c r="AS298" s="88">
        <v>91017514.828536004</v>
      </c>
      <c r="AT298" s="89">
        <v>1308897.3388029998</v>
      </c>
      <c r="AU298" s="89">
        <v>1308897.3388029998</v>
      </c>
      <c r="AV298" s="89"/>
      <c r="AW298" s="89">
        <v>112443261.594171</v>
      </c>
      <c r="AX298" s="89">
        <v>-22734644.104437999</v>
      </c>
      <c r="AY298" s="88">
        <v>360374428.5836271</v>
      </c>
      <c r="AZ298" s="89">
        <f t="shared" si="19"/>
        <v>57596163.696495384</v>
      </c>
      <c r="BA298" s="89">
        <v>42612655.313486382</v>
      </c>
      <c r="BB298" s="89">
        <v>14983508.383009002</v>
      </c>
      <c r="BC298" s="89">
        <v>302778264.88713169</v>
      </c>
      <c r="BD298" s="89"/>
      <c r="BE298" s="88">
        <v>13575672.345408272</v>
      </c>
      <c r="BF298" s="89">
        <v>930892.67834364995</v>
      </c>
      <c r="BG298" s="89">
        <v>768248.08818601759</v>
      </c>
      <c r="BH298" s="89">
        <v>162644.59015763231</v>
      </c>
      <c r="BI298" s="89">
        <v>13909864.280791473</v>
      </c>
      <c r="BJ298" s="89">
        <v>-1265084.6137268508</v>
      </c>
      <c r="BK298" s="88">
        <v>716.57304892000002</v>
      </c>
      <c r="BL298" s="89">
        <v>-64.960951079999973</v>
      </c>
      <c r="BM298" s="89">
        <v>63.487358700000009</v>
      </c>
      <c r="BN298" s="89">
        <v>-128.44830977999999</v>
      </c>
      <c r="BO298" s="89">
        <v>781.53399999999999</v>
      </c>
      <c r="BP298" s="89"/>
      <c r="BQ298" s="88">
        <v>26276.514831999993</v>
      </c>
      <c r="BR298" s="89">
        <v>-1461.0005819999999</v>
      </c>
      <c r="BS298" s="89">
        <v>-298.84457100000009</v>
      </c>
      <c r="BT298" s="89">
        <v>-1162.1560109999998</v>
      </c>
      <c r="BU298" s="89">
        <v>27737.515413999994</v>
      </c>
      <c r="BV298" s="89"/>
      <c r="BW298" s="88">
        <v>15894.897337189996</v>
      </c>
      <c r="BX298" s="89">
        <v>7536.1394512448123</v>
      </c>
      <c r="BY298" s="89">
        <v>7285.4007897048123</v>
      </c>
      <c r="BZ298" s="89">
        <v>250.73866153999998</v>
      </c>
      <c r="CA298" s="89">
        <v>10619.719173769998</v>
      </c>
      <c r="CB298" s="89">
        <v>-2260.9612878248154</v>
      </c>
      <c r="CC298" s="88">
        <v>1598.27306069</v>
      </c>
      <c r="CD298" s="89">
        <v>-57.427939310000006</v>
      </c>
      <c r="CE298" s="89">
        <v>41.890278799999997</v>
      </c>
      <c r="CF298" s="89">
        <v>-99.318218110000004</v>
      </c>
      <c r="CG298" s="89">
        <v>1655.701</v>
      </c>
      <c r="CH298" s="89"/>
      <c r="CI298" s="88">
        <v>165929.70000000001</v>
      </c>
      <c r="CJ298" s="89">
        <v>35414</v>
      </c>
      <c r="CK298" s="89">
        <v>34461.1</v>
      </c>
      <c r="CL298" s="89">
        <v>952.9</v>
      </c>
      <c r="CM298" s="89">
        <v>144701.5</v>
      </c>
      <c r="CN298" s="89">
        <v>-14185.8</v>
      </c>
      <c r="CO298" s="88">
        <v>146516.9</v>
      </c>
      <c r="CP298" s="89">
        <v>-24848.6</v>
      </c>
      <c r="CQ298" s="89">
        <v>24375.599999999999</v>
      </c>
      <c r="CR298" s="89">
        <v>-49224.2</v>
      </c>
      <c r="CS298" s="89">
        <v>191443</v>
      </c>
      <c r="CT298" s="89">
        <v>-20077.400000000001</v>
      </c>
      <c r="CU298" s="88">
        <v>85927.327862873237</v>
      </c>
      <c r="CV298" s="89">
        <v>3844.7352794703306</v>
      </c>
      <c r="CW298" s="89">
        <v>7484.1401453210492</v>
      </c>
      <c r="CX298" s="89">
        <v>-3639.4048658507186</v>
      </c>
      <c r="CY298" s="89">
        <v>82082.592583402904</v>
      </c>
      <c r="CZ298" s="89"/>
      <c r="DA298" s="88">
        <v>148484.24966151192</v>
      </c>
      <c r="DB298" s="89">
        <v>6873.3529052677404</v>
      </c>
      <c r="DC298" s="89">
        <v>-2957.1816304646491</v>
      </c>
      <c r="DD298" s="89">
        <v>9830.5345357323895</v>
      </c>
      <c r="DE298" s="89">
        <v>218548.92852954741</v>
      </c>
      <c r="DF298" s="89">
        <v>-76938.031773303228</v>
      </c>
      <c r="DG298" s="88">
        <v>480764.69223828951</v>
      </c>
      <c r="DH298" s="89">
        <v>184925.49123828948</v>
      </c>
      <c r="DI298" s="89"/>
      <c r="DJ298" s="89"/>
      <c r="DK298" s="89">
        <v>328747.83600000001</v>
      </c>
      <c r="DL298" s="89">
        <v>-32908.635000000002</v>
      </c>
      <c r="DM298" s="88">
        <v>8286740</v>
      </c>
      <c r="DN298" s="89">
        <f t="shared" si="21"/>
        <v>3095540</v>
      </c>
      <c r="DO298" s="89">
        <v>2420110</v>
      </c>
      <c r="DP298" s="89">
        <v>675430</v>
      </c>
      <c r="DQ298" s="89">
        <v>5191200</v>
      </c>
      <c r="DR298" s="89"/>
      <c r="DS298" s="88">
        <v>101038.40675995545</v>
      </c>
      <c r="DT298" s="89">
        <v>39764.821391941157</v>
      </c>
      <c r="DU298" s="89">
        <v>38570.117799471154</v>
      </c>
      <c r="DV298" s="89">
        <v>1194.7035924699999</v>
      </c>
      <c r="DW298" s="89">
        <v>93877.101668870309</v>
      </c>
      <c r="DX298" s="89">
        <v>-32603.516300855998</v>
      </c>
      <c r="DY298" s="88">
        <v>12545.497890000001</v>
      </c>
      <c r="DZ298" s="89">
        <f t="shared" si="18"/>
        <v>-578.14010999999982</v>
      </c>
      <c r="EA298" s="89">
        <v>1129.8127720000002</v>
      </c>
      <c r="EB298" s="89">
        <v>-1707.952882</v>
      </c>
      <c r="EC298" s="89">
        <v>12741.165999999999</v>
      </c>
      <c r="ED298" s="89"/>
      <c r="EE298" s="88">
        <v>28656.191036529992</v>
      </c>
      <c r="EF298" s="89">
        <v>-1759.4367794099994</v>
      </c>
      <c r="EG298" s="89">
        <v>-1924.4804641599994</v>
      </c>
      <c r="EH298" s="89">
        <v>165.04368475000001</v>
      </c>
      <c r="EI298" s="89">
        <v>38652.194113379992</v>
      </c>
      <c r="EJ298" s="89">
        <v>-8236.5662974399984</v>
      </c>
      <c r="EK298" s="88">
        <v>37088681</v>
      </c>
      <c r="EL298" s="89">
        <v>-11678567</v>
      </c>
      <c r="EM298" s="89">
        <v>-9878628</v>
      </c>
      <c r="EN298" s="89">
        <v>-1799939</v>
      </c>
      <c r="EO298" s="89">
        <v>50313106</v>
      </c>
      <c r="EP298" s="89">
        <v>-1545858</v>
      </c>
      <c r="EQ298" s="88">
        <v>130652.33837859999</v>
      </c>
      <c r="ER298" s="89">
        <v>-57968.1834514</v>
      </c>
      <c r="ES298" s="89"/>
      <c r="ET298" s="89"/>
      <c r="EU298" s="89">
        <v>255177.03083100001</v>
      </c>
      <c r="EV298" s="89">
        <v>-66556.509001000028</v>
      </c>
      <c r="EW298" s="88">
        <v>1070982.6574368475</v>
      </c>
      <c r="EX298" s="89">
        <f t="shared" si="20"/>
        <v>649361.28318009002</v>
      </c>
      <c r="EY298" s="89">
        <v>634131.34066465998</v>
      </c>
      <c r="EZ298" s="89">
        <v>15229.942515430002</v>
      </c>
      <c r="FA298" s="89">
        <v>653046.51261190989</v>
      </c>
      <c r="FB298" s="89">
        <v>-231425.13835515239</v>
      </c>
      <c r="FC298" s="88">
        <v>1007.15533642</v>
      </c>
      <c r="FD298" s="89">
        <v>-950.88266357999998</v>
      </c>
      <c r="FE298" s="89">
        <v>-261.47249326999997</v>
      </c>
      <c r="FF298" s="89">
        <v>-689.41017031000001</v>
      </c>
      <c r="FG298" s="89">
        <v>1958.038</v>
      </c>
      <c r="FH298" s="89"/>
      <c r="FI298" s="88">
        <v>1013.7121338399999</v>
      </c>
      <c r="FJ298" s="89">
        <v>-37.898866159999997</v>
      </c>
      <c r="FK298" s="89">
        <v>67.848814390000001</v>
      </c>
      <c r="FL298" s="89">
        <v>-105.74768055</v>
      </c>
      <c r="FM298" s="89">
        <v>1051.6110000000001</v>
      </c>
      <c r="FN298" s="89"/>
      <c r="FO298" s="88">
        <v>3902.1898724400003</v>
      </c>
      <c r="FP298" s="89">
        <v>-85.094127560000004</v>
      </c>
      <c r="FQ298" s="89">
        <v>331.58087244000001</v>
      </c>
      <c r="FR298" s="89">
        <v>-416.67500000000001</v>
      </c>
      <c r="FS298" s="89">
        <v>3987.2840000000001</v>
      </c>
      <c r="FT298" s="89"/>
      <c r="FU298" s="88">
        <v>6163.9</v>
      </c>
      <c r="FV298" s="89">
        <v>1085.9000000000001</v>
      </c>
      <c r="FW298" s="89">
        <v>982.6</v>
      </c>
      <c r="FX298" s="89">
        <v>103.3</v>
      </c>
      <c r="FY298" s="89">
        <v>4937.3999999999996</v>
      </c>
      <c r="FZ298" s="89">
        <v>140.6</v>
      </c>
      <c r="GA298" s="88">
        <v>20828.099999999999</v>
      </c>
      <c r="GB298" s="89">
        <v>-26888.700000000004</v>
      </c>
      <c r="GC298" s="89"/>
      <c r="GD298" s="89"/>
      <c r="GE298" s="89">
        <v>47716.800000000003</v>
      </c>
      <c r="GF298" s="89"/>
      <c r="GG298" s="88">
        <v>218643.35760472185</v>
      </c>
      <c r="GH298" s="89">
        <v>90237.74872881129</v>
      </c>
      <c r="GI298" s="89">
        <v>82157.556418650041</v>
      </c>
      <c r="GJ298" s="89">
        <v>8080.192310161241</v>
      </c>
      <c r="GK298" s="89">
        <v>330706.56026806432</v>
      </c>
      <c r="GL298" s="89">
        <v>-202300.95139215374</v>
      </c>
      <c r="GM298" s="88">
        <v>1417508.9774591101</v>
      </c>
      <c r="GN298" s="89">
        <v>431798.94209200004</v>
      </c>
      <c r="GO298" s="89">
        <v>309515.45978233003</v>
      </c>
      <c r="GP298" s="89">
        <v>122283.48230967001</v>
      </c>
      <c r="GQ298" s="89">
        <v>892477.02733912994</v>
      </c>
      <c r="GR298" s="89">
        <v>93233.008027980002</v>
      </c>
    </row>
    <row r="299" spans="1:200">
      <c r="B299" s="93" t="s">
        <v>496</v>
      </c>
      <c r="C299" s="88">
        <v>2633.9416410200001</v>
      </c>
      <c r="D299" s="87">
        <v>425.59264102000009</v>
      </c>
      <c r="E299" s="89">
        <v>498.17600599999997</v>
      </c>
      <c r="F299" s="89">
        <v>-72.583365000000001</v>
      </c>
      <c r="G299" s="89">
        <v>2208.3490000000002</v>
      </c>
      <c r="H299" s="89"/>
      <c r="I299" s="88">
        <v>969759.13600000017</v>
      </c>
      <c r="J299" s="89">
        <v>975824.429</v>
      </c>
      <c r="K299" s="89"/>
      <c r="L299" s="89"/>
      <c r="M299" s="89">
        <v>577407.64300000004</v>
      </c>
      <c r="N299" s="89">
        <v>-583472.93599999999</v>
      </c>
      <c r="O299" s="88">
        <v>8941.1</v>
      </c>
      <c r="P299" s="89">
        <v>2414</v>
      </c>
      <c r="Q299" s="89">
        <v>1993.7</v>
      </c>
      <c r="R299" s="89">
        <v>420.3</v>
      </c>
      <c r="S299" s="89">
        <v>6527.1</v>
      </c>
      <c r="T299" s="89"/>
      <c r="U299" s="88">
        <v>8034.9149199999993</v>
      </c>
      <c r="V299" s="89">
        <v>2677.0179199999998</v>
      </c>
      <c r="W299" s="89">
        <v>2119.7039199999999</v>
      </c>
      <c r="X299" s="89">
        <v>557.31399999999996</v>
      </c>
      <c r="Y299" s="89">
        <v>5357.8969999999999</v>
      </c>
      <c r="Z299" s="89"/>
      <c r="AA299" s="88">
        <v>1884.162</v>
      </c>
      <c r="AB299" s="89">
        <v>-0.66699999999999982</v>
      </c>
      <c r="AC299" s="89">
        <v>-15.634</v>
      </c>
      <c r="AD299" s="89">
        <v>14.967000000000001</v>
      </c>
      <c r="AE299" s="89">
        <v>1884.829</v>
      </c>
      <c r="AF299" s="89"/>
      <c r="AG299" s="88">
        <v>119187.61328123852</v>
      </c>
      <c r="AH299" s="89">
        <v>25853.082538711624</v>
      </c>
      <c r="AI299" s="89">
        <v>10845.866769221624</v>
      </c>
      <c r="AJ299" s="89">
        <v>15007.21576949</v>
      </c>
      <c r="AK299" s="89">
        <v>93334.530742526898</v>
      </c>
      <c r="AL299" s="89"/>
      <c r="AM299" s="88">
        <v>5742874</v>
      </c>
      <c r="AN299" s="89">
        <v>1603683</v>
      </c>
      <c r="AO299" s="89">
        <v>1445948</v>
      </c>
      <c r="AP299" s="89">
        <v>157735</v>
      </c>
      <c r="AQ299" s="89">
        <v>3657292</v>
      </c>
      <c r="AR299" s="89">
        <v>481899</v>
      </c>
      <c r="AS299" s="88">
        <v>91322312.636667997</v>
      </c>
      <c r="AT299" s="89">
        <v>1090642.3866969999</v>
      </c>
      <c r="AU299" s="89">
        <v>1090642.3866969999</v>
      </c>
      <c r="AV299" s="89"/>
      <c r="AW299" s="89">
        <v>113599252.15633999</v>
      </c>
      <c r="AX299" s="89">
        <v>-23367581.906369001</v>
      </c>
      <c r="AY299" s="88">
        <v>366318666.32883418</v>
      </c>
      <c r="AZ299" s="89">
        <f t="shared" si="19"/>
        <v>59919783.602209762</v>
      </c>
      <c r="BA299" s="89">
        <v>45334244.526870757</v>
      </c>
      <c r="BB299" s="89">
        <v>14585539.075339001</v>
      </c>
      <c r="BC299" s="89">
        <v>306398882.72662443</v>
      </c>
      <c r="BD299" s="89"/>
      <c r="BE299" s="88">
        <v>13825264.475395782</v>
      </c>
      <c r="BF299" s="89">
        <v>1040757.3922711927</v>
      </c>
      <c r="BG299" s="89">
        <v>876501.09870462515</v>
      </c>
      <c r="BH299" s="89">
        <v>164256.29356656759</v>
      </c>
      <c r="BI299" s="89">
        <v>14074110.634921523</v>
      </c>
      <c r="BJ299" s="89">
        <v>-1289603.5517969343</v>
      </c>
      <c r="BK299" s="88">
        <v>720.62604570999997</v>
      </c>
      <c r="BL299" s="89">
        <v>-64.960951079999973</v>
      </c>
      <c r="BM299" s="89">
        <v>65.603355489999998</v>
      </c>
      <c r="BN299" s="89">
        <v>-127.72530977999999</v>
      </c>
      <c r="BO299" s="89">
        <v>782.74800000000005</v>
      </c>
      <c r="BP299" s="89"/>
      <c r="BQ299" s="88">
        <v>26824.865322000001</v>
      </c>
      <c r="BR299" s="89">
        <v>-1142.3270889999992</v>
      </c>
      <c r="BS299" s="89">
        <v>-44.724154999999428</v>
      </c>
      <c r="BT299" s="89">
        <v>-1097.6029339999998</v>
      </c>
      <c r="BU299" s="89">
        <v>27967.192411</v>
      </c>
      <c r="BV299" s="89"/>
      <c r="BW299" s="88">
        <v>16061.523790108999</v>
      </c>
      <c r="BX299" s="89">
        <v>7618.5481674399989</v>
      </c>
      <c r="BY299" s="89">
        <v>7334.1443009399991</v>
      </c>
      <c r="BZ299" s="89">
        <v>284.40386649999999</v>
      </c>
      <c r="CA299" s="89">
        <v>10703.417122319999</v>
      </c>
      <c r="CB299" s="89">
        <v>-2260.441499651</v>
      </c>
      <c r="CC299" s="88">
        <v>1600.9446173399999</v>
      </c>
      <c r="CD299" s="89">
        <v>-50.597382660000001</v>
      </c>
      <c r="CE299" s="89">
        <v>52.549835449999996</v>
      </c>
      <c r="CF299" s="89">
        <v>-103.14721811</v>
      </c>
      <c r="CG299" s="89">
        <v>1651.5419999999999</v>
      </c>
      <c r="CH299" s="89"/>
      <c r="CI299" s="88">
        <v>166108.29999999999</v>
      </c>
      <c r="CJ299" s="89">
        <v>36735</v>
      </c>
      <c r="CK299" s="89">
        <v>35825.300000000003</v>
      </c>
      <c r="CL299" s="89">
        <v>909.7</v>
      </c>
      <c r="CM299" s="89">
        <v>144632</v>
      </c>
      <c r="CN299" s="89">
        <v>-15258.7</v>
      </c>
      <c r="CO299" s="88">
        <v>152149.4</v>
      </c>
      <c r="CP299" s="89">
        <v>-19817.2</v>
      </c>
      <c r="CQ299" s="89">
        <v>28910.5</v>
      </c>
      <c r="CR299" s="89">
        <v>-48727.7</v>
      </c>
      <c r="CS299" s="89">
        <v>192563.7</v>
      </c>
      <c r="CT299" s="89">
        <v>-20597.099999999999</v>
      </c>
      <c r="CU299" s="88">
        <v>88451.671331833524</v>
      </c>
      <c r="CV299" s="89">
        <v>5181.3929839187676</v>
      </c>
      <c r="CW299" s="89">
        <v>8648.1321556973835</v>
      </c>
      <c r="CX299" s="89">
        <v>-3466.7391717786154</v>
      </c>
      <c r="CY299" s="89">
        <v>83270.278347914762</v>
      </c>
      <c r="CZ299" s="89"/>
      <c r="DA299" s="88">
        <v>149213.52546302928</v>
      </c>
      <c r="DB299" s="89">
        <v>6679.1964817667758</v>
      </c>
      <c r="DC299" s="89">
        <v>-3963.0088044125878</v>
      </c>
      <c r="DD299" s="89">
        <v>10642.205286179364</v>
      </c>
      <c r="DE299" s="89">
        <v>220543.62162856475</v>
      </c>
      <c r="DF299" s="89">
        <v>-78009.292647302253</v>
      </c>
      <c r="DG299" s="88">
        <v>479577.69729850511</v>
      </c>
      <c r="DH299" s="89">
        <v>183998.01629850513</v>
      </c>
      <c r="DI299" s="89"/>
      <c r="DJ299" s="89"/>
      <c r="DK299" s="89">
        <v>329586.04800000001</v>
      </c>
      <c r="DL299" s="89">
        <v>-34006.366999999998</v>
      </c>
      <c r="DM299" s="88">
        <v>8311610</v>
      </c>
      <c r="DN299" s="89">
        <f t="shared" si="21"/>
        <v>3128204</v>
      </c>
      <c r="DO299" s="89">
        <v>2449860</v>
      </c>
      <c r="DP299" s="89">
        <v>678344</v>
      </c>
      <c r="DQ299" s="89">
        <v>5183410</v>
      </c>
      <c r="DR299" s="89"/>
      <c r="DS299" s="88">
        <v>101086.00619469021</v>
      </c>
      <c r="DT299" s="89">
        <v>38568.433940947936</v>
      </c>
      <c r="DU299" s="89">
        <v>37359.505015367933</v>
      </c>
      <c r="DV299" s="89">
        <v>1208.9289255799999</v>
      </c>
      <c r="DW299" s="89">
        <v>95221.254248229132</v>
      </c>
      <c r="DX299" s="89">
        <v>-32703.681994486855</v>
      </c>
      <c r="DY299" s="88">
        <v>12506.437482000001</v>
      </c>
      <c r="DZ299" s="89">
        <f t="shared" si="18"/>
        <v>-553.17851799999994</v>
      </c>
      <c r="EA299" s="89">
        <v>1414.7923640000001</v>
      </c>
      <c r="EB299" s="89">
        <v>-1967.9708820000001</v>
      </c>
      <c r="EC299" s="89">
        <v>12680.212</v>
      </c>
      <c r="ED299" s="89"/>
      <c r="EE299" s="88">
        <v>29291.768493490003</v>
      </c>
      <c r="EF299" s="89">
        <v>-1667.6291728799997</v>
      </c>
      <c r="EG299" s="89">
        <v>-1827.9760975099998</v>
      </c>
      <c r="EH299" s="89">
        <v>160.34692462999999</v>
      </c>
      <c r="EI299" s="89">
        <v>39330.04086565</v>
      </c>
      <c r="EJ299" s="89">
        <v>-8370.6431992800008</v>
      </c>
      <c r="EK299" s="88">
        <v>34003735</v>
      </c>
      <c r="EL299" s="89">
        <v>-15689967</v>
      </c>
      <c r="EM299" s="89">
        <v>-13843605</v>
      </c>
      <c r="EN299" s="89">
        <v>-1846362</v>
      </c>
      <c r="EO299" s="89">
        <v>51236906</v>
      </c>
      <c r="EP299" s="89">
        <v>-1543204</v>
      </c>
      <c r="EQ299" s="88">
        <v>132836.76754052006</v>
      </c>
      <c r="ER299" s="89">
        <v>-57762.388493120001</v>
      </c>
      <c r="ES299" s="89"/>
      <c r="ET299" s="89"/>
      <c r="EU299" s="89">
        <v>257882.23226128001</v>
      </c>
      <c r="EV299" s="89">
        <v>-67283.076227639947</v>
      </c>
      <c r="EW299" s="88">
        <v>1099734.8648307458</v>
      </c>
      <c r="EX299" s="89">
        <f t="shared" si="20"/>
        <v>667269.15396674012</v>
      </c>
      <c r="EY299" s="89">
        <v>654044.99807794008</v>
      </c>
      <c r="EZ299" s="89">
        <v>13224.1558888</v>
      </c>
      <c r="FA299" s="89">
        <v>661309.70968193002</v>
      </c>
      <c r="FB299" s="89">
        <v>-228843.99881792424</v>
      </c>
      <c r="FC299" s="88">
        <v>1028.92071938</v>
      </c>
      <c r="FD299" s="89">
        <v>-1108.3432806199999</v>
      </c>
      <c r="FE299" s="89">
        <v>-206.03611031000003</v>
      </c>
      <c r="FF299" s="89">
        <v>-902.30717030999995</v>
      </c>
      <c r="FG299" s="89">
        <v>2137.2640000000001</v>
      </c>
      <c r="FH299" s="89"/>
      <c r="FI299" s="88">
        <v>1008.9647177999999</v>
      </c>
      <c r="FJ299" s="89">
        <v>-46.795282200000003</v>
      </c>
      <c r="FK299" s="89">
        <v>69.643398349999998</v>
      </c>
      <c r="FL299" s="89">
        <v>-116.43868055</v>
      </c>
      <c r="FM299" s="89">
        <v>1055.76</v>
      </c>
      <c r="FN299" s="89"/>
      <c r="FO299" s="88">
        <v>3868.1902485699998</v>
      </c>
      <c r="FP299" s="89">
        <v>-96.351751430000036</v>
      </c>
      <c r="FQ299" s="89">
        <v>333.60924856999998</v>
      </c>
      <c r="FR299" s="89">
        <v>-429.96100000000001</v>
      </c>
      <c r="FS299" s="89">
        <v>3964.5419999999999</v>
      </c>
      <c r="FT299" s="89"/>
      <c r="FU299" s="88">
        <v>6179.8</v>
      </c>
      <c r="FV299" s="89">
        <v>1075.3</v>
      </c>
      <c r="FW299" s="89">
        <v>972.8</v>
      </c>
      <c r="FX299" s="89">
        <v>102.5</v>
      </c>
      <c r="FY299" s="89">
        <v>4960.5</v>
      </c>
      <c r="FZ299" s="89">
        <v>144</v>
      </c>
      <c r="GA299" s="88">
        <v>25489.8</v>
      </c>
      <c r="GB299" s="89">
        <v>-22836.7</v>
      </c>
      <c r="GC299" s="89"/>
      <c r="GD299" s="89"/>
      <c r="GE299" s="89">
        <v>48326.5</v>
      </c>
      <c r="GF299" s="89"/>
      <c r="GG299" s="88">
        <v>219944.16484481614</v>
      </c>
      <c r="GH299" s="89">
        <v>96172.80146260254</v>
      </c>
      <c r="GI299" s="89">
        <v>88876.143021558411</v>
      </c>
      <c r="GJ299" s="89">
        <v>7296.6584410441201</v>
      </c>
      <c r="GK299" s="89">
        <v>332479.91253141098</v>
      </c>
      <c r="GL299" s="89">
        <v>-208708.54914919735</v>
      </c>
      <c r="GM299" s="88">
        <v>1472334.80744133</v>
      </c>
      <c r="GN299" s="89">
        <v>427858.72455583001</v>
      </c>
      <c r="GO299" s="89">
        <v>307741.75671727001</v>
      </c>
      <c r="GP299" s="89">
        <v>120116.96783856</v>
      </c>
      <c r="GQ299" s="89">
        <v>941848.94489883981</v>
      </c>
      <c r="GR299" s="89">
        <v>102627.13798666002</v>
      </c>
    </row>
    <row r="300" spans="1:200">
      <c r="B300" s="93" t="s">
        <v>497</v>
      </c>
      <c r="C300" s="88">
        <v>2614.1982442399999</v>
      </c>
      <c r="D300" s="89">
        <v>430.07224423999997</v>
      </c>
      <c r="E300" s="89">
        <v>505.78500000000003</v>
      </c>
      <c r="F300" s="89">
        <v>-75.712000000000003</v>
      </c>
      <c r="G300" s="89">
        <v>2184.1260000000002</v>
      </c>
      <c r="H300" s="89"/>
      <c r="I300" s="88">
        <v>989731.12872635003</v>
      </c>
      <c r="J300" s="89">
        <v>1005558.12</v>
      </c>
      <c r="K300" s="89"/>
      <c r="L300" s="89"/>
      <c r="M300" s="89">
        <v>589410.32299999997</v>
      </c>
      <c r="N300" s="89">
        <v>-605237.31427364994</v>
      </c>
      <c r="O300" s="88">
        <v>9017.6</v>
      </c>
      <c r="P300" s="89">
        <v>2498.5</v>
      </c>
      <c r="Q300" s="89">
        <v>2076.4</v>
      </c>
      <c r="R300" s="89">
        <v>422.1</v>
      </c>
      <c r="S300" s="89">
        <v>6519.1</v>
      </c>
      <c r="T300" s="89"/>
      <c r="U300" s="88">
        <v>8016.5592299999998</v>
      </c>
      <c r="V300" s="89">
        <v>2658.11823</v>
      </c>
      <c r="W300" s="89">
        <v>2122.2472299999999</v>
      </c>
      <c r="X300" s="89">
        <v>535.87099999999998</v>
      </c>
      <c r="Y300" s="89">
        <v>5358.4409999999998</v>
      </c>
      <c r="Z300" s="89"/>
      <c r="AA300" s="88">
        <v>1870.133</v>
      </c>
      <c r="AB300" s="89">
        <v>-19.077000000000002</v>
      </c>
      <c r="AC300" s="89">
        <v>-34.286000000000001</v>
      </c>
      <c r="AD300" s="89">
        <v>15.209</v>
      </c>
      <c r="AE300" s="89">
        <v>1889.21</v>
      </c>
      <c r="AF300" s="89"/>
      <c r="AG300" s="88">
        <v>120405.56373785336</v>
      </c>
      <c r="AH300" s="89">
        <v>26102.644857277872</v>
      </c>
      <c r="AI300" s="89">
        <v>10858.016555037868</v>
      </c>
      <c r="AJ300" s="89">
        <v>15244.62830224</v>
      </c>
      <c r="AK300" s="89">
        <v>94302.918880575482</v>
      </c>
      <c r="AL300" s="89"/>
      <c r="AM300" s="88">
        <v>5760311</v>
      </c>
      <c r="AN300" s="89">
        <v>1583007</v>
      </c>
      <c r="AO300" s="89">
        <v>1417478</v>
      </c>
      <c r="AP300" s="89">
        <v>165529</v>
      </c>
      <c r="AQ300" s="89">
        <v>3683447</v>
      </c>
      <c r="AR300" s="89">
        <v>493857</v>
      </c>
      <c r="AS300" s="88">
        <v>90901576.357189998</v>
      </c>
      <c r="AT300" s="89">
        <v>942141.06458100001</v>
      </c>
      <c r="AU300" s="89">
        <v>942138.10906799999</v>
      </c>
      <c r="AV300" s="89"/>
      <c r="AW300" s="89">
        <v>114477463.76536399</v>
      </c>
      <c r="AX300" s="89">
        <v>-24518028.472755</v>
      </c>
      <c r="AY300" s="88">
        <v>367956295.49982774</v>
      </c>
      <c r="AZ300" s="89">
        <f t="shared" si="19"/>
        <v>59137905.609851599</v>
      </c>
      <c r="BA300" s="89">
        <v>44529844.8550056</v>
      </c>
      <c r="BB300" s="89">
        <v>14608060.754845999</v>
      </c>
      <c r="BC300" s="89">
        <v>308818389.8899762</v>
      </c>
      <c r="BD300" s="89"/>
      <c r="BE300" s="88">
        <v>14083504.120122913</v>
      </c>
      <c r="BF300" s="89">
        <v>1150178.6352728223</v>
      </c>
      <c r="BG300" s="89">
        <v>985679.26689163793</v>
      </c>
      <c r="BH300" s="89">
        <v>164499.3683811845</v>
      </c>
      <c r="BI300" s="89">
        <v>14123620.555457264</v>
      </c>
      <c r="BJ300" s="89">
        <v>-1190295.0706071737</v>
      </c>
      <c r="BK300" s="88">
        <v>714.38076433000003</v>
      </c>
      <c r="BL300" s="89">
        <v>-64.960951079999973</v>
      </c>
      <c r="BM300" s="89">
        <v>59.420074110000002</v>
      </c>
      <c r="BN300" s="89">
        <v>-125.33230978</v>
      </c>
      <c r="BO300" s="89">
        <v>780.29300000000001</v>
      </c>
      <c r="BP300" s="89"/>
      <c r="BQ300" s="88">
        <v>26321.08268</v>
      </c>
      <c r="BR300" s="89">
        <v>-1897.8027070000007</v>
      </c>
      <c r="BS300" s="89">
        <v>-690.31824700000061</v>
      </c>
      <c r="BT300" s="89">
        <v>-1207.4844600000001</v>
      </c>
      <c r="BU300" s="89">
        <v>28218.885387000002</v>
      </c>
      <c r="BV300" s="89"/>
      <c r="BW300" s="88">
        <v>15561.626308859999</v>
      </c>
      <c r="BX300" s="89">
        <v>7068.857313677976</v>
      </c>
      <c r="BY300" s="89">
        <v>6770.6189716479757</v>
      </c>
      <c r="BZ300" s="89">
        <v>298.23834203000001</v>
      </c>
      <c r="CA300" s="89">
        <v>10747.607284160002</v>
      </c>
      <c r="CB300" s="89">
        <v>-2254.8382889779778</v>
      </c>
      <c r="CC300" s="88">
        <v>1569.2473836900001</v>
      </c>
      <c r="CD300" s="89">
        <v>-59.16461631</v>
      </c>
      <c r="CE300" s="89">
        <v>35.906601800000004</v>
      </c>
      <c r="CF300" s="89">
        <v>-95.071218110000004</v>
      </c>
      <c r="CG300" s="89">
        <v>1628.412</v>
      </c>
      <c r="CH300" s="89"/>
      <c r="CI300" s="88">
        <v>166827.20000000001</v>
      </c>
      <c r="CJ300" s="89">
        <v>37170.800000000003</v>
      </c>
      <c r="CK300" s="89">
        <v>36282.9</v>
      </c>
      <c r="CL300" s="89">
        <v>887.9</v>
      </c>
      <c r="CM300" s="89">
        <v>144819.29999999999</v>
      </c>
      <c r="CN300" s="89">
        <v>-15162.9</v>
      </c>
      <c r="CO300" s="88">
        <v>148895.29999999999</v>
      </c>
      <c r="CP300" s="89">
        <v>-24167</v>
      </c>
      <c r="CQ300" s="89">
        <v>26005.200000000001</v>
      </c>
      <c r="CR300" s="89">
        <v>-50172.2</v>
      </c>
      <c r="CS300" s="89">
        <v>194288.9</v>
      </c>
      <c r="CT300" s="89">
        <v>-21226.7</v>
      </c>
      <c r="CU300" s="88">
        <v>92334.47543105435</v>
      </c>
      <c r="CV300" s="89">
        <v>7451.2942400088277</v>
      </c>
      <c r="CW300" s="89">
        <v>11041.936451635509</v>
      </c>
      <c r="CX300" s="89">
        <v>-3590.6422116266826</v>
      </c>
      <c r="CY300" s="89">
        <v>84883.181191045529</v>
      </c>
      <c r="CZ300" s="89"/>
      <c r="DA300" s="88">
        <v>149741.33711821196</v>
      </c>
      <c r="DB300" s="89">
        <v>5526.843955501321</v>
      </c>
      <c r="DC300" s="89">
        <v>-5264.3519606621267</v>
      </c>
      <c r="DD300" s="89">
        <v>10791.195916163448</v>
      </c>
      <c r="DE300" s="89">
        <v>222778.39871069722</v>
      </c>
      <c r="DF300" s="89">
        <v>-78563.905547986549</v>
      </c>
      <c r="DG300" s="88">
        <v>476362.52158177912</v>
      </c>
      <c r="DH300" s="89">
        <v>184710.60958177911</v>
      </c>
      <c r="DI300" s="89"/>
      <c r="DJ300" s="89"/>
      <c r="DK300" s="89">
        <v>326333.78600000002</v>
      </c>
      <c r="DL300" s="89">
        <v>-34681.874000000003</v>
      </c>
      <c r="DM300" s="88">
        <v>8363760</v>
      </c>
      <c r="DN300" s="89">
        <f t="shared" si="21"/>
        <v>3144322</v>
      </c>
      <c r="DO300" s="89">
        <v>2458290</v>
      </c>
      <c r="DP300" s="89">
        <v>686032</v>
      </c>
      <c r="DQ300" s="89">
        <v>5219430</v>
      </c>
      <c r="DR300" s="89"/>
      <c r="DS300" s="88">
        <v>97270.546489914224</v>
      </c>
      <c r="DT300" s="89">
        <v>38433.700830251189</v>
      </c>
      <c r="DU300" s="89">
        <v>37151.371486631193</v>
      </c>
      <c r="DV300" s="89">
        <v>1282.3293436199999</v>
      </c>
      <c r="DW300" s="89">
        <v>96270.158838645148</v>
      </c>
      <c r="DX300" s="89">
        <v>-37433.313178982135</v>
      </c>
      <c r="DY300" s="88">
        <v>12309.826665999999</v>
      </c>
      <c r="DZ300" s="89">
        <f t="shared" si="18"/>
        <v>-650.96233400000006</v>
      </c>
      <c r="EA300" s="89">
        <v>1322.4295300000001</v>
      </c>
      <c r="EB300" s="89">
        <v>-1973.3918640000002</v>
      </c>
      <c r="EC300" s="89">
        <v>12559.194</v>
      </c>
      <c r="ED300" s="89"/>
      <c r="EE300" s="88">
        <v>28198.690001479998</v>
      </c>
      <c r="EF300" s="89">
        <v>-3056.2438701800002</v>
      </c>
      <c r="EG300" s="89">
        <v>-3213.42768118</v>
      </c>
      <c r="EH300" s="89">
        <v>157.18381100000005</v>
      </c>
      <c r="EI300" s="89">
        <v>39790.260868929996</v>
      </c>
      <c r="EJ300" s="89">
        <v>-8535.3269972699982</v>
      </c>
      <c r="EK300" s="88">
        <v>36533313</v>
      </c>
      <c r="EL300" s="89">
        <v>-15651487</v>
      </c>
      <c r="EM300" s="89">
        <v>-13993139</v>
      </c>
      <c r="EN300" s="89">
        <v>-1658348</v>
      </c>
      <c r="EO300" s="89">
        <v>53960200</v>
      </c>
      <c r="EP300" s="89">
        <v>-1775400</v>
      </c>
      <c r="EQ300" s="88">
        <v>133748.75734164004</v>
      </c>
      <c r="ER300" s="89">
        <v>-57048.168049</v>
      </c>
      <c r="ES300" s="89"/>
      <c r="ET300" s="89"/>
      <c r="EU300" s="89">
        <v>260892.147214</v>
      </c>
      <c r="EV300" s="89">
        <v>-70095.221823359956</v>
      </c>
      <c r="EW300" s="88">
        <v>1108329.0397811574</v>
      </c>
      <c r="EX300" s="89">
        <f t="shared" si="20"/>
        <v>671736.13421116001</v>
      </c>
      <c r="EY300" s="89">
        <v>660390.06295170006</v>
      </c>
      <c r="EZ300" s="89">
        <v>11346.071259459999</v>
      </c>
      <c r="FA300" s="89">
        <v>673968.14111805009</v>
      </c>
      <c r="FB300" s="89">
        <v>-237375.23554805259</v>
      </c>
      <c r="FC300" s="88">
        <v>1005.6286284199998</v>
      </c>
      <c r="FD300" s="89">
        <v>-1131.2963715800001</v>
      </c>
      <c r="FE300" s="89">
        <v>-229.82021902000008</v>
      </c>
      <c r="FF300" s="89">
        <v>-901.47615255999995</v>
      </c>
      <c r="FG300" s="89">
        <v>2136.9250000000002</v>
      </c>
      <c r="FH300" s="89"/>
      <c r="FI300" s="88">
        <v>1029.3028842299998</v>
      </c>
      <c r="FJ300" s="89">
        <v>-25.007115770000013</v>
      </c>
      <c r="FK300" s="89">
        <v>89.920564779999992</v>
      </c>
      <c r="FL300" s="89">
        <v>-114.92768055000001</v>
      </c>
      <c r="FM300" s="89">
        <v>1054.31</v>
      </c>
      <c r="FN300" s="89"/>
      <c r="FO300" s="88">
        <v>3739.1778273</v>
      </c>
      <c r="FP300" s="89">
        <v>-171.69117269999998</v>
      </c>
      <c r="FQ300" s="89">
        <v>267.12482729999999</v>
      </c>
      <c r="FR300" s="89">
        <v>-438.81599999999997</v>
      </c>
      <c r="FS300" s="89">
        <v>3910.8690000000001</v>
      </c>
      <c r="FT300" s="89"/>
      <c r="FU300" s="88">
        <v>6384.6</v>
      </c>
      <c r="FV300" s="89">
        <v>1253.1000000000001</v>
      </c>
      <c r="FW300" s="89">
        <v>1149.7</v>
      </c>
      <c r="FX300" s="89">
        <v>103.4</v>
      </c>
      <c r="FY300" s="89">
        <v>4979.8999999999996</v>
      </c>
      <c r="FZ300" s="89">
        <v>151.6</v>
      </c>
      <c r="GA300" s="88">
        <v>20157.7</v>
      </c>
      <c r="GB300" s="89">
        <v>-28104.799999999999</v>
      </c>
      <c r="GC300" s="89"/>
      <c r="GD300" s="89"/>
      <c r="GE300" s="89">
        <v>48262.5</v>
      </c>
      <c r="GF300" s="89"/>
      <c r="GG300" s="88">
        <v>228252.57147989614</v>
      </c>
      <c r="GH300" s="89">
        <v>98929.004621305648</v>
      </c>
      <c r="GI300" s="89">
        <v>91263.350503577007</v>
      </c>
      <c r="GJ300" s="89">
        <v>7665.6541177286526</v>
      </c>
      <c r="GK300" s="89">
        <v>341565.32546104165</v>
      </c>
      <c r="GL300" s="89">
        <v>-212241.75860245124</v>
      </c>
      <c r="GM300" s="88">
        <v>1547439.2995325399</v>
      </c>
      <c r="GN300" s="89">
        <v>429013.14226857002</v>
      </c>
      <c r="GO300" s="89">
        <v>305021.72186240996</v>
      </c>
      <c r="GP300" s="89">
        <v>123991.42040616006</v>
      </c>
      <c r="GQ300" s="89">
        <v>994137.6290968298</v>
      </c>
      <c r="GR300" s="89">
        <v>124288.52816714002</v>
      </c>
    </row>
    <row r="301" spans="1:200">
      <c r="B301" s="93" t="s">
        <v>498</v>
      </c>
      <c r="C301" s="88">
        <v>2616.5226600400001</v>
      </c>
      <c r="D301" s="89">
        <v>445.38366004</v>
      </c>
      <c r="E301" s="89">
        <v>517.48527000000001</v>
      </c>
      <c r="F301" s="89">
        <v>-72.101609999999994</v>
      </c>
      <c r="G301" s="89">
        <v>2171.1390000000001</v>
      </c>
      <c r="H301" s="89"/>
      <c r="I301" s="88">
        <v>1018015.4380000001</v>
      </c>
      <c r="J301" s="89">
        <v>1030353.451</v>
      </c>
      <c r="K301" s="89"/>
      <c r="L301" s="89"/>
      <c r="M301" s="89">
        <v>600382.05799999996</v>
      </c>
      <c r="N301" s="89">
        <v>-612720.071</v>
      </c>
      <c r="O301" s="88">
        <v>8980.9</v>
      </c>
      <c r="P301" s="89">
        <v>2487.6</v>
      </c>
      <c r="Q301" s="89">
        <v>2060.9</v>
      </c>
      <c r="R301" s="89">
        <v>426.7</v>
      </c>
      <c r="S301" s="89">
        <v>6493.3</v>
      </c>
      <c r="T301" s="89"/>
      <c r="U301" s="88">
        <v>7928.7140300000001</v>
      </c>
      <c r="V301" s="89">
        <v>2564.4960300000002</v>
      </c>
      <c r="W301" s="89">
        <v>2004.2730300000001</v>
      </c>
      <c r="X301" s="89">
        <v>560.22299999999996</v>
      </c>
      <c r="Y301" s="89">
        <v>5364.2179999999998</v>
      </c>
      <c r="Z301" s="89"/>
      <c r="AA301" s="88">
        <v>1904.44</v>
      </c>
      <c r="AB301" s="89">
        <v>-9.8280000000000012</v>
      </c>
      <c r="AC301" s="89">
        <v>-25.701000000000001</v>
      </c>
      <c r="AD301" s="89">
        <v>15.872999999999999</v>
      </c>
      <c r="AE301" s="89">
        <v>1914.268</v>
      </c>
      <c r="AF301" s="89"/>
      <c r="AG301" s="88">
        <v>121684.99754807017</v>
      </c>
      <c r="AH301" s="89">
        <v>26247.530167463236</v>
      </c>
      <c r="AI301" s="89">
        <v>10928.383318283233</v>
      </c>
      <c r="AJ301" s="89">
        <v>15319.146849180002</v>
      </c>
      <c r="AK301" s="89">
        <v>95437.467380606933</v>
      </c>
      <c r="AL301" s="89"/>
      <c r="AM301" s="88">
        <v>5808938</v>
      </c>
      <c r="AN301" s="89">
        <v>1598795</v>
      </c>
      <c r="AO301" s="89">
        <v>1430243</v>
      </c>
      <c r="AP301" s="89">
        <v>168552</v>
      </c>
      <c r="AQ301" s="89">
        <v>3712440</v>
      </c>
      <c r="AR301" s="89">
        <v>497702</v>
      </c>
      <c r="AS301" s="88">
        <v>91964108.914312005</v>
      </c>
      <c r="AT301" s="89">
        <v>1362679.5622159999</v>
      </c>
      <c r="AU301" s="89">
        <v>1362679.5622159999</v>
      </c>
      <c r="AV301" s="89"/>
      <c r="AW301" s="89">
        <v>115144644.89921701</v>
      </c>
      <c r="AX301" s="89">
        <v>-24543215.547121</v>
      </c>
      <c r="AY301" s="88">
        <v>373786596.48905241</v>
      </c>
      <c r="AZ301" s="89">
        <f t="shared" si="19"/>
        <v>61712131.285260484</v>
      </c>
      <c r="BA301" s="89">
        <v>46780929.266710483</v>
      </c>
      <c r="BB301" s="89">
        <v>14931202.018550001</v>
      </c>
      <c r="BC301" s="89">
        <v>312074465.20379192</v>
      </c>
      <c r="BD301" s="89"/>
      <c r="BE301" s="88">
        <v>14287570.485676501</v>
      </c>
      <c r="BF301" s="89">
        <v>1228642.3850476514</v>
      </c>
      <c r="BG301" s="89">
        <v>1061559.2269941973</v>
      </c>
      <c r="BH301" s="89">
        <v>167083.15805345401</v>
      </c>
      <c r="BI301" s="89">
        <v>14314899.241898445</v>
      </c>
      <c r="BJ301" s="89">
        <v>-1255971.141269597</v>
      </c>
      <c r="BK301" s="88">
        <v>725.49827286999994</v>
      </c>
      <c r="BL301" s="89">
        <v>-64.960951079999973</v>
      </c>
      <c r="BM301" s="89">
        <v>55.953678079999996</v>
      </c>
      <c r="BN301" s="89">
        <v>-114.66040520999999</v>
      </c>
      <c r="BO301" s="89">
        <v>784.20500000000004</v>
      </c>
      <c r="BP301" s="89"/>
      <c r="BQ301" s="88">
        <v>27499.208186999997</v>
      </c>
      <c r="BR301" s="89">
        <v>-994.27506200000062</v>
      </c>
      <c r="BS301" s="89">
        <v>204.96499399999948</v>
      </c>
      <c r="BT301" s="89">
        <v>-1199.2400560000001</v>
      </c>
      <c r="BU301" s="89">
        <v>28493.483248999997</v>
      </c>
      <c r="BV301" s="89"/>
      <c r="BW301" s="88">
        <v>15666.011780750001</v>
      </c>
      <c r="BX301" s="89">
        <v>7284.9550496963038</v>
      </c>
      <c r="BY301" s="89">
        <v>6984.9139978663043</v>
      </c>
      <c r="BZ301" s="89">
        <v>300.04105183000001</v>
      </c>
      <c r="CA301" s="89">
        <v>10747.652524540003</v>
      </c>
      <c r="CB301" s="89">
        <v>-2366.5957934863059</v>
      </c>
      <c r="CC301" s="88">
        <v>1551.71234669</v>
      </c>
      <c r="CD301" s="89">
        <v>-70.831653309999993</v>
      </c>
      <c r="CE301" s="89">
        <v>34.114079320000002</v>
      </c>
      <c r="CF301" s="89">
        <v>-104.94573262999999</v>
      </c>
      <c r="CG301" s="89">
        <v>1622.5440000000001</v>
      </c>
      <c r="CH301" s="89"/>
      <c r="CI301" s="88">
        <v>167106.70000000001</v>
      </c>
      <c r="CJ301" s="89">
        <v>36236.600000000006</v>
      </c>
      <c r="CK301" s="89">
        <v>35378.300000000003</v>
      </c>
      <c r="CL301" s="89">
        <v>858.3</v>
      </c>
      <c r="CM301" s="89">
        <v>146100.5</v>
      </c>
      <c r="CN301" s="89">
        <v>-15230.4</v>
      </c>
      <c r="CO301" s="88">
        <v>157143</v>
      </c>
      <c r="CP301" s="89">
        <v>-17553.3</v>
      </c>
      <c r="CQ301" s="89">
        <v>31914.6</v>
      </c>
      <c r="CR301" s="89">
        <v>-49467.899999999994</v>
      </c>
      <c r="CS301" s="89">
        <v>196701.4</v>
      </c>
      <c r="CT301" s="89">
        <v>-22005.1</v>
      </c>
      <c r="CU301" s="88">
        <v>99091.875573780082</v>
      </c>
      <c r="CV301" s="89">
        <v>13960.981502812439</v>
      </c>
      <c r="CW301" s="89">
        <v>17400.849345828323</v>
      </c>
      <c r="CX301" s="89">
        <v>-3439.8678430158861</v>
      </c>
      <c r="CY301" s="89">
        <v>85130.894070967639</v>
      </c>
      <c r="CZ301" s="89"/>
      <c r="DA301" s="88">
        <v>152399.83290837574</v>
      </c>
      <c r="DB301" s="89">
        <v>6640.9382748570479</v>
      </c>
      <c r="DC301" s="89">
        <v>-4948.0713430758769</v>
      </c>
      <c r="DD301" s="89">
        <v>11589.009617932925</v>
      </c>
      <c r="DE301" s="89">
        <v>225106.35916418716</v>
      </c>
      <c r="DF301" s="89">
        <v>-79347.464530668483</v>
      </c>
      <c r="DG301" s="88">
        <v>492127.6595057596</v>
      </c>
      <c r="DH301" s="89">
        <v>194404.67350575959</v>
      </c>
      <c r="DI301" s="89"/>
      <c r="DJ301" s="89"/>
      <c r="DK301" s="89">
        <v>328558.29499999998</v>
      </c>
      <c r="DL301" s="89">
        <v>-30835.309000000001</v>
      </c>
      <c r="DM301" s="88">
        <v>8455430</v>
      </c>
      <c r="DN301" s="89">
        <f t="shared" si="21"/>
        <v>3198741</v>
      </c>
      <c r="DO301" s="89">
        <v>2498590</v>
      </c>
      <c r="DP301" s="89">
        <v>700151</v>
      </c>
      <c r="DQ301" s="89">
        <v>5256690</v>
      </c>
      <c r="DR301" s="89"/>
      <c r="DS301" s="88">
        <v>98179.659104504331</v>
      </c>
      <c r="DT301" s="89">
        <v>37587.883068352712</v>
      </c>
      <c r="DU301" s="89">
        <v>36283.080171262714</v>
      </c>
      <c r="DV301" s="89">
        <v>1304.80289709</v>
      </c>
      <c r="DW301" s="89">
        <v>97708.601042455994</v>
      </c>
      <c r="DX301" s="89">
        <v>-37116.825006304374</v>
      </c>
      <c r="DY301" s="88">
        <v>12254.686740000001</v>
      </c>
      <c r="DZ301" s="89">
        <f t="shared" si="18"/>
        <v>-589.12925999999993</v>
      </c>
      <c r="EA301" s="89">
        <v>1380.379175</v>
      </c>
      <c r="EB301" s="89">
        <v>-1969.508435</v>
      </c>
      <c r="EC301" s="89">
        <v>12444.790999999999</v>
      </c>
      <c r="ED301" s="89"/>
      <c r="EE301" s="88">
        <v>28929.962449989987</v>
      </c>
      <c r="EF301" s="89">
        <v>-2830.9143706099999</v>
      </c>
      <c r="EG301" s="89">
        <v>-2985.3898203099998</v>
      </c>
      <c r="EH301" s="89">
        <v>154.47544970000007</v>
      </c>
      <c r="EI301" s="89">
        <v>40245.889585889985</v>
      </c>
      <c r="EJ301" s="89">
        <v>-8485.0127652899973</v>
      </c>
      <c r="EK301" s="88">
        <v>38596807</v>
      </c>
      <c r="EL301" s="89">
        <v>-15782318</v>
      </c>
      <c r="EM301" s="89">
        <v>-14185079</v>
      </c>
      <c r="EN301" s="89">
        <v>-1597239</v>
      </c>
      <c r="EO301" s="89">
        <v>56160323</v>
      </c>
      <c r="EP301" s="89">
        <v>-1781198</v>
      </c>
      <c r="EQ301" s="88">
        <v>136808.97516363999</v>
      </c>
      <c r="ER301" s="89">
        <v>-54472.673398080005</v>
      </c>
      <c r="ES301" s="89"/>
      <c r="ET301" s="89"/>
      <c r="EU301" s="89">
        <v>263613.35218539997</v>
      </c>
      <c r="EV301" s="89">
        <v>-72331.70362367999</v>
      </c>
      <c r="EW301" s="88">
        <v>1137181.103392222</v>
      </c>
      <c r="EX301" s="89">
        <f t="shared" si="20"/>
        <v>682641.07961952011</v>
      </c>
      <c r="EY301" s="89">
        <v>673277.73808344011</v>
      </c>
      <c r="EZ301" s="89">
        <v>9363.3415360800009</v>
      </c>
      <c r="FA301" s="89">
        <v>692259.48123395001</v>
      </c>
      <c r="FB301" s="89">
        <v>-237719.45746124827</v>
      </c>
      <c r="FC301" s="88">
        <v>1021.3482752200001</v>
      </c>
      <c r="FD301" s="89">
        <v>-1151.9257247800001</v>
      </c>
      <c r="FE301" s="89">
        <v>-248.95021109000001</v>
      </c>
      <c r="FF301" s="89">
        <v>-902.97551369000007</v>
      </c>
      <c r="FG301" s="89">
        <v>2173.2739999999999</v>
      </c>
      <c r="FH301" s="89"/>
      <c r="FI301" s="88">
        <v>1029.4480590799999</v>
      </c>
      <c r="FJ301" s="89">
        <v>-21.482940920000004</v>
      </c>
      <c r="FK301" s="89">
        <v>91.434098109999994</v>
      </c>
      <c r="FL301" s="89">
        <v>-112.91703903</v>
      </c>
      <c r="FM301" s="89">
        <v>1050.931</v>
      </c>
      <c r="FN301" s="89"/>
      <c r="FO301" s="88">
        <v>3658.12539664</v>
      </c>
      <c r="FP301" s="89">
        <v>-154.84360335999997</v>
      </c>
      <c r="FQ301" s="89">
        <v>292.06539664000002</v>
      </c>
      <c r="FR301" s="89">
        <v>-446.90899999999999</v>
      </c>
      <c r="FS301" s="89">
        <v>3812.9690000000001</v>
      </c>
      <c r="FT301" s="89"/>
      <c r="FU301" s="88">
        <v>6518.5</v>
      </c>
      <c r="FV301" s="89">
        <v>1326.7</v>
      </c>
      <c r="FW301" s="89">
        <v>1225</v>
      </c>
      <c r="FX301" s="89">
        <v>101.7</v>
      </c>
      <c r="FY301" s="89">
        <v>5039.1000000000004</v>
      </c>
      <c r="FZ301" s="89">
        <v>152.69999999999999</v>
      </c>
      <c r="GA301" s="88">
        <v>18480.3</v>
      </c>
      <c r="GB301" s="89">
        <v>-29924.100000000002</v>
      </c>
      <c r="GC301" s="89"/>
      <c r="GD301" s="89"/>
      <c r="GE301" s="89">
        <v>48404.4</v>
      </c>
      <c r="GF301" s="89"/>
      <c r="GG301" s="88">
        <v>229420.60663847887</v>
      </c>
      <c r="GH301" s="89">
        <v>99794.024517619793</v>
      </c>
      <c r="GI301" s="89">
        <v>94467.573290778164</v>
      </c>
      <c r="GJ301" s="89">
        <v>5326.4512268416402</v>
      </c>
      <c r="GK301" s="89">
        <v>341961.53992838511</v>
      </c>
      <c r="GL301" s="89">
        <v>-212334.95780752605</v>
      </c>
      <c r="GM301" s="88">
        <v>1633599.0753450799</v>
      </c>
      <c r="GN301" s="89">
        <v>438084.44528572989</v>
      </c>
      <c r="GO301" s="89">
        <v>301746.33830008988</v>
      </c>
      <c r="GP301" s="89">
        <v>136338.10698564001</v>
      </c>
      <c r="GQ301" s="89">
        <v>1064848.6689949301</v>
      </c>
      <c r="GR301" s="89">
        <v>130665.96106442</v>
      </c>
    </row>
    <row r="302" spans="1:200">
      <c r="B302" s="93" t="s">
        <v>499</v>
      </c>
      <c r="C302" s="88">
        <v>2621.4080087700004</v>
      </c>
      <c r="D302" s="89">
        <v>454.96100877000003</v>
      </c>
      <c r="E302" s="89">
        <v>513.48161900000002</v>
      </c>
      <c r="F302" s="89">
        <v>-58.520609999999998</v>
      </c>
      <c r="G302" s="89">
        <v>2166.4470000000001</v>
      </c>
      <c r="H302" s="89"/>
      <c r="I302" s="88">
        <v>1065461.5899999999</v>
      </c>
      <c r="J302" s="89">
        <v>1099082.889</v>
      </c>
      <c r="K302" s="89"/>
      <c r="L302" s="89"/>
      <c r="M302" s="89">
        <v>612675.63600000006</v>
      </c>
      <c r="N302" s="89">
        <v>-646296.93500000006</v>
      </c>
      <c r="O302" s="88">
        <v>9029.9</v>
      </c>
      <c r="P302" s="89">
        <v>2538.6</v>
      </c>
      <c r="Q302" s="89">
        <v>2116.6</v>
      </c>
      <c r="R302" s="89">
        <v>422</v>
      </c>
      <c r="S302" s="89">
        <v>6491.3</v>
      </c>
      <c r="T302" s="89"/>
      <c r="U302" s="88">
        <v>7980.7387799999997</v>
      </c>
      <c r="V302" s="89">
        <v>2604.3727800000001</v>
      </c>
      <c r="W302" s="89">
        <v>2076.9847800000002</v>
      </c>
      <c r="X302" s="89">
        <v>527.38800000000003</v>
      </c>
      <c r="Y302" s="89">
        <v>5376.366</v>
      </c>
      <c r="Z302" s="89"/>
      <c r="AA302" s="88">
        <v>1934.3430000000001</v>
      </c>
      <c r="AB302" s="89">
        <v>10.682</v>
      </c>
      <c r="AC302" s="89">
        <v>-5.1989999999999998</v>
      </c>
      <c r="AD302" s="89">
        <v>15.881</v>
      </c>
      <c r="AE302" s="89">
        <v>1923.6610000000001</v>
      </c>
      <c r="AF302" s="89"/>
      <c r="AG302" s="88">
        <v>123703.4172791289</v>
      </c>
      <c r="AH302" s="89">
        <v>26606.472168555119</v>
      </c>
      <c r="AI302" s="89">
        <v>10951.154746745118</v>
      </c>
      <c r="AJ302" s="89">
        <v>15655.317421809999</v>
      </c>
      <c r="AK302" s="89">
        <v>97096.945110573783</v>
      </c>
      <c r="AL302" s="89"/>
      <c r="AM302" s="88">
        <v>5878522</v>
      </c>
      <c r="AN302" s="89">
        <v>1626530</v>
      </c>
      <c r="AO302" s="89">
        <v>1453745</v>
      </c>
      <c r="AP302" s="89">
        <v>172785</v>
      </c>
      <c r="AQ302" s="89">
        <v>3753365</v>
      </c>
      <c r="AR302" s="89">
        <v>498627</v>
      </c>
      <c r="AS302" s="88">
        <v>93274578.411526009</v>
      </c>
      <c r="AT302" s="89">
        <v>1461376.7589189999</v>
      </c>
      <c r="AU302" s="89">
        <v>1461376.7589189999</v>
      </c>
      <c r="AV302" s="89"/>
      <c r="AW302" s="89">
        <v>117699243.89925601</v>
      </c>
      <c r="AX302" s="89">
        <v>-25886042.246649001</v>
      </c>
      <c r="AY302" s="88">
        <v>382865329.78732449</v>
      </c>
      <c r="AZ302" s="89">
        <f t="shared" si="19"/>
        <v>64169158.885530837</v>
      </c>
      <c r="BA302" s="89">
        <v>49195611.573200837</v>
      </c>
      <c r="BB302" s="89">
        <v>14973547.312330002</v>
      </c>
      <c r="BC302" s="89">
        <v>318696170.90179366</v>
      </c>
      <c r="BD302" s="89"/>
      <c r="BE302" s="88">
        <v>14382830.307204502</v>
      </c>
      <c r="BF302" s="89">
        <v>1318300.1146710648</v>
      </c>
      <c r="BG302" s="89">
        <v>1147195.8373608238</v>
      </c>
      <c r="BH302" s="89">
        <v>171104.2773102411</v>
      </c>
      <c r="BI302" s="89">
        <v>14531252.147433989</v>
      </c>
      <c r="BJ302" s="89">
        <v>-1466721.9549005532</v>
      </c>
      <c r="BK302" s="88">
        <v>739.55348149999998</v>
      </c>
      <c r="BL302" s="89">
        <v>-64.960951079999973</v>
      </c>
      <c r="BM302" s="89">
        <v>72.265522990000008</v>
      </c>
      <c r="BN302" s="89">
        <v>-109.56404149000001</v>
      </c>
      <c r="BO302" s="89">
        <v>776.85199999999998</v>
      </c>
      <c r="BP302" s="89"/>
      <c r="BQ302" s="88">
        <v>28356.699626999998</v>
      </c>
      <c r="BR302" s="89">
        <v>-333.96674499999995</v>
      </c>
      <c r="BS302" s="89">
        <v>721.39118700000017</v>
      </c>
      <c r="BT302" s="89">
        <v>-1055.3579320000001</v>
      </c>
      <c r="BU302" s="89">
        <v>28690.666372</v>
      </c>
      <c r="BV302" s="89"/>
      <c r="BW302" s="88">
        <v>15905.537316540001</v>
      </c>
      <c r="BX302" s="89">
        <v>7339.7137732600004</v>
      </c>
      <c r="BY302" s="89">
        <v>7029.7745370900002</v>
      </c>
      <c r="BZ302" s="89">
        <v>309.93923616999996</v>
      </c>
      <c r="CA302" s="89">
        <v>10869.642798110002</v>
      </c>
      <c r="CB302" s="89">
        <v>-2303.8192548299985</v>
      </c>
      <c r="CC302" s="88">
        <v>1550.8841764599999</v>
      </c>
      <c r="CD302" s="89">
        <v>-77.109823539999994</v>
      </c>
      <c r="CE302" s="89">
        <v>39.394909089999999</v>
      </c>
      <c r="CF302" s="89">
        <v>-116.50473262999999</v>
      </c>
      <c r="CG302" s="89">
        <v>1627.9939999999999</v>
      </c>
      <c r="CH302" s="89"/>
      <c r="CI302" s="88">
        <v>170219.5</v>
      </c>
      <c r="CJ302" s="89">
        <v>37402.9</v>
      </c>
      <c r="CK302" s="89">
        <v>36532.400000000001</v>
      </c>
      <c r="CL302" s="89">
        <v>870.5</v>
      </c>
      <c r="CM302" s="89">
        <v>148259.5</v>
      </c>
      <c r="CN302" s="89">
        <v>-15442.8</v>
      </c>
      <c r="CO302" s="88">
        <v>160709.20000000001</v>
      </c>
      <c r="CP302" s="89">
        <v>-14977.9</v>
      </c>
      <c r="CQ302" s="89">
        <v>37388.6</v>
      </c>
      <c r="CR302" s="89">
        <v>-52366.5</v>
      </c>
      <c r="CS302" s="89">
        <v>197852.9</v>
      </c>
      <c r="CT302" s="89">
        <v>-22165.8</v>
      </c>
      <c r="CU302" s="88">
        <v>99339.322255108724</v>
      </c>
      <c r="CV302" s="89">
        <v>12772.880005030149</v>
      </c>
      <c r="CW302" s="89">
        <v>16466.579936537437</v>
      </c>
      <c r="CX302" s="89">
        <v>-3693.6999315072885</v>
      </c>
      <c r="CY302" s="89">
        <v>86566.442250078573</v>
      </c>
      <c r="CZ302" s="89"/>
      <c r="DA302" s="88">
        <v>152390.21337777632</v>
      </c>
      <c r="DB302" s="89">
        <v>6200.0300125294198</v>
      </c>
      <c r="DC302" s="89">
        <v>-5421.2055933463635</v>
      </c>
      <c r="DD302" s="89">
        <v>11621.235605875783</v>
      </c>
      <c r="DE302" s="89">
        <v>228550.0347642196</v>
      </c>
      <c r="DF302" s="89">
        <v>-82359.851398972663</v>
      </c>
      <c r="DG302" s="88">
        <v>486619.78449532209</v>
      </c>
      <c r="DH302" s="89">
        <v>187255.79949532208</v>
      </c>
      <c r="DI302" s="89"/>
      <c r="DJ302" s="89"/>
      <c r="DK302" s="89">
        <v>331235.935</v>
      </c>
      <c r="DL302" s="89">
        <v>-31871.95</v>
      </c>
      <c r="DM302" s="88">
        <v>8490920</v>
      </c>
      <c r="DN302" s="89">
        <f t="shared" si="21"/>
        <v>3183121</v>
      </c>
      <c r="DO302" s="89">
        <v>2440550</v>
      </c>
      <c r="DP302" s="89">
        <v>742571</v>
      </c>
      <c r="DQ302" s="89">
        <v>5307810</v>
      </c>
      <c r="DR302" s="89"/>
      <c r="DS302" s="88">
        <v>103669.1460349574</v>
      </c>
      <c r="DT302" s="89">
        <v>39440.728825734805</v>
      </c>
      <c r="DU302" s="89">
        <v>37928.686852054801</v>
      </c>
      <c r="DV302" s="89">
        <v>1512.04197368</v>
      </c>
      <c r="DW302" s="89">
        <v>100735.32385965851</v>
      </c>
      <c r="DX302" s="89">
        <v>-36506.906650435914</v>
      </c>
      <c r="DY302" s="88">
        <v>12267.007699</v>
      </c>
      <c r="DZ302" s="89">
        <f t="shared" si="18"/>
        <v>-571.49730100000011</v>
      </c>
      <c r="EA302" s="89">
        <v>1347.525412</v>
      </c>
      <c r="EB302" s="89">
        <v>-1919.0227130000001</v>
      </c>
      <c r="EC302" s="89">
        <v>12443.833000000001</v>
      </c>
      <c r="ED302" s="89"/>
      <c r="EE302" s="88">
        <v>28513.615264200002</v>
      </c>
      <c r="EF302" s="89">
        <v>-3349.4345296399993</v>
      </c>
      <c r="EG302" s="89">
        <v>-3501.0741835499994</v>
      </c>
      <c r="EH302" s="89">
        <v>151.63965391000002</v>
      </c>
      <c r="EI302" s="89">
        <v>40633.042478750001</v>
      </c>
      <c r="EJ302" s="89">
        <v>-8769.9926849099993</v>
      </c>
      <c r="EK302" s="88">
        <v>39656826</v>
      </c>
      <c r="EL302" s="89">
        <v>-15692609</v>
      </c>
      <c r="EM302" s="89">
        <v>-14106084</v>
      </c>
      <c r="EN302" s="89">
        <v>-1586525</v>
      </c>
      <c r="EO302" s="89">
        <v>57425422</v>
      </c>
      <c r="EP302" s="89">
        <v>-2075987</v>
      </c>
      <c r="EQ302" s="88">
        <v>137017.61934168002</v>
      </c>
      <c r="ER302" s="89">
        <v>-56498.969614879999</v>
      </c>
      <c r="ES302" s="89"/>
      <c r="ET302" s="89"/>
      <c r="EU302" s="89">
        <v>267008.37042096001</v>
      </c>
      <c r="EV302" s="89">
        <v>-73491.781464400003</v>
      </c>
      <c r="EW302" s="88">
        <v>1132099.5078025297</v>
      </c>
      <c r="EX302" s="89">
        <f t="shared" si="20"/>
        <v>661329.56536835991</v>
      </c>
      <c r="EY302" s="89">
        <v>653908.41283962992</v>
      </c>
      <c r="EZ302" s="89">
        <v>7421.1525287300001</v>
      </c>
      <c r="FA302" s="89">
        <v>711650.34419808001</v>
      </c>
      <c r="FB302" s="89">
        <v>-240880.40176391052</v>
      </c>
      <c r="FC302" s="88">
        <v>1034.8111943199999</v>
      </c>
      <c r="FD302" s="89">
        <v>-1153.1518056800001</v>
      </c>
      <c r="FE302" s="89">
        <v>-299.92729199000007</v>
      </c>
      <c r="FF302" s="89">
        <v>-853.22451369000009</v>
      </c>
      <c r="FG302" s="89">
        <v>2187.9630000000002</v>
      </c>
      <c r="FH302" s="89"/>
      <c r="FI302" s="88">
        <v>1032.8575203099999</v>
      </c>
      <c r="FJ302" s="89">
        <v>-24.399479689999993</v>
      </c>
      <c r="FK302" s="89">
        <v>89.878200860000007</v>
      </c>
      <c r="FL302" s="89">
        <v>-114.27768055</v>
      </c>
      <c r="FM302" s="89">
        <v>1057.2570000000001</v>
      </c>
      <c r="FN302" s="89"/>
      <c r="FO302" s="88">
        <v>3655.7271292199998</v>
      </c>
      <c r="FP302" s="89">
        <v>-144.62787078000002</v>
      </c>
      <c r="FQ302" s="89">
        <v>302.81212921999997</v>
      </c>
      <c r="FR302" s="89">
        <v>-447.44</v>
      </c>
      <c r="FS302" s="89">
        <v>3800.355</v>
      </c>
      <c r="FT302" s="89"/>
      <c r="FU302" s="88">
        <v>6615.4</v>
      </c>
      <c r="FV302" s="89">
        <v>1306.7</v>
      </c>
      <c r="FW302" s="89">
        <v>1204.4000000000001</v>
      </c>
      <c r="FX302" s="89">
        <v>102.3</v>
      </c>
      <c r="FY302" s="89">
        <v>5159</v>
      </c>
      <c r="FZ302" s="89">
        <v>149.69999999999999</v>
      </c>
      <c r="GA302" s="88">
        <v>18179.900000000001</v>
      </c>
      <c r="GB302" s="89">
        <v>-30574.400000000001</v>
      </c>
      <c r="GC302" s="89"/>
      <c r="GD302" s="89"/>
      <c r="GE302" s="89">
        <v>48754.3</v>
      </c>
      <c r="GF302" s="89"/>
      <c r="GG302" s="88">
        <v>231771.94295544969</v>
      </c>
      <c r="GH302" s="89">
        <v>101494.68429207258</v>
      </c>
      <c r="GI302" s="89">
        <v>94076.807952714778</v>
      </c>
      <c r="GJ302" s="89">
        <v>7417.8763393577992</v>
      </c>
      <c r="GK302" s="89">
        <v>342478.38925073855</v>
      </c>
      <c r="GL302" s="89">
        <v>-212201.1305873614</v>
      </c>
      <c r="GM302" s="88">
        <v>1740113.8841905098</v>
      </c>
      <c r="GN302" s="89">
        <v>454393.39337778994</v>
      </c>
      <c r="GO302" s="89">
        <v>320113.6366410699</v>
      </c>
      <c r="GP302" s="89">
        <v>134279.75673672004</v>
      </c>
      <c r="GQ302" s="89">
        <v>1144843.9173601097</v>
      </c>
      <c r="GR302" s="101">
        <v>140876.57345261</v>
      </c>
    </row>
    <row r="303" spans="1:200">
      <c r="A303" s="132"/>
      <c r="B303" s="126" t="s">
        <v>500</v>
      </c>
      <c r="C303" s="104">
        <v>2610.8920197899997</v>
      </c>
      <c r="D303" s="105">
        <v>459.26501978999994</v>
      </c>
      <c r="E303" s="105">
        <v>515.64863000000003</v>
      </c>
      <c r="F303" s="105">
        <v>-56.383609999999997</v>
      </c>
      <c r="G303" s="105">
        <v>2151.627</v>
      </c>
      <c r="H303" s="105"/>
      <c r="I303" s="104">
        <v>1108082.5159999998</v>
      </c>
      <c r="J303" s="105">
        <v>1132533.497</v>
      </c>
      <c r="K303" s="105"/>
      <c r="L303" s="105"/>
      <c r="M303" s="105">
        <v>633002.34100000001</v>
      </c>
      <c r="N303" s="105">
        <v>-657453.32200000004</v>
      </c>
      <c r="O303" s="104">
        <v>8864.1</v>
      </c>
      <c r="P303" s="105">
        <v>2396.3000000000002</v>
      </c>
      <c r="Q303" s="105">
        <v>2021.4</v>
      </c>
      <c r="R303" s="105">
        <v>474.9</v>
      </c>
      <c r="S303" s="105">
        <v>6367.8</v>
      </c>
      <c r="T303" s="105"/>
      <c r="U303" s="104">
        <v>7938.8274999999994</v>
      </c>
      <c r="V303" s="105">
        <v>2553.0645</v>
      </c>
      <c r="W303" s="105">
        <v>2024.4594999999999</v>
      </c>
      <c r="X303" s="105">
        <v>528.6049999999999</v>
      </c>
      <c r="Y303" s="105">
        <v>5385.7629999999999</v>
      </c>
      <c r="Z303" s="105"/>
      <c r="AA303" s="104">
        <v>1939.8440000000001</v>
      </c>
      <c r="AB303" s="105">
        <v>19.492999999999999</v>
      </c>
      <c r="AC303" s="105">
        <v>3.4729999999999999</v>
      </c>
      <c r="AD303" s="105">
        <v>16.02</v>
      </c>
      <c r="AE303" s="105">
        <v>1920.3510000000001</v>
      </c>
      <c r="AF303" s="105"/>
      <c r="AG303" s="104">
        <v>126021.79311971681</v>
      </c>
      <c r="AH303" s="105">
        <v>27424.74816229783</v>
      </c>
      <c r="AI303" s="105">
        <v>11042.038107827828</v>
      </c>
      <c r="AJ303" s="105">
        <v>16382.710054470001</v>
      </c>
      <c r="AK303" s="105">
        <v>98597.04495741897</v>
      </c>
      <c r="AL303" s="105"/>
      <c r="AM303" s="104">
        <v>5978336</v>
      </c>
      <c r="AN303" s="105">
        <v>1666479</v>
      </c>
      <c r="AO303" s="105">
        <v>1489327</v>
      </c>
      <c r="AP303" s="105">
        <v>177152</v>
      </c>
      <c r="AQ303" s="105">
        <v>3815760</v>
      </c>
      <c r="AR303" s="105">
        <v>496098</v>
      </c>
      <c r="AS303" s="104">
        <v>93071722.924450994</v>
      </c>
      <c r="AT303" s="105">
        <v>-211677.53558000003</v>
      </c>
      <c r="AU303" s="105">
        <v>-211677.53558000003</v>
      </c>
      <c r="AV303" s="105"/>
      <c r="AW303" s="105">
        <v>118176458.43976</v>
      </c>
      <c r="AX303" s="105">
        <v>-24893057.979729</v>
      </c>
      <c r="AY303" s="104">
        <v>388715318.92640167</v>
      </c>
      <c r="AZ303" s="105">
        <f t="shared" si="19"/>
        <v>65361898.634808026</v>
      </c>
      <c r="BA303" s="105">
        <v>50007615.58417803</v>
      </c>
      <c r="BB303" s="105">
        <v>15354283.050629998</v>
      </c>
      <c r="BC303" s="105">
        <v>323353420.29159367</v>
      </c>
      <c r="BD303" s="105"/>
      <c r="BE303" s="104">
        <v>14647755.255309206</v>
      </c>
      <c r="BF303" s="105">
        <v>1501211.7293850258</v>
      </c>
      <c r="BG303" s="105">
        <v>1320342.6106168744</v>
      </c>
      <c r="BH303" s="105">
        <v>180869.1187681513</v>
      </c>
      <c r="BI303" s="105">
        <v>14701252.850259485</v>
      </c>
      <c r="BJ303" s="105">
        <v>-1554709.3243353071</v>
      </c>
      <c r="BK303" s="104">
        <v>737.36003409</v>
      </c>
      <c r="BL303" s="105">
        <v>-64.960951079999973</v>
      </c>
      <c r="BM303" s="105">
        <v>58.959578399999998</v>
      </c>
      <c r="BN303" s="105">
        <v>-94.795544309999997</v>
      </c>
      <c r="BO303" s="105">
        <v>773.19600000000003</v>
      </c>
      <c r="BP303" s="105"/>
      <c r="BQ303" s="104">
        <v>30279.624556999999</v>
      </c>
      <c r="BR303" s="105">
        <v>1123.1514720000005</v>
      </c>
      <c r="BS303" s="105">
        <v>1921.9766320000006</v>
      </c>
      <c r="BT303" s="105">
        <v>-798.8251600000001</v>
      </c>
      <c r="BU303" s="105">
        <v>29156.473084999998</v>
      </c>
      <c r="BV303" s="105"/>
      <c r="BW303" s="104">
        <v>16076.527441970004</v>
      </c>
      <c r="BX303" s="105">
        <v>7419.1769925300005</v>
      </c>
      <c r="BY303" s="105">
        <v>7096.1824710300007</v>
      </c>
      <c r="BZ303" s="105">
        <v>322.99452150000002</v>
      </c>
      <c r="CA303" s="105">
        <v>11047.33590525</v>
      </c>
      <c r="CB303" s="105">
        <v>-2389.9854558099978</v>
      </c>
      <c r="CC303" s="104">
        <v>1526.92218329</v>
      </c>
      <c r="CD303" s="105">
        <v>-86.945816710000003</v>
      </c>
      <c r="CE303" s="105">
        <v>17.343915920000001</v>
      </c>
      <c r="CF303" s="105">
        <v>-104.28973263</v>
      </c>
      <c r="CG303" s="105">
        <v>1613.8679999999999</v>
      </c>
      <c r="CH303" s="105"/>
      <c r="CI303" s="104">
        <v>175331.6</v>
      </c>
      <c r="CJ303" s="105">
        <v>39817.299999999996</v>
      </c>
      <c r="CK303" s="105">
        <v>38978.6</v>
      </c>
      <c r="CL303" s="105">
        <v>838.7</v>
      </c>
      <c r="CM303" s="105">
        <v>149837.1</v>
      </c>
      <c r="CN303" s="105">
        <v>-14322.8</v>
      </c>
      <c r="CO303" s="104">
        <v>154911.1</v>
      </c>
      <c r="CP303" s="105">
        <v>-25796.9</v>
      </c>
      <c r="CQ303" s="105">
        <v>28326.1</v>
      </c>
      <c r="CR303" s="105">
        <v>-54123</v>
      </c>
      <c r="CS303" s="105">
        <v>202041.5</v>
      </c>
      <c r="CT303" s="105">
        <v>-21333.5</v>
      </c>
      <c r="CU303" s="104">
        <v>95917.715906849422</v>
      </c>
      <c r="CV303" s="105">
        <v>8536.3083654176007</v>
      </c>
      <c r="CW303" s="105">
        <v>11811.754167061918</v>
      </c>
      <c r="CX303" s="105">
        <v>-3275.4458016443159</v>
      </c>
      <c r="CY303" s="105">
        <v>87381.407541431821</v>
      </c>
      <c r="CZ303" s="105"/>
      <c r="DA303" s="104">
        <v>157858.61414309294</v>
      </c>
      <c r="DB303" s="105">
        <v>10114.705508113619</v>
      </c>
      <c r="DC303" s="105">
        <v>-3444.5209985686961</v>
      </c>
      <c r="DD303" s="105">
        <v>13559.226506682315</v>
      </c>
      <c r="DE303" s="105">
        <v>230844.05350692949</v>
      </c>
      <c r="DF303" s="105">
        <v>-83100.144871950164</v>
      </c>
      <c r="DG303" s="104">
        <v>496131.55578553764</v>
      </c>
      <c r="DH303" s="105">
        <v>193011.48078553766</v>
      </c>
      <c r="DI303" s="105"/>
      <c r="DJ303" s="105"/>
      <c r="DK303" s="105">
        <v>332867.77</v>
      </c>
      <c r="DL303" s="105">
        <v>-29747.695</v>
      </c>
      <c r="DM303" s="104">
        <v>8644670</v>
      </c>
      <c r="DN303" s="105">
        <f t="shared" si="21"/>
        <v>3304132</v>
      </c>
      <c r="DO303" s="105">
        <v>2525210</v>
      </c>
      <c r="DP303" s="105">
        <v>778922</v>
      </c>
      <c r="DQ303" s="105">
        <v>5340540</v>
      </c>
      <c r="DR303" s="105"/>
      <c r="DS303" s="104">
        <v>104118.49009730387</v>
      </c>
      <c r="DT303" s="105">
        <v>40196.536940414677</v>
      </c>
      <c r="DU303" s="105">
        <v>38676.924900604674</v>
      </c>
      <c r="DV303" s="105">
        <v>1519.6120398099999</v>
      </c>
      <c r="DW303" s="105">
        <v>104429.02319702835</v>
      </c>
      <c r="DX303" s="105">
        <v>-40507.070040139144</v>
      </c>
      <c r="DY303" s="104">
        <v>12088.157479</v>
      </c>
      <c r="DZ303" s="105">
        <f t="shared" si="18"/>
        <v>-690.64552100000014</v>
      </c>
      <c r="EA303" s="105">
        <v>1203.1256939999998</v>
      </c>
      <c r="EB303" s="105">
        <v>-1893.771215</v>
      </c>
      <c r="EC303" s="105">
        <v>12376.632</v>
      </c>
      <c r="ED303" s="105"/>
      <c r="EE303" s="104">
        <v>28550.316204489991</v>
      </c>
      <c r="EF303" s="105">
        <v>-3557.1851170299988</v>
      </c>
      <c r="EG303" s="105">
        <v>-3705.9489634499987</v>
      </c>
      <c r="EH303" s="105">
        <v>148.76384642000002</v>
      </c>
      <c r="EI303" s="105">
        <v>40823.743857230002</v>
      </c>
      <c r="EJ303" s="105">
        <v>-8716.2425357100037</v>
      </c>
      <c r="EK303" s="104">
        <v>42489623</v>
      </c>
      <c r="EL303" s="105">
        <v>-13996468</v>
      </c>
      <c r="EM303" s="105">
        <v>-12527548</v>
      </c>
      <c r="EN303" s="105">
        <v>-1468920</v>
      </c>
      <c r="EO303" s="105">
        <v>58534468</v>
      </c>
      <c r="EP303" s="105">
        <v>-2048377</v>
      </c>
      <c r="EQ303" s="104">
        <v>145951.73259308</v>
      </c>
      <c r="ER303" s="105">
        <v>-49677.431116420004</v>
      </c>
      <c r="ES303" s="105"/>
      <c r="ET303" s="105"/>
      <c r="EU303" s="105">
        <v>270140.98294145998</v>
      </c>
      <c r="EV303" s="105">
        <v>-74511.819231959991</v>
      </c>
      <c r="EW303" s="104">
        <v>1162181.5183376768</v>
      </c>
      <c r="EX303" s="105">
        <f t="shared" si="20"/>
        <v>666436.70507973002</v>
      </c>
      <c r="EY303" s="105">
        <v>660748.03988971002</v>
      </c>
      <c r="EZ303" s="105">
        <v>5688.6651900200004</v>
      </c>
      <c r="FA303" s="105">
        <v>737480.15205985005</v>
      </c>
      <c r="FB303" s="105">
        <v>-241735.3388019031</v>
      </c>
      <c r="FC303" s="104">
        <v>1012.5843032599998</v>
      </c>
      <c r="FD303" s="105">
        <v>-1187.96169674</v>
      </c>
      <c r="FE303" s="105">
        <v>-333.82518304999996</v>
      </c>
      <c r="FF303" s="105">
        <v>-854.13651369000002</v>
      </c>
      <c r="FG303" s="105">
        <v>2200.5459999999998</v>
      </c>
      <c r="FH303" s="105"/>
      <c r="FI303" s="104">
        <v>1020.23983529</v>
      </c>
      <c r="FJ303" s="105">
        <v>-25.016164710000012</v>
      </c>
      <c r="FK303" s="105">
        <v>88.611515839999996</v>
      </c>
      <c r="FL303" s="105">
        <v>-113.62768055000001</v>
      </c>
      <c r="FM303" s="105">
        <v>1045.2560000000001</v>
      </c>
      <c r="FN303" s="105"/>
      <c r="FO303" s="104">
        <v>3579.4691376399996</v>
      </c>
      <c r="FP303" s="105">
        <v>-199.12886236000003</v>
      </c>
      <c r="FQ303" s="105">
        <v>257.16513763999995</v>
      </c>
      <c r="FR303" s="105">
        <v>-456.29399999999998</v>
      </c>
      <c r="FS303" s="105">
        <v>3778.598</v>
      </c>
      <c r="FT303" s="105"/>
      <c r="FU303" s="104">
        <v>6718.9</v>
      </c>
      <c r="FV303" s="105">
        <v>1397</v>
      </c>
      <c r="FW303" s="105">
        <v>1291.5</v>
      </c>
      <c r="FX303" s="105">
        <v>105.5</v>
      </c>
      <c r="FY303" s="105">
        <v>5164.8999999999996</v>
      </c>
      <c r="FZ303" s="105">
        <v>157</v>
      </c>
      <c r="GA303" s="104">
        <v>17735.099999999999</v>
      </c>
      <c r="GB303" s="105">
        <v>-31412.9</v>
      </c>
      <c r="GC303" s="105"/>
      <c r="GD303" s="105"/>
      <c r="GE303" s="105">
        <v>49148</v>
      </c>
      <c r="GF303" s="105"/>
      <c r="GG303" s="104">
        <v>256770.62064289348</v>
      </c>
      <c r="GH303" s="105">
        <v>109171.80650915175</v>
      </c>
      <c r="GI303" s="105">
        <v>100577.09376785805</v>
      </c>
      <c r="GJ303" s="105">
        <v>8594.7127412937079</v>
      </c>
      <c r="GK303" s="105">
        <v>358070.26864901494</v>
      </c>
      <c r="GL303" s="105">
        <v>-210471.45451527319</v>
      </c>
      <c r="GM303" s="104">
        <v>1811048.3472360601</v>
      </c>
      <c r="GN303" s="105">
        <v>471461.83977132</v>
      </c>
      <c r="GO303" s="105">
        <v>337318.41376807005</v>
      </c>
      <c r="GP303" s="105">
        <v>134143.42600324994</v>
      </c>
      <c r="GQ303" s="105">
        <v>1196901.5040752601</v>
      </c>
      <c r="GR303" s="103">
        <v>142685.00338948003</v>
      </c>
    </row>
    <row r="304" spans="1:200">
      <c r="A304" s="86">
        <v>2015</v>
      </c>
      <c r="B304" s="93" t="s">
        <v>489</v>
      </c>
      <c r="C304" s="88">
        <v>2603.79</v>
      </c>
      <c r="D304" s="89">
        <f>E304+F304</f>
        <v>466.33699999999999</v>
      </c>
      <c r="E304" s="89">
        <v>518.24140999999997</v>
      </c>
      <c r="F304" s="89">
        <v>-51.904410000000006</v>
      </c>
      <c r="G304" s="89">
        <v>2137.453</v>
      </c>
      <c r="H304" s="89"/>
      <c r="I304" s="88">
        <v>1113318.7960000001</v>
      </c>
      <c r="J304" s="89">
        <v>1169453.1810000001</v>
      </c>
      <c r="K304" s="89"/>
      <c r="L304" s="89"/>
      <c r="M304" s="89">
        <v>636486.16599999997</v>
      </c>
      <c r="N304" s="89">
        <v>-692620.88</v>
      </c>
      <c r="O304" s="88">
        <v>8910.4</v>
      </c>
      <c r="P304" s="89">
        <f>Q304+R304</f>
        <v>2552.1000000000004</v>
      </c>
      <c r="Q304" s="89">
        <v>2073.3000000000002</v>
      </c>
      <c r="R304" s="89">
        <v>478.8</v>
      </c>
      <c r="S304" s="134">
        <v>6358.3</v>
      </c>
      <c r="T304" s="89"/>
      <c r="U304" s="88">
        <f>V304+Y304</f>
        <v>7963.1005709999999</v>
      </c>
      <c r="V304" s="89">
        <f>W304+X304</f>
        <v>2580.4035709999998</v>
      </c>
      <c r="W304" s="89">
        <v>2056.125571</v>
      </c>
      <c r="X304" s="89">
        <v>524.27800000000002</v>
      </c>
      <c r="Y304" s="89">
        <v>5382.6970000000001</v>
      </c>
      <c r="Z304" s="89"/>
      <c r="AA304" s="88">
        <v>1938.3489999999999</v>
      </c>
      <c r="AB304" s="89">
        <v>17.155000000000001</v>
      </c>
      <c r="AC304" s="89">
        <v>1.9590000000000001</v>
      </c>
      <c r="AD304" s="89">
        <v>15.196</v>
      </c>
      <c r="AE304" s="89">
        <v>1921.194</v>
      </c>
      <c r="AF304" s="89"/>
      <c r="AG304" s="88">
        <f>AH304+AK304</f>
        <v>126141.89184414959</v>
      </c>
      <c r="AH304" s="89">
        <v>27726.889971540637</v>
      </c>
      <c r="AI304" s="89">
        <v>11330.635127350637</v>
      </c>
      <c r="AJ304" s="89">
        <v>16396.25484419</v>
      </c>
      <c r="AK304" s="89">
        <v>98415.001872608947</v>
      </c>
      <c r="AL304" s="89"/>
      <c r="AM304" s="88">
        <v>5998871</v>
      </c>
      <c r="AN304" s="89">
        <v>1676683</v>
      </c>
      <c r="AO304" s="89">
        <v>1497824</v>
      </c>
      <c r="AP304" s="89">
        <v>178859</v>
      </c>
      <c r="AQ304" s="89">
        <v>3800971</v>
      </c>
      <c r="AR304" s="89">
        <v>521217</v>
      </c>
      <c r="AS304" s="88">
        <v>93998925.055026993</v>
      </c>
      <c r="AT304" s="89">
        <v>-559459.29837199999</v>
      </c>
      <c r="AU304" s="89">
        <v>-559459.29837199999</v>
      </c>
      <c r="AV304" s="89"/>
      <c r="AW304" s="89">
        <v>119042616.23618799</v>
      </c>
      <c r="AX304" s="89">
        <v>-24484231.882789001</v>
      </c>
      <c r="AY304" s="88">
        <v>404382563.86958927</v>
      </c>
      <c r="AZ304" s="89">
        <f t="shared" si="19"/>
        <v>72256758.30980958</v>
      </c>
      <c r="BA304" s="89">
        <v>56339738.470879577</v>
      </c>
      <c r="BB304" s="89">
        <v>15917019.838930001</v>
      </c>
      <c r="BC304" s="89">
        <v>332125805.5597797</v>
      </c>
      <c r="BD304" s="89"/>
      <c r="BE304" s="88">
        <f>BF304+BI304+BJ304</f>
        <v>14885496.530874169</v>
      </c>
      <c r="BF304" s="89">
        <f>BG304+BH304</f>
        <v>1517749.6349450629</v>
      </c>
      <c r="BG304" s="89">
        <v>1336971.1757555455</v>
      </c>
      <c r="BH304" s="89">
        <v>180778.45918951748</v>
      </c>
      <c r="BI304" s="89">
        <v>14726792.095929105</v>
      </c>
      <c r="BJ304" s="89">
        <v>-1359045.2</v>
      </c>
      <c r="BK304" s="88">
        <v>743.42466999999999</v>
      </c>
      <c r="BL304" s="89">
        <f>BM304+BN304</f>
        <v>-29.304330000000007</v>
      </c>
      <c r="BM304" s="89">
        <v>74.887199999999993</v>
      </c>
      <c r="BN304" s="89">
        <v>-104.19153</v>
      </c>
      <c r="BO304" s="89">
        <v>772.72900000000004</v>
      </c>
      <c r="BP304" s="89"/>
      <c r="BQ304" s="88">
        <v>30009.417479</v>
      </c>
      <c r="BR304" s="89">
        <v>650.5560319999995</v>
      </c>
      <c r="BS304" s="89">
        <v>1543.6125239999997</v>
      </c>
      <c r="BT304" s="89">
        <v>-893.05649200000016</v>
      </c>
      <c r="BU304" s="89">
        <v>29358.861446999999</v>
      </c>
      <c r="BV304" s="89"/>
      <c r="BW304" s="88">
        <v>16183.694528070002</v>
      </c>
      <c r="BX304" s="89">
        <f>BY304+BZ304</f>
        <v>7486.938623250001</v>
      </c>
      <c r="BY304" s="89">
        <v>7175.1407130200014</v>
      </c>
      <c r="BZ304" s="89">
        <v>311.79791023000001</v>
      </c>
      <c r="CA304" s="89">
        <v>11120.32108709</v>
      </c>
      <c r="CB304" s="89">
        <v>-2423.5651822699988</v>
      </c>
      <c r="CC304" s="88">
        <v>1520.2006899999999</v>
      </c>
      <c r="CD304" s="89">
        <f>CE304+CF304</f>
        <v>-91.739309999999989</v>
      </c>
      <c r="CE304" s="89">
        <v>22.203110000000002</v>
      </c>
      <c r="CF304" s="89">
        <v>-113.94242</v>
      </c>
      <c r="CG304" s="89">
        <v>1611.94</v>
      </c>
      <c r="CH304" s="89"/>
      <c r="CI304" s="88">
        <v>173896.36732148071</v>
      </c>
      <c r="CJ304" s="89">
        <f>CK304+CL304</f>
        <v>38815.800194752541</v>
      </c>
      <c r="CK304" s="89">
        <v>38001.200194752542</v>
      </c>
      <c r="CL304" s="89">
        <v>814.6</v>
      </c>
      <c r="CM304" s="89">
        <v>151517.79999999999</v>
      </c>
      <c r="CN304" s="89">
        <v>-16437.400000000001</v>
      </c>
      <c r="CO304" s="88">
        <v>158606.5</v>
      </c>
      <c r="CP304" s="89">
        <v>-20479.199999999997</v>
      </c>
      <c r="CQ304" s="89">
        <v>34154</v>
      </c>
      <c r="CR304" s="89">
        <f>CP304-CQ304</f>
        <v>-54633.2</v>
      </c>
      <c r="CS304" s="89">
        <v>200393.4</v>
      </c>
      <c r="CT304" s="89">
        <v>-21271.7</v>
      </c>
      <c r="CU304" s="88">
        <f>CV304+CY304</f>
        <v>100630.0065970267</v>
      </c>
      <c r="CV304" s="89">
        <v>13636.35488814545</v>
      </c>
      <c r="CW304" s="89">
        <v>16724.781300158396</v>
      </c>
      <c r="CX304" s="89">
        <v>-3088.4264120129455</v>
      </c>
      <c r="CY304" s="89">
        <v>86993.651708881254</v>
      </c>
      <c r="CZ304" s="89"/>
      <c r="DA304" s="88">
        <v>157897.50529895007</v>
      </c>
      <c r="DB304" s="89">
        <f>DC304+DD304</f>
        <v>12481.787004575312</v>
      </c>
      <c r="DC304" s="89">
        <v>-894.66522050011554</v>
      </c>
      <c r="DD304" s="89">
        <v>13376.452225075427</v>
      </c>
      <c r="DE304" s="89">
        <v>231476.09011621366</v>
      </c>
      <c r="DF304" s="89">
        <v>-86060.371821838897</v>
      </c>
      <c r="DG304" s="88">
        <v>487532.29101388523</v>
      </c>
      <c r="DH304" s="89">
        <v>190306.72601388523</v>
      </c>
      <c r="DI304" s="89"/>
      <c r="DJ304" s="89"/>
      <c r="DK304" s="89">
        <v>333370.54700000002</v>
      </c>
      <c r="DL304" s="89">
        <v>-36144.982000000004</v>
      </c>
      <c r="DM304" s="88">
        <v>8759700</v>
      </c>
      <c r="DN304" s="89">
        <f t="shared" si="21"/>
        <v>3337176</v>
      </c>
      <c r="DO304" s="89">
        <v>2533230</v>
      </c>
      <c r="DP304" s="89">
        <v>803946</v>
      </c>
      <c r="DQ304" s="89">
        <v>5422520</v>
      </c>
      <c r="DR304" s="89"/>
      <c r="DS304" s="88">
        <v>106230.8979968569</v>
      </c>
      <c r="DT304" s="89">
        <f>DU304+DV304</f>
        <v>39226.014373560945</v>
      </c>
      <c r="DU304" s="89">
        <v>37746.291059430943</v>
      </c>
      <c r="DV304" s="89">
        <v>1479.7233141300001</v>
      </c>
      <c r="DW304" s="89">
        <v>105402.41260403777</v>
      </c>
      <c r="DX304" s="89">
        <v>-38396.967848741813</v>
      </c>
      <c r="DY304" s="88">
        <v>12012.502893999999</v>
      </c>
      <c r="DZ304" s="89">
        <f t="shared" si="18"/>
        <v>-706.75010599999996</v>
      </c>
      <c r="EA304" s="89">
        <v>1208.127422</v>
      </c>
      <c r="EB304" s="89">
        <v>-1914.877528</v>
      </c>
      <c r="EC304" s="89">
        <v>12336.579</v>
      </c>
      <c r="ED304" s="89"/>
      <c r="EE304" s="88">
        <v>28859.448963060004</v>
      </c>
      <c r="EF304" s="89">
        <f>EG304+EH304</f>
        <v>-3257.3666949100002</v>
      </c>
      <c r="EG304" s="89">
        <v>-3406.0107667000002</v>
      </c>
      <c r="EH304" s="89">
        <v>148.64407179000003</v>
      </c>
      <c r="EI304" s="89">
        <v>41152.466144910002</v>
      </c>
      <c r="EJ304" s="89">
        <v>-9035.6504869399978</v>
      </c>
      <c r="EK304" s="88">
        <v>43997144</v>
      </c>
      <c r="EL304" s="89">
        <v>-13915798</v>
      </c>
      <c r="EM304" s="89">
        <v>-12359355</v>
      </c>
      <c r="EN304" s="89">
        <v>-1556443</v>
      </c>
      <c r="EO304" s="89">
        <v>59952888</v>
      </c>
      <c r="EP304" s="89">
        <v>-2039946</v>
      </c>
      <c r="EQ304" s="88">
        <v>141565.15696488004</v>
      </c>
      <c r="ER304" s="89">
        <v>-51430.358237080007</v>
      </c>
      <c r="ES304" s="89"/>
      <c r="ET304" s="89"/>
      <c r="EU304" s="89">
        <v>272993.81951087998</v>
      </c>
      <c r="EV304" s="89">
        <v>-79998.304308919935</v>
      </c>
      <c r="EW304" s="88">
        <v>1167126.2785267949</v>
      </c>
      <c r="EX304" s="89">
        <f t="shared" si="20"/>
        <v>697732.92056514998</v>
      </c>
      <c r="EY304" s="89">
        <v>674220.25386843004</v>
      </c>
      <c r="EZ304" s="89">
        <v>23512.66669672</v>
      </c>
      <c r="FA304" s="89">
        <v>720073.44283477997</v>
      </c>
      <c r="FB304" s="89">
        <v>-250680.08487313503</v>
      </c>
      <c r="FC304" s="88">
        <v>987.65431000000001</v>
      </c>
      <c r="FD304" s="89">
        <f>FE304+FF304</f>
        <v>-404.09669000000008</v>
      </c>
      <c r="FE304" s="89">
        <v>450.21466999999996</v>
      </c>
      <c r="FF304" s="89">
        <v>-854.31136000000004</v>
      </c>
      <c r="FG304" s="89">
        <v>1391.751</v>
      </c>
      <c r="FH304" s="89"/>
      <c r="FI304" s="88">
        <v>1048.6281100000001</v>
      </c>
      <c r="FJ304" s="89">
        <f>FK304+FL304</f>
        <v>3.4281100000000038</v>
      </c>
      <c r="FK304" s="89">
        <v>107.09578999999999</v>
      </c>
      <c r="FL304" s="89">
        <v>-103.66767999999999</v>
      </c>
      <c r="FM304" s="89">
        <v>1045.2</v>
      </c>
      <c r="FN304" s="89"/>
      <c r="FO304" s="88">
        <v>3553.5498900000002</v>
      </c>
      <c r="FP304" s="89">
        <f>FQ304+FR304</f>
        <v>-229.35510999999997</v>
      </c>
      <c r="FQ304" s="89">
        <v>237.21489000000003</v>
      </c>
      <c r="FR304" s="89">
        <v>-466.57</v>
      </c>
      <c r="FS304" s="89">
        <v>3782.9050000000002</v>
      </c>
      <c r="FT304" s="89"/>
      <c r="FU304" s="88">
        <f>FV304+FY304+FZ304</f>
        <v>6756.2</v>
      </c>
      <c r="FV304" s="89">
        <f>FW304+FX304</f>
        <v>1437.8</v>
      </c>
      <c r="FW304" s="89">
        <v>1330.2</v>
      </c>
      <c r="FX304" s="89">
        <v>107.6</v>
      </c>
      <c r="FY304" s="89">
        <v>5169.8999999999996</v>
      </c>
      <c r="FZ304" s="89">
        <v>148.5</v>
      </c>
      <c r="GA304" s="88">
        <v>17727.5</v>
      </c>
      <c r="GB304" s="89">
        <v>-31644.300000000003</v>
      </c>
      <c r="GC304" s="89"/>
      <c r="GD304" s="89"/>
      <c r="GE304" s="89">
        <v>49371.8</v>
      </c>
      <c r="GF304" s="89"/>
      <c r="GG304" s="88">
        <v>246398.96483720018</v>
      </c>
      <c r="GH304" s="89">
        <v>104418.22990267019</v>
      </c>
      <c r="GI304" s="89">
        <v>96046.03992037804</v>
      </c>
      <c r="GJ304" s="89">
        <v>8372.1899822921496</v>
      </c>
      <c r="GK304" s="89">
        <v>358220.78969554731</v>
      </c>
      <c r="GL304" s="89">
        <v>-216240.05476101744</v>
      </c>
      <c r="GM304" s="88">
        <v>1838409.2624328895</v>
      </c>
      <c r="GN304" s="89">
        <v>466788.41215205</v>
      </c>
      <c r="GO304" s="89">
        <v>333182.49110319995</v>
      </c>
      <c r="GP304" s="89">
        <v>133605.92104885005</v>
      </c>
      <c r="GQ304" s="89">
        <v>1221895.1162005293</v>
      </c>
      <c r="GR304" s="89">
        <v>149725.73408030998</v>
      </c>
    </row>
    <row r="305" spans="1:200">
      <c r="A305" s="93"/>
      <c r="B305" s="93" t="s">
        <v>490</v>
      </c>
      <c r="C305" s="88">
        <v>2554.94</v>
      </c>
      <c r="D305" s="89">
        <f t="shared" ref="D305:D323" si="22">E305+F305</f>
        <v>427.28</v>
      </c>
      <c r="E305" s="89">
        <v>502.42899999999997</v>
      </c>
      <c r="F305" s="89">
        <v>-75.149000000000001</v>
      </c>
      <c r="G305" s="89">
        <v>2127.66</v>
      </c>
      <c r="H305" s="89"/>
      <c r="I305" s="88">
        <v>1125888.2659999998</v>
      </c>
      <c r="J305" s="89">
        <v>1208393.6654081901</v>
      </c>
      <c r="K305" s="89"/>
      <c r="L305" s="89"/>
      <c r="M305" s="89">
        <v>648462.63399999996</v>
      </c>
      <c r="N305" s="89">
        <v>-731011.25640819001</v>
      </c>
      <c r="O305" s="88">
        <v>8846.5</v>
      </c>
      <c r="P305" s="89">
        <f t="shared" ref="P305:P321" si="23">Q305+R305</f>
        <v>2486.9</v>
      </c>
      <c r="Q305" s="89">
        <v>2014.9</v>
      </c>
      <c r="R305" s="89">
        <v>472</v>
      </c>
      <c r="S305" s="134">
        <v>6359.5</v>
      </c>
      <c r="T305" s="89"/>
      <c r="U305" s="88">
        <f t="shared" ref="U305:U320" si="24">V305+Y305</f>
        <v>8096.3821449999996</v>
      </c>
      <c r="V305" s="89">
        <f t="shared" ref="V305:V320" si="25">W305+X305</f>
        <v>2697.183145</v>
      </c>
      <c r="W305" s="89">
        <v>2178.9431450000002</v>
      </c>
      <c r="X305" s="89">
        <v>518.24</v>
      </c>
      <c r="Y305" s="89">
        <v>5399.1989999999996</v>
      </c>
      <c r="Z305" s="89"/>
      <c r="AA305" s="88">
        <v>1942.5029999999999</v>
      </c>
      <c r="AB305" s="89">
        <v>26.268999999999998</v>
      </c>
      <c r="AC305" s="89">
        <v>11.622999999999999</v>
      </c>
      <c r="AD305" s="89">
        <v>14.646000000000001</v>
      </c>
      <c r="AE305" s="89">
        <v>1916.2339999999999</v>
      </c>
      <c r="AF305" s="89"/>
      <c r="AG305" s="88">
        <f t="shared" ref="AG305:AG318" si="26">AH305+AK305</f>
        <v>126399.53641232458</v>
      </c>
      <c r="AH305" s="89">
        <v>27324.759614555755</v>
      </c>
      <c r="AI305" s="89">
        <v>10918.311981585752</v>
      </c>
      <c r="AJ305" s="89">
        <v>16406.447632970001</v>
      </c>
      <c r="AK305" s="89">
        <v>99074.77679776882</v>
      </c>
      <c r="AL305" s="89"/>
      <c r="AM305" s="88">
        <v>5979668</v>
      </c>
      <c r="AN305" s="89">
        <v>1646621</v>
      </c>
      <c r="AO305" s="89">
        <v>1465537</v>
      </c>
      <c r="AP305" s="89">
        <v>181084</v>
      </c>
      <c r="AQ305" s="89">
        <v>3819056</v>
      </c>
      <c r="AR305" s="89">
        <v>513991</v>
      </c>
      <c r="AS305" s="88">
        <v>93335260.223696992</v>
      </c>
      <c r="AT305" s="89">
        <v>-763661.85829100001</v>
      </c>
      <c r="AU305" s="89">
        <v>-763661.85829100001</v>
      </c>
      <c r="AV305" s="89"/>
      <c r="AW305" s="89">
        <v>118679914.53570201</v>
      </c>
      <c r="AX305" s="89">
        <v>-24580992.453713998</v>
      </c>
      <c r="AY305" s="88">
        <v>408697340.00138217</v>
      </c>
      <c r="AZ305" s="89">
        <f t="shared" si="19"/>
        <v>61440193.651072532</v>
      </c>
      <c r="BA305" s="89">
        <v>45488579.001752533</v>
      </c>
      <c r="BB305" s="89">
        <v>15951614.649319999</v>
      </c>
      <c r="BC305" s="89">
        <v>347257146.35030967</v>
      </c>
      <c r="BD305" s="89"/>
      <c r="BE305" s="88">
        <f t="shared" ref="BE305:BE324" si="27">BF305+BI305+BJ305</f>
        <v>17743436.414428152</v>
      </c>
      <c r="BF305" s="89">
        <f t="shared" ref="BF305:BF324" si="28">BG305+BH305</f>
        <v>1512399.8109677145</v>
      </c>
      <c r="BG305" s="89">
        <v>1330709.3</v>
      </c>
      <c r="BH305" s="89">
        <v>181690.51096771448</v>
      </c>
      <c r="BI305" s="89">
        <v>14803782.503460437</v>
      </c>
      <c r="BJ305" s="89">
        <v>1427254.1</v>
      </c>
      <c r="BK305" s="88">
        <v>723.48699999999997</v>
      </c>
      <c r="BL305" s="89">
        <f t="shared" ref="BL305:BL323" si="29">BM305+BN305</f>
        <v>-46.998000000000005</v>
      </c>
      <c r="BM305" s="89">
        <v>57.326999999999998</v>
      </c>
      <c r="BN305" s="89">
        <v>-104.325</v>
      </c>
      <c r="BO305" s="89">
        <v>770.48500000000001</v>
      </c>
      <c r="BP305" s="89"/>
      <c r="BQ305" s="88">
        <v>30318.721679000002</v>
      </c>
      <c r="BR305" s="89">
        <v>549.74955200000022</v>
      </c>
      <c r="BS305" s="89">
        <v>1510.2725630000004</v>
      </c>
      <c r="BT305" s="89">
        <v>-960.52301100000022</v>
      </c>
      <c r="BU305" s="89">
        <v>29768.972127000001</v>
      </c>
      <c r="BV305" s="89"/>
      <c r="BW305" s="88">
        <v>16346.556429220003</v>
      </c>
      <c r="BX305" s="89">
        <f t="shared" ref="BX305:BX323" si="30">BY305+BZ305</f>
        <v>7584.4738392699992</v>
      </c>
      <c r="BY305" s="89">
        <v>7264.0458763299994</v>
      </c>
      <c r="BZ305" s="89">
        <v>320.42796293999999</v>
      </c>
      <c r="CA305" s="89">
        <v>11116.699212090003</v>
      </c>
      <c r="CB305" s="89">
        <v>-2354.616622139999</v>
      </c>
      <c r="CC305" s="88">
        <v>1515.471</v>
      </c>
      <c r="CD305" s="89">
        <f t="shared" ref="CD305:CD323" si="31">CE305+CF305</f>
        <v>-95.700999999999993</v>
      </c>
      <c r="CE305" s="89">
        <v>28.048999999999999</v>
      </c>
      <c r="CF305" s="89">
        <v>-123.75</v>
      </c>
      <c r="CG305" s="89">
        <v>1611.172</v>
      </c>
      <c r="CH305" s="89"/>
      <c r="CI305" s="88">
        <v>175434.66866851592</v>
      </c>
      <c r="CJ305" s="89">
        <f t="shared" ref="CJ305:CJ324" si="32">CK305+CL305</f>
        <v>39175.498590035342</v>
      </c>
      <c r="CK305" s="89">
        <v>38384.398590035344</v>
      </c>
      <c r="CL305" s="89">
        <v>791.1</v>
      </c>
      <c r="CM305" s="89">
        <v>152210.9</v>
      </c>
      <c r="CN305" s="89">
        <v>-15951.8</v>
      </c>
      <c r="CO305" s="88">
        <v>155639.29999999999</v>
      </c>
      <c r="CP305" s="89">
        <v>-22435.899999999994</v>
      </c>
      <c r="CQ305" s="89">
        <v>36271.800000000003</v>
      </c>
      <c r="CR305" s="89">
        <f t="shared" ref="CR305:CR323" si="33">CP305-CQ305</f>
        <v>-58707.7</v>
      </c>
      <c r="CS305" s="89">
        <v>200867.9</v>
      </c>
      <c r="CT305" s="89">
        <v>-23422.7</v>
      </c>
      <c r="CU305" s="88">
        <f t="shared" ref="CU305:CU321" si="34">CV305+CY305</f>
        <v>102956.32362542584</v>
      </c>
      <c r="CV305" s="89">
        <v>15479.750571657154</v>
      </c>
      <c r="CW305" s="89">
        <v>18428.028257957547</v>
      </c>
      <c r="CX305" s="89">
        <v>-2948.2776863003942</v>
      </c>
      <c r="CY305" s="89">
        <v>87476.57305376869</v>
      </c>
      <c r="CZ305" s="89"/>
      <c r="DA305" s="88">
        <v>160093.75994359335</v>
      </c>
      <c r="DB305" s="89">
        <f t="shared" ref="DB305:DB323" si="35">DC305+DD305</f>
        <v>12968.240025470144</v>
      </c>
      <c r="DC305" s="89">
        <v>-436.45018205117231</v>
      </c>
      <c r="DD305" s="89">
        <v>13404.690207521317</v>
      </c>
      <c r="DE305" s="89">
        <v>233637.49545253557</v>
      </c>
      <c r="DF305" s="89">
        <v>-86511.975534412355</v>
      </c>
      <c r="DG305" s="88">
        <v>487202.55001388525</v>
      </c>
      <c r="DH305" s="89">
        <v>188738.12901388522</v>
      </c>
      <c r="DI305" s="89"/>
      <c r="DJ305" s="89"/>
      <c r="DK305" s="89">
        <v>334398.451</v>
      </c>
      <c r="DL305" s="89">
        <v>-35934.03</v>
      </c>
      <c r="DM305" s="88">
        <v>8779600</v>
      </c>
      <c r="DN305" s="89">
        <f t="shared" si="21"/>
        <v>3330957</v>
      </c>
      <c r="DO305" s="89">
        <v>2531160</v>
      </c>
      <c r="DP305" s="89">
        <v>799797</v>
      </c>
      <c r="DQ305" s="89">
        <v>5448640</v>
      </c>
      <c r="DR305" s="89"/>
      <c r="DS305" s="88">
        <v>110533.37300112381</v>
      </c>
      <c r="DT305" s="89">
        <f t="shared" ref="DT305:DT323" si="36">DU305+DV305</f>
        <v>40680.18107280993</v>
      </c>
      <c r="DU305" s="89">
        <v>39343.55945024993</v>
      </c>
      <c r="DV305" s="89">
        <v>1336.6216225599999</v>
      </c>
      <c r="DW305" s="89">
        <v>106512.05404193925</v>
      </c>
      <c r="DX305" s="89">
        <v>-36658.300982625369</v>
      </c>
      <c r="DY305" s="88">
        <v>11863.589556999999</v>
      </c>
      <c r="DZ305" s="89">
        <f t="shared" si="18"/>
        <v>-831.03344300000003</v>
      </c>
      <c r="EA305" s="89">
        <v>1144.5790849999998</v>
      </c>
      <c r="EB305" s="89">
        <v>-1975.6125279999999</v>
      </c>
      <c r="EC305" s="89">
        <v>12299.358</v>
      </c>
      <c r="ED305" s="89"/>
      <c r="EE305" s="88">
        <v>28943.085787589996</v>
      </c>
      <c r="EF305" s="89">
        <f t="shared" ref="EF305:EF323" si="37">EG305+EH305</f>
        <v>-3360.1828932899984</v>
      </c>
      <c r="EG305" s="89">
        <v>-3494.8976620799986</v>
      </c>
      <c r="EH305" s="89">
        <v>134.71476879000002</v>
      </c>
      <c r="EI305" s="89">
        <v>41497.570299159997</v>
      </c>
      <c r="EJ305" s="89">
        <v>-9194.3016182800002</v>
      </c>
      <c r="EK305" s="88">
        <v>44018796</v>
      </c>
      <c r="EL305" s="89">
        <v>-13717800</v>
      </c>
      <c r="EM305" s="89">
        <v>-11890796</v>
      </c>
      <c r="EN305" s="89">
        <v>-1827004</v>
      </c>
      <c r="EO305" s="89">
        <v>59764433</v>
      </c>
      <c r="EP305" s="89">
        <v>-2027837</v>
      </c>
      <c r="EQ305" s="88">
        <v>144121.85963648002</v>
      </c>
      <c r="ER305" s="89">
        <v>-50473.176200909998</v>
      </c>
      <c r="ES305" s="89"/>
      <c r="ET305" s="89"/>
      <c r="EU305" s="89">
        <v>274405.55832393002</v>
      </c>
      <c r="EV305" s="89">
        <v>-79810.522486539994</v>
      </c>
      <c r="EW305" s="88">
        <v>1167697.1176066825</v>
      </c>
      <c r="EX305" s="89">
        <f t="shared" si="20"/>
        <v>696747.39120629011</v>
      </c>
      <c r="EY305" s="89">
        <v>673173.73146394012</v>
      </c>
      <c r="EZ305" s="89">
        <v>23573.659742350002</v>
      </c>
      <c r="FA305" s="89">
        <v>719169.68710480002</v>
      </c>
      <c r="FB305" s="89">
        <v>-248219.96070440742</v>
      </c>
      <c r="FC305" s="88">
        <v>968.10599999999999</v>
      </c>
      <c r="FD305" s="89">
        <f t="shared" ref="FD305:FD323" si="38">FE305+FF305</f>
        <v>-417.06599999999997</v>
      </c>
      <c r="FE305" s="89">
        <v>445.05</v>
      </c>
      <c r="FF305" s="89">
        <v>-862.11599999999999</v>
      </c>
      <c r="FG305" s="89">
        <v>1385.172</v>
      </c>
      <c r="FH305" s="89"/>
      <c r="FI305" s="88">
        <v>1061.828</v>
      </c>
      <c r="FJ305" s="89">
        <f t="shared" ref="FJ305:FJ323" si="39">FK305+FL305</f>
        <v>15.393999999999991</v>
      </c>
      <c r="FK305" s="89">
        <v>116.702</v>
      </c>
      <c r="FL305" s="89">
        <v>-101.30800000000001</v>
      </c>
      <c r="FM305" s="89">
        <v>1046.434</v>
      </c>
      <c r="FN305" s="89"/>
      <c r="FO305" s="88">
        <v>3507.1019999999999</v>
      </c>
      <c r="FP305" s="89">
        <f t="shared" ref="FP305:FP323" si="40">FQ305+FR305</f>
        <v>-261.577</v>
      </c>
      <c r="FQ305" s="89">
        <v>217.93100000000001</v>
      </c>
      <c r="FR305" s="89">
        <v>-479.50799999999998</v>
      </c>
      <c r="FS305" s="89">
        <v>3768.6790000000001</v>
      </c>
      <c r="FT305" s="89"/>
      <c r="FU305" s="88">
        <f t="shared" ref="FU305:FU323" si="41">FV305+FY305+FZ305</f>
        <v>6876.6999999999989</v>
      </c>
      <c r="FV305" s="89">
        <f t="shared" ref="FV305:FV323" si="42">FW305+FX305</f>
        <v>1504.8999999999999</v>
      </c>
      <c r="FW305" s="89">
        <v>1400.1</v>
      </c>
      <c r="FX305" s="89">
        <v>104.8</v>
      </c>
      <c r="FY305" s="89">
        <v>5222.3999999999996</v>
      </c>
      <c r="FZ305" s="89">
        <v>149.4</v>
      </c>
      <c r="GA305" s="88">
        <v>16677.900000000001</v>
      </c>
      <c r="GB305" s="89">
        <v>-32845.4</v>
      </c>
      <c r="GC305" s="89"/>
      <c r="GD305" s="89"/>
      <c r="GE305" s="89">
        <v>49523.3</v>
      </c>
      <c r="GF305" s="89"/>
      <c r="GG305" s="88">
        <v>227001.019533274</v>
      </c>
      <c r="GH305" s="89">
        <v>81186.568039007194</v>
      </c>
      <c r="GI305" s="89">
        <v>74967.252193663197</v>
      </c>
      <c r="GJ305" s="89">
        <v>6219.3158453439992</v>
      </c>
      <c r="GK305" s="89">
        <v>362035.6449333824</v>
      </c>
      <c r="GL305" s="89">
        <v>-216221.19343911557</v>
      </c>
      <c r="GM305" s="88">
        <v>1881559.39392027</v>
      </c>
      <c r="GN305" s="89">
        <v>465968.35986720008</v>
      </c>
      <c r="GO305" s="89">
        <v>332297.48243562004</v>
      </c>
      <c r="GP305" s="89">
        <v>133670.87743158004</v>
      </c>
      <c r="GQ305" s="89">
        <v>1268784.5902987299</v>
      </c>
      <c r="GR305" s="89">
        <v>146806.44375434003</v>
      </c>
    </row>
    <row r="306" spans="1:200">
      <c r="A306" s="93"/>
      <c r="B306" s="93" t="s">
        <v>491</v>
      </c>
      <c r="C306" s="88">
        <v>2568.7530000000002</v>
      </c>
      <c r="D306" s="89">
        <f t="shared" si="22"/>
        <v>452.44</v>
      </c>
      <c r="E306" s="89">
        <v>504.84199999999998</v>
      </c>
      <c r="F306" s="89">
        <v>-52.402000000000001</v>
      </c>
      <c r="G306" s="89">
        <v>2116.3130000000001</v>
      </c>
      <c r="H306" s="89"/>
      <c r="I306" s="88">
        <v>1151243.8999999999</v>
      </c>
      <c r="J306" s="89">
        <v>1244926.21959286</v>
      </c>
      <c r="K306" s="89"/>
      <c r="L306" s="89"/>
      <c r="M306" s="89">
        <v>664657.73100000003</v>
      </c>
      <c r="N306" s="89">
        <v>-758340.06659286004</v>
      </c>
      <c r="O306" s="88">
        <v>8833</v>
      </c>
      <c r="P306" s="89">
        <f t="shared" si="23"/>
        <v>2503</v>
      </c>
      <c r="Q306" s="89">
        <v>2013.4</v>
      </c>
      <c r="R306" s="89">
        <v>489.6</v>
      </c>
      <c r="S306" s="89">
        <v>6330</v>
      </c>
      <c r="T306" s="89"/>
      <c r="U306" s="88">
        <f t="shared" si="24"/>
        <v>8069.1663050000006</v>
      </c>
      <c r="V306" s="89">
        <f t="shared" si="25"/>
        <v>2632.6063050000002</v>
      </c>
      <c r="W306" s="89">
        <v>2123.413305</v>
      </c>
      <c r="X306" s="89">
        <v>509.19299999999998</v>
      </c>
      <c r="Y306" s="89">
        <v>5436.56</v>
      </c>
      <c r="Z306" s="89"/>
      <c r="AA306" s="88">
        <v>1947.3969999999999</v>
      </c>
      <c r="AB306" s="89">
        <v>38.893999999999998</v>
      </c>
      <c r="AC306" s="89">
        <v>25.541</v>
      </c>
      <c r="AD306" s="89">
        <v>13.353</v>
      </c>
      <c r="AE306" s="89">
        <v>1908.5029999999999</v>
      </c>
      <c r="AF306" s="89"/>
      <c r="AG306" s="88">
        <f t="shared" si="26"/>
        <v>128739.29174059509</v>
      </c>
      <c r="AH306" s="89">
        <v>28404.98861353565</v>
      </c>
      <c r="AI306" s="89">
        <v>11433.894967955655</v>
      </c>
      <c r="AJ306" s="89">
        <v>16971.093645579997</v>
      </c>
      <c r="AK306" s="89">
        <v>100334.30312705944</v>
      </c>
      <c r="AL306" s="89"/>
      <c r="AM306" s="88">
        <v>5980957</v>
      </c>
      <c r="AN306" s="89">
        <v>1643882</v>
      </c>
      <c r="AO306" s="89">
        <v>1426874</v>
      </c>
      <c r="AP306" s="89">
        <v>217008</v>
      </c>
      <c r="AQ306" s="89">
        <v>3849630</v>
      </c>
      <c r="AR306" s="89">
        <v>487444</v>
      </c>
      <c r="AS306" s="88">
        <v>94608680.605144992</v>
      </c>
      <c r="AT306" s="89">
        <v>-894250.13462899998</v>
      </c>
      <c r="AU306" s="89">
        <v>-894250.13462899998</v>
      </c>
      <c r="AV306" s="89"/>
      <c r="AW306" s="89">
        <v>119343216.605092</v>
      </c>
      <c r="AX306" s="89">
        <v>-23840285.865318</v>
      </c>
      <c r="AY306" s="88">
        <v>413451067.55537289</v>
      </c>
      <c r="AZ306" s="89">
        <f t="shared" si="19"/>
        <v>64853105.856564134</v>
      </c>
      <c r="BA306" s="89">
        <v>49335168.636814132</v>
      </c>
      <c r="BB306" s="89">
        <v>15517937.219749998</v>
      </c>
      <c r="BC306" s="89">
        <v>348597961.69880879</v>
      </c>
      <c r="BD306" s="89"/>
      <c r="BE306" s="88">
        <f t="shared" si="27"/>
        <v>14552462.259583442</v>
      </c>
      <c r="BF306" s="89">
        <f t="shared" si="28"/>
        <v>1043136.4461926144</v>
      </c>
      <c r="BG306" s="89">
        <v>858230.4</v>
      </c>
      <c r="BH306" s="89">
        <v>184906.04619261436</v>
      </c>
      <c r="BI306" s="89">
        <v>14933009.613390828</v>
      </c>
      <c r="BJ306" s="89">
        <v>-1423683.8</v>
      </c>
      <c r="BK306" s="88">
        <v>726.63599999999997</v>
      </c>
      <c r="BL306" s="89">
        <f t="shared" si="29"/>
        <v>-42.037999999999997</v>
      </c>
      <c r="BM306" s="89">
        <v>61.406999999999996</v>
      </c>
      <c r="BN306" s="89">
        <v>-103.44499999999999</v>
      </c>
      <c r="BO306" s="89">
        <v>768.67399999999998</v>
      </c>
      <c r="BP306" s="89"/>
      <c r="BQ306" s="88">
        <v>30427.180641000003</v>
      </c>
      <c r="BR306" s="89">
        <v>586.47982199999967</v>
      </c>
      <c r="BS306" s="89">
        <v>1495.3635479999998</v>
      </c>
      <c r="BT306" s="89">
        <v>-908.88372600000014</v>
      </c>
      <c r="BU306" s="89">
        <v>29840.700819000002</v>
      </c>
      <c r="BV306" s="89"/>
      <c r="BW306" s="88">
        <v>16471.228415800004</v>
      </c>
      <c r="BX306" s="89">
        <f t="shared" si="30"/>
        <v>7671.801577832297</v>
      </c>
      <c r="BY306" s="89">
        <v>7347.3710235722974</v>
      </c>
      <c r="BZ306" s="89">
        <v>324.43055426000001</v>
      </c>
      <c r="CA306" s="89">
        <v>11146.914247690002</v>
      </c>
      <c r="CB306" s="89">
        <v>-2347.4874097222946</v>
      </c>
      <c r="CC306" s="88">
        <v>1491.9359999999999</v>
      </c>
      <c r="CD306" s="89">
        <f t="shared" si="31"/>
        <v>-108.39</v>
      </c>
      <c r="CE306" s="89">
        <v>16.760999999999999</v>
      </c>
      <c r="CF306" s="89">
        <v>-125.151</v>
      </c>
      <c r="CG306" s="89">
        <v>1600.326</v>
      </c>
      <c r="CH306" s="89"/>
      <c r="CI306" s="88">
        <v>178139.87162165844</v>
      </c>
      <c r="CJ306" s="89">
        <f t="shared" si="32"/>
        <v>38859.454221044209</v>
      </c>
      <c r="CK306" s="89">
        <v>38100.454221044209</v>
      </c>
      <c r="CL306" s="89">
        <v>759</v>
      </c>
      <c r="CM306" s="89">
        <v>153836.40000000002</v>
      </c>
      <c r="CN306" s="89">
        <v>-14556</v>
      </c>
      <c r="CO306" s="88">
        <v>156901</v>
      </c>
      <c r="CP306" s="89">
        <v>-22443.299999999996</v>
      </c>
      <c r="CQ306" s="89">
        <v>34463.800000000003</v>
      </c>
      <c r="CR306" s="89">
        <f t="shared" si="33"/>
        <v>-56907.1</v>
      </c>
      <c r="CS306" s="89">
        <v>201924.7</v>
      </c>
      <c r="CT306" s="89">
        <v>-22580.5</v>
      </c>
      <c r="CU306" s="88">
        <f t="shared" si="34"/>
        <v>100952.4539830674</v>
      </c>
      <c r="CV306" s="89">
        <v>13790.128388082392</v>
      </c>
      <c r="CW306" s="89">
        <v>16809.545844985307</v>
      </c>
      <c r="CX306" s="89">
        <v>-3019.4174569029151</v>
      </c>
      <c r="CY306" s="89">
        <v>87162.325594985014</v>
      </c>
      <c r="CZ306" s="89"/>
      <c r="DA306" s="88">
        <v>163010.43976732428</v>
      </c>
      <c r="DB306" s="89">
        <f t="shared" si="35"/>
        <v>14746.235878938045</v>
      </c>
      <c r="DC306" s="89">
        <v>1374.747732845608</v>
      </c>
      <c r="DD306" s="89">
        <v>13371.488146092437</v>
      </c>
      <c r="DE306" s="89">
        <v>235223.43434510764</v>
      </c>
      <c r="DF306" s="89">
        <v>-86959.230456721416</v>
      </c>
      <c r="DG306" s="88">
        <v>452735.16334999999</v>
      </c>
      <c r="DH306" s="89">
        <v>153989.83134999999</v>
      </c>
      <c r="DI306" s="89"/>
      <c r="DJ306" s="89"/>
      <c r="DK306" s="89">
        <v>332191.27299999999</v>
      </c>
      <c r="DL306" s="89">
        <v>-33445.940999999999</v>
      </c>
      <c r="DM306" s="88">
        <v>8910870</v>
      </c>
      <c r="DN306" s="89">
        <f t="shared" si="21"/>
        <v>3406668</v>
      </c>
      <c r="DO306" s="89">
        <v>2616750</v>
      </c>
      <c r="DP306" s="89">
        <v>789918</v>
      </c>
      <c r="DQ306" s="89">
        <v>5504200</v>
      </c>
      <c r="DR306" s="89"/>
      <c r="DS306" s="88">
        <v>110690.37379071448</v>
      </c>
      <c r="DT306" s="89">
        <f t="shared" si="36"/>
        <v>39244.657539088847</v>
      </c>
      <c r="DU306" s="89">
        <v>37889.284195058848</v>
      </c>
      <c r="DV306" s="89">
        <v>1355.3733440299998</v>
      </c>
      <c r="DW306" s="89">
        <v>107489.61042708543</v>
      </c>
      <c r="DX306" s="89">
        <v>-36043.333044459774</v>
      </c>
      <c r="DY306" s="88">
        <v>11823.138999999999</v>
      </c>
      <c r="DZ306" s="89">
        <f t="shared" si="18"/>
        <v>-831.75599999999986</v>
      </c>
      <c r="EA306" s="89">
        <v>1125.17</v>
      </c>
      <c r="EB306" s="89">
        <v>-1956.9259999999999</v>
      </c>
      <c r="EC306" s="89">
        <v>12254.201999999999</v>
      </c>
      <c r="ED306" s="89"/>
      <c r="EE306" s="88">
        <v>28487.787422059992</v>
      </c>
      <c r="EF306" s="89">
        <f t="shared" si="37"/>
        <v>-4221.7114980600008</v>
      </c>
      <c r="EG306" s="89">
        <v>-4354.6969240700009</v>
      </c>
      <c r="EH306" s="89">
        <v>132.98542601000003</v>
      </c>
      <c r="EI306" s="89">
        <v>41917.800853159992</v>
      </c>
      <c r="EJ306" s="89">
        <v>-9208.3019330399984</v>
      </c>
      <c r="EK306" s="88">
        <v>44939088</v>
      </c>
      <c r="EL306" s="89">
        <v>-13738531</v>
      </c>
      <c r="EM306" s="89">
        <v>-11871881</v>
      </c>
      <c r="EN306" s="89">
        <v>-1866650</v>
      </c>
      <c r="EO306" s="89">
        <v>60708092</v>
      </c>
      <c r="EP306" s="89">
        <v>-2030473</v>
      </c>
      <c r="EQ306" s="88">
        <v>143635.20892569996</v>
      </c>
      <c r="ER306" s="89">
        <v>-54185.601626400006</v>
      </c>
      <c r="ES306" s="89"/>
      <c r="ET306" s="89"/>
      <c r="EU306" s="89">
        <v>276794.6276756</v>
      </c>
      <c r="EV306" s="89">
        <v>-78973.817123500048</v>
      </c>
      <c r="EW306" s="88">
        <v>1188910.1892582173</v>
      </c>
      <c r="EX306" s="89">
        <f t="shared" si="20"/>
        <v>715321.96118639002</v>
      </c>
      <c r="EY306" s="89">
        <v>691885.7912795</v>
      </c>
      <c r="EZ306" s="89">
        <v>23436.169906889998</v>
      </c>
      <c r="FA306" s="89">
        <v>723195.16158745997</v>
      </c>
      <c r="FB306" s="89">
        <v>-249606.9335156327</v>
      </c>
      <c r="FC306" s="88">
        <v>946.74199999999996</v>
      </c>
      <c r="FD306" s="89">
        <f t="shared" si="38"/>
        <v>-449.99399999999997</v>
      </c>
      <c r="FE306" s="89">
        <v>424.017</v>
      </c>
      <c r="FF306" s="89">
        <v>-874.01099999999997</v>
      </c>
      <c r="FG306" s="89">
        <v>1396.7360000000001</v>
      </c>
      <c r="FH306" s="89"/>
      <c r="FI306" s="88">
        <v>1063.6510000000001</v>
      </c>
      <c r="FJ306" s="89">
        <f t="shared" si="39"/>
        <v>18.950999999999993</v>
      </c>
      <c r="FK306" s="89">
        <v>126.624</v>
      </c>
      <c r="FL306" s="89">
        <v>-107.673</v>
      </c>
      <c r="FM306" s="89">
        <v>1044.7</v>
      </c>
      <c r="FN306" s="89"/>
      <c r="FO306" s="88">
        <v>3475.8510000000001</v>
      </c>
      <c r="FP306" s="89">
        <f t="shared" si="40"/>
        <v>-268.45600000000002</v>
      </c>
      <c r="FQ306" s="89">
        <v>198.99299999999999</v>
      </c>
      <c r="FR306" s="89">
        <v>-467.44900000000001</v>
      </c>
      <c r="FS306" s="89">
        <v>3744.3069999999998</v>
      </c>
      <c r="FT306" s="89"/>
      <c r="FU306" s="88">
        <f t="shared" si="41"/>
        <v>6847.4000000000005</v>
      </c>
      <c r="FV306" s="89">
        <f t="shared" si="42"/>
        <v>1453.3</v>
      </c>
      <c r="FW306" s="89">
        <v>1346.5</v>
      </c>
      <c r="FX306" s="89">
        <v>106.8</v>
      </c>
      <c r="FY306" s="89">
        <v>5234.3</v>
      </c>
      <c r="FZ306" s="89">
        <v>159.80000000000001</v>
      </c>
      <c r="GA306" s="88">
        <v>21409</v>
      </c>
      <c r="GB306" s="89">
        <v>-28224.300000000003</v>
      </c>
      <c r="GC306" s="89"/>
      <c r="GD306" s="89"/>
      <c r="GE306" s="89">
        <v>49633.3</v>
      </c>
      <c r="GF306" s="89"/>
      <c r="GG306" s="88">
        <v>243544.40889034473</v>
      </c>
      <c r="GH306" s="89">
        <v>90027.808433303901</v>
      </c>
      <c r="GI306" s="89">
        <v>87312.479172821681</v>
      </c>
      <c r="GJ306" s="89">
        <v>2715.3292604822209</v>
      </c>
      <c r="GK306" s="89">
        <v>376212.85284389282</v>
      </c>
      <c r="GL306" s="89">
        <v>-222696.25238685193</v>
      </c>
      <c r="GM306" s="88">
        <v>1993943.54668858</v>
      </c>
      <c r="GN306" s="89">
        <v>489382.5830337301</v>
      </c>
      <c r="GO306" s="89">
        <v>341023.96359045</v>
      </c>
      <c r="GP306" s="89">
        <v>148358.6194432801</v>
      </c>
      <c r="GQ306" s="89">
        <v>1351187.7187115299</v>
      </c>
      <c r="GR306" s="89">
        <v>153373.24494331997</v>
      </c>
    </row>
    <row r="307" spans="1:200">
      <c r="B307" s="93" t="s">
        <v>492</v>
      </c>
      <c r="C307" s="88">
        <v>2516.6759999999999</v>
      </c>
      <c r="D307" s="89">
        <f t="shared" si="22"/>
        <v>409.44399999999996</v>
      </c>
      <c r="E307" s="89">
        <v>469.92599999999999</v>
      </c>
      <c r="F307" s="89">
        <v>-60.481999999999999</v>
      </c>
      <c r="G307" s="89">
        <v>2107.232</v>
      </c>
      <c r="H307" s="128"/>
      <c r="I307" s="88">
        <v>1161729.5870000001</v>
      </c>
      <c r="J307" s="89">
        <v>1243289.83098826</v>
      </c>
      <c r="K307" s="89"/>
      <c r="L307" s="89"/>
      <c r="M307" s="89">
        <v>674444.89599999995</v>
      </c>
      <c r="N307" s="89">
        <v>-756004.68398825999</v>
      </c>
      <c r="O307" s="88">
        <v>8779.1</v>
      </c>
      <c r="P307" s="89">
        <f t="shared" si="23"/>
        <v>2474.1999999999998</v>
      </c>
      <c r="Q307" s="89">
        <v>1976.7</v>
      </c>
      <c r="R307" s="89">
        <v>497.5</v>
      </c>
      <c r="S307" s="89">
        <v>6304.9</v>
      </c>
      <c r="T307" s="89"/>
      <c r="U307" s="88">
        <f t="shared" si="24"/>
        <v>8111.3899819999988</v>
      </c>
      <c r="V307" s="89">
        <f t="shared" si="25"/>
        <v>2709.8969819999998</v>
      </c>
      <c r="W307" s="89">
        <v>2212.6599819999997</v>
      </c>
      <c r="X307" s="89">
        <v>497.23700000000002</v>
      </c>
      <c r="Y307" s="89">
        <v>5401.4929999999995</v>
      </c>
      <c r="Z307" s="89"/>
      <c r="AA307" s="88">
        <v>1950.98224523</v>
      </c>
      <c r="AB307" s="89">
        <v>29.517254520000073</v>
      </c>
      <c r="AC307" s="89">
        <v>16.454254520000074</v>
      </c>
      <c r="AD307" s="89">
        <v>13.063000000000001</v>
      </c>
      <c r="AE307" s="89">
        <v>1921.4649907099999</v>
      </c>
      <c r="AF307" s="89"/>
      <c r="AG307" s="88">
        <f t="shared" si="26"/>
        <v>131118.96907053969</v>
      </c>
      <c r="AH307" s="89">
        <v>28627.802434288176</v>
      </c>
      <c r="AI307" s="89">
        <v>11383.871468048181</v>
      </c>
      <c r="AJ307" s="89">
        <v>17243.930966239997</v>
      </c>
      <c r="AK307" s="89">
        <v>102491.16663625152</v>
      </c>
      <c r="AL307" s="89"/>
      <c r="AM307" s="88">
        <v>6059890</v>
      </c>
      <c r="AN307" s="89">
        <v>1688985</v>
      </c>
      <c r="AO307" s="89">
        <v>1469574</v>
      </c>
      <c r="AP307" s="89">
        <v>219411</v>
      </c>
      <c r="AQ307" s="89">
        <v>3876493</v>
      </c>
      <c r="AR307" s="89">
        <v>494412</v>
      </c>
      <c r="AS307" s="88">
        <v>95031855.914096996</v>
      </c>
      <c r="AT307" s="89">
        <v>-1277334.1533580001</v>
      </c>
      <c r="AU307" s="89">
        <v>-1277334.1533580001</v>
      </c>
      <c r="AV307" s="89"/>
      <c r="AW307" s="89">
        <v>119958592.35423899</v>
      </c>
      <c r="AX307" s="89">
        <v>-23649402.286784001</v>
      </c>
      <c r="AY307" s="88">
        <v>414602246.00323743</v>
      </c>
      <c r="AZ307" s="89">
        <f t="shared" si="19"/>
        <v>66185862.413412727</v>
      </c>
      <c r="BA307" s="89">
        <v>50785634.737292722</v>
      </c>
      <c r="BB307" s="89">
        <v>15400227.676120004</v>
      </c>
      <c r="BC307" s="89">
        <v>348416383.58982474</v>
      </c>
      <c r="BD307" s="89"/>
      <c r="BE307" s="88">
        <f t="shared" si="27"/>
        <v>14745777.4</v>
      </c>
      <c r="BF307" s="89">
        <f t="shared" si="28"/>
        <v>1028788.4</v>
      </c>
      <c r="BG307" s="89">
        <v>845194.5</v>
      </c>
      <c r="BH307" s="89">
        <v>183593.9</v>
      </c>
      <c r="BI307" s="89">
        <v>15042366.9</v>
      </c>
      <c r="BJ307" s="89">
        <v>-1325377.8999999999</v>
      </c>
      <c r="BK307" s="88">
        <v>726.697</v>
      </c>
      <c r="BL307" s="89">
        <f t="shared" si="29"/>
        <v>-39.968999999999994</v>
      </c>
      <c r="BM307" s="89">
        <v>67.61</v>
      </c>
      <c r="BN307" s="89">
        <v>-107.57899999999999</v>
      </c>
      <c r="BO307" s="89">
        <v>766.66600000000005</v>
      </c>
      <c r="BP307" s="89"/>
      <c r="BQ307" s="88">
        <v>30284.219985</v>
      </c>
      <c r="BR307" s="89">
        <v>341.7823750000008</v>
      </c>
      <c r="BS307" s="89">
        <v>1280.8299810000008</v>
      </c>
      <c r="BT307" s="89">
        <v>-939.04760599999997</v>
      </c>
      <c r="BU307" s="89">
        <v>29942.437610000001</v>
      </c>
      <c r="BV307" s="89"/>
      <c r="BW307" s="88">
        <v>16410.84016426</v>
      </c>
      <c r="BX307" s="89">
        <f t="shared" si="30"/>
        <v>7448.6739171798317</v>
      </c>
      <c r="BY307" s="89">
        <v>7135.2198757398319</v>
      </c>
      <c r="BZ307" s="89">
        <v>313.45404143999997</v>
      </c>
      <c r="CA307" s="89">
        <v>11194.437121069999</v>
      </c>
      <c r="CB307" s="89">
        <v>-2232.2708739898317</v>
      </c>
      <c r="CC307" s="88">
        <v>1486.1120000000001</v>
      </c>
      <c r="CD307" s="89">
        <f t="shared" si="31"/>
        <v>-110.84099999999998</v>
      </c>
      <c r="CE307" s="89">
        <v>27.722000000000001</v>
      </c>
      <c r="CF307" s="89">
        <v>-138.56299999999999</v>
      </c>
      <c r="CG307" s="89">
        <v>1596.953</v>
      </c>
      <c r="CH307" s="89"/>
      <c r="CI307" s="88">
        <v>178652.98196881497</v>
      </c>
      <c r="CJ307" s="89">
        <f t="shared" si="32"/>
        <v>38268.128510585717</v>
      </c>
      <c r="CK307" s="89">
        <v>37541.528510585718</v>
      </c>
      <c r="CL307" s="89">
        <v>726.6</v>
      </c>
      <c r="CM307" s="89">
        <v>155492.9</v>
      </c>
      <c r="CN307" s="89">
        <v>-15108.3</v>
      </c>
      <c r="CO307" s="88">
        <v>157432.79999999999</v>
      </c>
      <c r="CP307" s="89">
        <v>-24137.199999999997</v>
      </c>
      <c r="CQ307" s="89">
        <v>32957.5</v>
      </c>
      <c r="CR307" s="89">
        <f t="shared" si="33"/>
        <v>-57094.7</v>
      </c>
      <c r="CS307" s="89">
        <v>203019.5</v>
      </c>
      <c r="CT307" s="89">
        <v>-21449.4</v>
      </c>
      <c r="CU307" s="88">
        <f t="shared" si="34"/>
        <v>102220.59768067692</v>
      </c>
      <c r="CV307" s="89">
        <v>15951.339653528139</v>
      </c>
      <c r="CW307" s="89">
        <v>18114.288561068071</v>
      </c>
      <c r="CX307" s="89">
        <v>-2162.9489075399347</v>
      </c>
      <c r="CY307" s="89">
        <v>86269.258027148782</v>
      </c>
      <c r="CZ307" s="89"/>
      <c r="DA307" s="88">
        <v>158905.55466296128</v>
      </c>
      <c r="DB307" s="89">
        <f t="shared" si="35"/>
        <v>10200.41724582556</v>
      </c>
      <c r="DC307" s="89">
        <v>-2921.464694279086</v>
      </c>
      <c r="DD307" s="89">
        <v>13121.881940104646</v>
      </c>
      <c r="DE307" s="89">
        <v>236939.26961549104</v>
      </c>
      <c r="DF307" s="89">
        <v>-88234.13219835535</v>
      </c>
      <c r="DG307" s="88">
        <v>447493.32807999995</v>
      </c>
      <c r="DH307" s="89">
        <v>150963.34907999999</v>
      </c>
      <c r="DI307" s="89"/>
      <c r="DJ307" s="89"/>
      <c r="DK307" s="89">
        <v>335338.36300000001</v>
      </c>
      <c r="DL307" s="89">
        <v>-38808.383999999998</v>
      </c>
      <c r="DM307" s="88">
        <v>8904600</v>
      </c>
      <c r="DN307" s="89">
        <f t="shared" si="21"/>
        <v>3343641</v>
      </c>
      <c r="DO307" s="89">
        <v>2555320</v>
      </c>
      <c r="DP307" s="89">
        <v>788321</v>
      </c>
      <c r="DQ307" s="89">
        <v>5560950</v>
      </c>
      <c r="DR307" s="89"/>
      <c r="DS307" s="88">
        <v>110937.30056393615</v>
      </c>
      <c r="DT307" s="89">
        <f t="shared" si="36"/>
        <v>37718.505321259916</v>
      </c>
      <c r="DU307" s="89">
        <v>36360.256686029919</v>
      </c>
      <c r="DV307" s="89">
        <v>1358.24863523</v>
      </c>
      <c r="DW307" s="89">
        <v>108338.2826353111</v>
      </c>
      <c r="DX307" s="89">
        <v>-35617.255157944841</v>
      </c>
      <c r="DY307" s="88">
        <v>11718.663270999999</v>
      </c>
      <c r="DZ307" s="89">
        <f t="shared" si="18"/>
        <v>-920.41972899999996</v>
      </c>
      <c r="EA307" s="89">
        <v>1086.21766</v>
      </c>
      <c r="EB307" s="89">
        <v>-2006.637389</v>
      </c>
      <c r="EC307" s="89">
        <v>12243.156999999999</v>
      </c>
      <c r="ED307" s="89"/>
      <c r="EE307" s="88">
        <v>28746.424456989997</v>
      </c>
      <c r="EF307" s="89">
        <f t="shared" si="37"/>
        <v>-4071.2727287999992</v>
      </c>
      <c r="EG307" s="89">
        <v>-4211.7188716699993</v>
      </c>
      <c r="EH307" s="89">
        <v>140.44614287000002</v>
      </c>
      <c r="EI307" s="89">
        <v>42205.402141469996</v>
      </c>
      <c r="EJ307" s="89">
        <v>-9387.7049556799975</v>
      </c>
      <c r="EK307" s="88">
        <v>44101579</v>
      </c>
      <c r="EL307" s="89">
        <v>-15775428</v>
      </c>
      <c r="EM307" s="89">
        <v>-13885967</v>
      </c>
      <c r="EN307" s="89">
        <v>-1889461</v>
      </c>
      <c r="EO307" s="89">
        <v>61945200</v>
      </c>
      <c r="EP307" s="89">
        <v>-2068193</v>
      </c>
      <c r="EQ307" s="88">
        <v>143440.86133161996</v>
      </c>
      <c r="ER307" s="89">
        <v>-57045.962050669994</v>
      </c>
      <c r="ES307" s="89"/>
      <c r="ET307" s="89"/>
      <c r="EU307" s="89">
        <v>281823.42528122</v>
      </c>
      <c r="EV307" s="89">
        <v>-81336.601898930036</v>
      </c>
      <c r="EW307" s="88">
        <v>1204704.3949220693</v>
      </c>
      <c r="EX307" s="89">
        <f t="shared" si="20"/>
        <v>719562.63872525992</v>
      </c>
      <c r="EY307" s="89">
        <v>697987.87030484993</v>
      </c>
      <c r="EZ307" s="89">
        <v>21574.768420410001</v>
      </c>
      <c r="FA307" s="89">
        <v>729235.88339926</v>
      </c>
      <c r="FB307" s="89">
        <v>-244094.12720245065</v>
      </c>
      <c r="FC307" s="88">
        <v>931.38900000000001</v>
      </c>
      <c r="FD307" s="89">
        <f t="shared" si="38"/>
        <v>-481.971</v>
      </c>
      <c r="FE307" s="89">
        <v>402.05799999999999</v>
      </c>
      <c r="FF307" s="89">
        <v>-884.029</v>
      </c>
      <c r="FG307" s="89">
        <v>1413.36</v>
      </c>
      <c r="FH307" s="89"/>
      <c r="FI307" s="88">
        <v>1069.9169999999999</v>
      </c>
      <c r="FJ307" s="89">
        <f t="shared" si="39"/>
        <v>21.50800000000001</v>
      </c>
      <c r="FK307" s="89">
        <v>122.459</v>
      </c>
      <c r="FL307" s="89">
        <v>-100.95099999999999</v>
      </c>
      <c r="FM307" s="89">
        <v>1048.4090000000001</v>
      </c>
      <c r="FN307" s="89"/>
      <c r="FO307" s="88">
        <v>3441.886</v>
      </c>
      <c r="FP307" s="89">
        <f t="shared" si="40"/>
        <v>-286.20000000000005</v>
      </c>
      <c r="FQ307" s="89">
        <v>197.86699999999999</v>
      </c>
      <c r="FR307" s="89">
        <v>-484.06700000000001</v>
      </c>
      <c r="FS307" s="89">
        <v>3728.0859999999998</v>
      </c>
      <c r="FT307" s="89"/>
      <c r="FU307" s="88">
        <f t="shared" si="41"/>
        <v>6934</v>
      </c>
      <c r="FV307" s="89">
        <f t="shared" si="42"/>
        <v>1446.1999999999998</v>
      </c>
      <c r="FW307" s="89">
        <v>1337.6</v>
      </c>
      <c r="FX307" s="89">
        <v>108.6</v>
      </c>
      <c r="FY307" s="89">
        <v>5329.3</v>
      </c>
      <c r="FZ307" s="89">
        <v>158.5</v>
      </c>
      <c r="GA307" s="88">
        <v>15409.7</v>
      </c>
      <c r="GB307" s="89">
        <v>-34410.600000000006</v>
      </c>
      <c r="GC307" s="89"/>
      <c r="GD307" s="89"/>
      <c r="GE307" s="89">
        <v>49820.3</v>
      </c>
      <c r="GF307" s="89"/>
      <c r="GG307" s="88">
        <v>236311.80785733421</v>
      </c>
      <c r="GH307" s="89">
        <v>85128.017185107776</v>
      </c>
      <c r="GI307" s="89">
        <v>80061.115901753743</v>
      </c>
      <c r="GJ307" s="89">
        <v>5066.9012833540219</v>
      </c>
      <c r="GK307" s="89">
        <v>385894.68150015763</v>
      </c>
      <c r="GL307" s="89">
        <v>-234710.89082793123</v>
      </c>
      <c r="GM307" s="88">
        <v>2096117.3885010192</v>
      </c>
      <c r="GN307" s="89">
        <v>499613.76792987983</v>
      </c>
      <c r="GO307" s="89">
        <v>341605.37271243992</v>
      </c>
      <c r="GP307" s="89">
        <v>158008.39521743992</v>
      </c>
      <c r="GQ307" s="89">
        <v>1442780.9398459194</v>
      </c>
      <c r="GR307" s="89">
        <v>153722.68072522004</v>
      </c>
    </row>
    <row r="308" spans="1:200">
      <c r="B308" s="93" t="s">
        <v>493</v>
      </c>
      <c r="C308" s="88">
        <v>2513.2170000000001</v>
      </c>
      <c r="D308" s="89">
        <f t="shared" si="22"/>
        <v>400.39400000000001</v>
      </c>
      <c r="E308" s="89">
        <v>460.40800000000002</v>
      </c>
      <c r="F308" s="89">
        <v>-60.014000000000003</v>
      </c>
      <c r="G308" s="89">
        <v>2112.8229999999999</v>
      </c>
      <c r="H308" s="128"/>
      <c r="I308" s="88">
        <v>1197053.7709999999</v>
      </c>
      <c r="J308" s="89">
        <v>1277506.87519491</v>
      </c>
      <c r="K308" s="89"/>
      <c r="L308" s="89"/>
      <c r="M308" s="89">
        <v>690270.09299999999</v>
      </c>
      <c r="N308" s="89">
        <v>-770723.81619491009</v>
      </c>
      <c r="O308" s="88">
        <v>8802.1</v>
      </c>
      <c r="P308" s="89">
        <f t="shared" si="23"/>
        <v>2502</v>
      </c>
      <c r="Q308" s="89">
        <v>2009.4</v>
      </c>
      <c r="R308" s="89">
        <v>492.6</v>
      </c>
      <c r="S308" s="89">
        <v>6300.1</v>
      </c>
      <c r="T308" s="89"/>
      <c r="U308" s="88">
        <f t="shared" si="24"/>
        <v>8154.7486249999993</v>
      </c>
      <c r="V308" s="89">
        <f t="shared" si="25"/>
        <v>2780.8986249999998</v>
      </c>
      <c r="W308" s="89">
        <v>2274.4076249999998</v>
      </c>
      <c r="X308" s="89">
        <v>506.49099999999999</v>
      </c>
      <c r="Y308" s="89">
        <v>5373.8499999999995</v>
      </c>
      <c r="Z308" s="89"/>
      <c r="AA308" s="88">
        <v>1943.42378173</v>
      </c>
      <c r="AB308" s="89">
        <v>11.858633379999901</v>
      </c>
      <c r="AC308" s="89">
        <v>-0.72336661999998597</v>
      </c>
      <c r="AD308" s="89">
        <v>12.582000000000001</v>
      </c>
      <c r="AE308" s="89">
        <v>1931.5651483500001</v>
      </c>
      <c r="AF308" s="89"/>
      <c r="AG308" s="88">
        <f t="shared" si="26"/>
        <v>133337.35845458228</v>
      </c>
      <c r="AH308" s="89">
        <v>29052.697233455619</v>
      </c>
      <c r="AI308" s="89">
        <v>11432.223803735624</v>
      </c>
      <c r="AJ308" s="89">
        <v>17620.473429720001</v>
      </c>
      <c r="AK308" s="89">
        <v>104284.66122112666</v>
      </c>
      <c r="AL308" s="89"/>
      <c r="AM308" s="88">
        <v>6072647</v>
      </c>
      <c r="AN308" s="89">
        <v>1703188</v>
      </c>
      <c r="AO308" s="89">
        <v>1478654</v>
      </c>
      <c r="AP308" s="89">
        <v>224534</v>
      </c>
      <c r="AQ308" s="89">
        <v>3886899</v>
      </c>
      <c r="AR308" s="89">
        <v>482561</v>
      </c>
      <c r="AS308" s="88">
        <v>97790432.087017</v>
      </c>
      <c r="AT308" s="89">
        <v>-586104.88202399993</v>
      </c>
      <c r="AU308" s="89">
        <v>-586104.88202399993</v>
      </c>
      <c r="AV308" s="89"/>
      <c r="AW308" s="89">
        <v>121854211.09316</v>
      </c>
      <c r="AX308" s="89">
        <v>-23477674.124118999</v>
      </c>
      <c r="AY308" s="88">
        <v>418651415.77902675</v>
      </c>
      <c r="AZ308" s="89">
        <f t="shared" si="19"/>
        <v>66582589.97826232</v>
      </c>
      <c r="BA308" s="89">
        <v>51038907.490632325</v>
      </c>
      <c r="BB308" s="89">
        <v>15543682.487629998</v>
      </c>
      <c r="BC308" s="89">
        <v>352068825.80076444</v>
      </c>
      <c r="BD308" s="89"/>
      <c r="BE308" s="88">
        <f t="shared" si="27"/>
        <v>14997601.646635192</v>
      </c>
      <c r="BF308" s="89">
        <f t="shared" si="28"/>
        <v>1130019.9000000001</v>
      </c>
      <c r="BG308" s="89">
        <v>948823.3</v>
      </c>
      <c r="BH308" s="89">
        <v>181196.6</v>
      </c>
      <c r="BI308" s="89">
        <v>15202037.44663519</v>
      </c>
      <c r="BJ308" s="89">
        <v>-1334455.7</v>
      </c>
      <c r="BK308" s="88">
        <v>729.56600000000003</v>
      </c>
      <c r="BL308" s="89">
        <f t="shared" si="29"/>
        <v>-33.004000000000005</v>
      </c>
      <c r="BM308" s="89">
        <v>65.881</v>
      </c>
      <c r="BN308" s="89">
        <v>-98.885000000000005</v>
      </c>
      <c r="BO308" s="89">
        <v>762.57</v>
      </c>
      <c r="BP308" s="89"/>
      <c r="BQ308" s="88">
        <v>29678.892604000004</v>
      </c>
      <c r="BR308" s="89">
        <v>-79.262479000000894</v>
      </c>
      <c r="BS308" s="89">
        <v>854.73701800000072</v>
      </c>
      <c r="BT308" s="89">
        <v>-933.99949700000161</v>
      </c>
      <c r="BU308" s="89">
        <v>29758.155083000005</v>
      </c>
      <c r="BV308" s="89"/>
      <c r="BW308" s="88">
        <v>16551.398451979996</v>
      </c>
      <c r="BX308" s="89">
        <f t="shared" si="30"/>
        <v>7616.3646446199991</v>
      </c>
      <c r="BY308" s="89">
        <v>7303.3982338099995</v>
      </c>
      <c r="BZ308" s="89">
        <v>312.96641081000001</v>
      </c>
      <c r="CA308" s="89">
        <v>11179.51979077</v>
      </c>
      <c r="CB308" s="89">
        <v>-2244.485983410003</v>
      </c>
      <c r="CC308" s="88">
        <v>1468.88</v>
      </c>
      <c r="CD308" s="89">
        <f t="shared" si="31"/>
        <v>-130.25200000000001</v>
      </c>
      <c r="CE308" s="89">
        <v>19.617999999999999</v>
      </c>
      <c r="CF308" s="89">
        <v>-149.87</v>
      </c>
      <c r="CG308" s="89">
        <v>1599.1320000000001</v>
      </c>
      <c r="CH308" s="89"/>
      <c r="CI308" s="88">
        <v>181587.27082387454</v>
      </c>
      <c r="CJ308" s="89">
        <f t="shared" si="32"/>
        <v>38083.25014350655</v>
      </c>
      <c r="CK308" s="89">
        <v>37387.350143506548</v>
      </c>
      <c r="CL308" s="89">
        <v>695.9</v>
      </c>
      <c r="CM308" s="89">
        <v>157388.6</v>
      </c>
      <c r="CN308" s="89">
        <v>-13884.6</v>
      </c>
      <c r="CO308" s="88">
        <v>159489.60000000001</v>
      </c>
      <c r="CP308" s="89">
        <v>-22168.5</v>
      </c>
      <c r="CQ308" s="89">
        <v>37801.1</v>
      </c>
      <c r="CR308" s="89">
        <f t="shared" si="33"/>
        <v>-59969.599999999999</v>
      </c>
      <c r="CS308" s="89">
        <v>203551.7</v>
      </c>
      <c r="CT308" s="89">
        <v>-21893.7</v>
      </c>
      <c r="CU308" s="88">
        <f t="shared" si="34"/>
        <v>101625.1547271821</v>
      </c>
      <c r="CV308" s="89">
        <v>14713.982008993949</v>
      </c>
      <c r="CW308" s="89">
        <v>17020.100858570495</v>
      </c>
      <c r="CX308" s="89">
        <v>-2306.1188495765427</v>
      </c>
      <c r="CY308" s="89">
        <v>86911.172718188158</v>
      </c>
      <c r="CZ308" s="89"/>
      <c r="DA308" s="88">
        <v>156653.5343502477</v>
      </c>
      <c r="DB308" s="89">
        <f t="shared" si="35"/>
        <v>7104.7169410256283</v>
      </c>
      <c r="DC308" s="89">
        <v>-5992.4190706574955</v>
      </c>
      <c r="DD308" s="89">
        <v>13097.136011683124</v>
      </c>
      <c r="DE308" s="89">
        <v>236871.03373583639</v>
      </c>
      <c r="DF308" s="89">
        <v>-87322.216326614318</v>
      </c>
      <c r="DG308" s="88">
        <v>409884.93920687144</v>
      </c>
      <c r="DH308" s="89">
        <v>109973.98320687146</v>
      </c>
      <c r="DI308" s="89"/>
      <c r="DJ308" s="89"/>
      <c r="DK308" s="89">
        <v>336981.56400000001</v>
      </c>
      <c r="DL308" s="89">
        <v>-37070.608</v>
      </c>
      <c r="DM308" s="88">
        <v>9030650</v>
      </c>
      <c r="DN308" s="89">
        <f t="shared" si="21"/>
        <v>3427741</v>
      </c>
      <c r="DO308" s="89">
        <v>2632320</v>
      </c>
      <c r="DP308" s="89">
        <v>795421</v>
      </c>
      <c r="DQ308" s="89">
        <v>5602910</v>
      </c>
      <c r="DR308" s="89"/>
      <c r="DS308" s="88">
        <v>108348.3376825718</v>
      </c>
      <c r="DT308" s="89">
        <f t="shared" si="36"/>
        <v>37010.176380236291</v>
      </c>
      <c r="DU308" s="89">
        <v>35571.982648366291</v>
      </c>
      <c r="DV308" s="89">
        <v>1438.1937318700002</v>
      </c>
      <c r="DW308" s="89">
        <v>110541.51051545877</v>
      </c>
      <c r="DX308" s="89">
        <v>-39202.788081123246</v>
      </c>
      <c r="DY308" s="88">
        <v>11589.281531999999</v>
      </c>
      <c r="DZ308" s="89">
        <f t="shared" si="18"/>
        <v>-935.93046800000025</v>
      </c>
      <c r="EA308" s="89">
        <v>1098.6558889999999</v>
      </c>
      <c r="EB308" s="89">
        <v>-2034.5863570000001</v>
      </c>
      <c r="EC308" s="89">
        <v>12127.348</v>
      </c>
      <c r="ED308" s="89"/>
      <c r="EE308" s="88">
        <v>29335.801842779998</v>
      </c>
      <c r="EF308" s="89">
        <f t="shared" si="37"/>
        <v>-3643.5868783799992</v>
      </c>
      <c r="EG308" s="89">
        <v>-3863.4600968099994</v>
      </c>
      <c r="EH308" s="89">
        <v>219.87321843000001</v>
      </c>
      <c r="EI308" s="89">
        <v>42503.087032989992</v>
      </c>
      <c r="EJ308" s="89">
        <v>-9523.6983118299959</v>
      </c>
      <c r="EK308" s="88">
        <v>43882399</v>
      </c>
      <c r="EL308" s="89">
        <v>-16429440</v>
      </c>
      <c r="EM308" s="89">
        <v>-14576370</v>
      </c>
      <c r="EN308" s="89">
        <v>-1853070</v>
      </c>
      <c r="EO308" s="89">
        <v>62492810</v>
      </c>
      <c r="EP308" s="89">
        <v>-2180971</v>
      </c>
      <c r="EQ308" s="88">
        <v>148468.60264223997</v>
      </c>
      <c r="ER308" s="89">
        <v>-56659.116293279993</v>
      </c>
      <c r="ES308" s="89"/>
      <c r="ET308" s="89"/>
      <c r="EU308" s="89">
        <v>285881.99597092002</v>
      </c>
      <c r="EV308" s="89">
        <v>-80754.277035400039</v>
      </c>
      <c r="EW308" s="88">
        <v>1199454.7019923525</v>
      </c>
      <c r="EX308" s="89">
        <f t="shared" si="20"/>
        <v>730656.22452786984</v>
      </c>
      <c r="EY308" s="89">
        <v>709083.53631497989</v>
      </c>
      <c r="EZ308" s="89">
        <v>21572.68821289</v>
      </c>
      <c r="FA308" s="89">
        <v>747802.52905752999</v>
      </c>
      <c r="FB308" s="89">
        <v>-279004.05159304722</v>
      </c>
      <c r="FC308" s="88">
        <v>953.02099999999996</v>
      </c>
      <c r="FD308" s="89">
        <f t="shared" si="38"/>
        <v>-458.18400000000003</v>
      </c>
      <c r="FE308" s="89">
        <v>436.18099999999998</v>
      </c>
      <c r="FF308" s="89">
        <v>-894.36500000000001</v>
      </c>
      <c r="FG308" s="89">
        <v>1411.2049999999999</v>
      </c>
      <c r="FH308" s="89"/>
      <c r="FI308" s="88">
        <v>1076.894</v>
      </c>
      <c r="FJ308" s="89">
        <f t="shared" si="39"/>
        <v>5.8469999999999942</v>
      </c>
      <c r="FK308" s="89">
        <v>108.3</v>
      </c>
      <c r="FL308" s="89">
        <v>-102.453</v>
      </c>
      <c r="FM308" s="89">
        <v>1071.047</v>
      </c>
      <c r="FN308" s="89"/>
      <c r="FO308" s="88">
        <v>3311.9290000000001</v>
      </c>
      <c r="FP308" s="89">
        <f t="shared" si="40"/>
        <v>-287.85700000000003</v>
      </c>
      <c r="FQ308" s="89">
        <v>204.64</v>
      </c>
      <c r="FR308" s="89">
        <v>-492.49700000000001</v>
      </c>
      <c r="FS308" s="89">
        <v>3599.7860000000001</v>
      </c>
      <c r="FT308" s="89"/>
      <c r="FU308" s="88">
        <f t="shared" si="41"/>
        <v>7164.9</v>
      </c>
      <c r="FV308" s="89">
        <f t="shared" si="42"/>
        <v>1605.9</v>
      </c>
      <c r="FW308" s="89">
        <v>1470.2</v>
      </c>
      <c r="FX308" s="89">
        <v>135.69999999999999</v>
      </c>
      <c r="FY308" s="89">
        <v>5397.4</v>
      </c>
      <c r="FZ308" s="89">
        <v>161.6</v>
      </c>
      <c r="GA308" s="88">
        <v>22342.5</v>
      </c>
      <c r="GB308" s="89">
        <v>-27503.7</v>
      </c>
      <c r="GC308" s="89"/>
      <c r="GD308" s="89"/>
      <c r="GE308" s="89">
        <v>49846.2</v>
      </c>
      <c r="GF308" s="89"/>
      <c r="GG308" s="88">
        <v>236266</v>
      </c>
      <c r="GH308" s="89">
        <v>83108</v>
      </c>
      <c r="GI308" s="89">
        <v>79244</v>
      </c>
      <c r="GJ308" s="89">
        <v>3864</v>
      </c>
      <c r="GK308" s="89">
        <v>390304</v>
      </c>
      <c r="GL308" s="89">
        <v>-237146</v>
      </c>
      <c r="GM308" s="88">
        <v>2213087.1267621792</v>
      </c>
      <c r="GN308" s="89">
        <v>503269.67549363006</v>
      </c>
      <c r="GO308" s="89">
        <v>344445.31984665</v>
      </c>
      <c r="GP308" s="89">
        <v>158824.35564698005</v>
      </c>
      <c r="GQ308" s="89">
        <v>1549454.4099692595</v>
      </c>
      <c r="GR308" s="89">
        <v>160363.04129929002</v>
      </c>
    </row>
    <row r="309" spans="1:200">
      <c r="B309" s="93" t="s">
        <v>494</v>
      </c>
      <c r="C309" s="88">
        <v>2496.2469999999998</v>
      </c>
      <c r="D309" s="89">
        <f t="shared" si="22"/>
        <v>402.11599999999999</v>
      </c>
      <c r="E309" s="89">
        <v>476.37</v>
      </c>
      <c r="F309" s="89">
        <v>-74.254000000000005</v>
      </c>
      <c r="G309" s="89">
        <v>2094.1309999999999</v>
      </c>
      <c r="H309" s="128"/>
      <c r="I309" s="88">
        <v>1261149.507</v>
      </c>
      <c r="J309" s="89">
        <v>1335728.294</v>
      </c>
      <c r="K309" s="89"/>
      <c r="L309" s="89"/>
      <c r="M309" s="89">
        <v>713630.40599999996</v>
      </c>
      <c r="N309" s="89">
        <v>-788209.19299999997</v>
      </c>
      <c r="O309" s="88">
        <v>8808.9</v>
      </c>
      <c r="P309" s="89">
        <f t="shared" si="23"/>
        <v>2500.9</v>
      </c>
      <c r="Q309" s="89">
        <v>2007.6</v>
      </c>
      <c r="R309" s="89">
        <v>493.3</v>
      </c>
      <c r="S309" s="89">
        <v>6308</v>
      </c>
      <c r="T309" s="89"/>
      <c r="U309" s="88">
        <f t="shared" si="24"/>
        <v>8308.7264480000013</v>
      </c>
      <c r="V309" s="89">
        <f t="shared" si="25"/>
        <v>2973.0964480000002</v>
      </c>
      <c r="W309" s="89">
        <v>2458.251448</v>
      </c>
      <c r="X309" s="89">
        <v>514.84500000000003</v>
      </c>
      <c r="Y309" s="89">
        <v>5335.63</v>
      </c>
      <c r="Z309" s="89"/>
      <c r="AA309" s="88">
        <v>1909.1400642599999</v>
      </c>
      <c r="AB309" s="89">
        <v>-22.3590805400001</v>
      </c>
      <c r="AC309" s="89">
        <v>-34.687080539999897</v>
      </c>
      <c r="AD309" s="89">
        <v>12.327999999999999</v>
      </c>
      <c r="AE309" s="89">
        <v>1931.4991448000001</v>
      </c>
      <c r="AF309" s="89"/>
      <c r="AG309" s="88">
        <f t="shared" si="26"/>
        <v>136429.33207149641</v>
      </c>
      <c r="AH309" s="89">
        <v>30727.768874999743</v>
      </c>
      <c r="AI309" s="89">
        <v>11482.937340439741</v>
      </c>
      <c r="AJ309" s="89">
        <v>19244.831534560002</v>
      </c>
      <c r="AK309" s="89">
        <v>105701.56319649666</v>
      </c>
      <c r="AL309" s="89"/>
      <c r="AM309" s="88">
        <v>6074781</v>
      </c>
      <c r="AN309" s="89">
        <v>1688206</v>
      </c>
      <c r="AO309" s="89">
        <v>1460681</v>
      </c>
      <c r="AP309" s="89">
        <v>227525</v>
      </c>
      <c r="AQ309" s="89">
        <v>3898168</v>
      </c>
      <c r="AR309" s="89">
        <v>488407</v>
      </c>
      <c r="AS309" s="88">
        <v>97248239.773024008</v>
      </c>
      <c r="AT309" s="89">
        <v>-1220926.6581580001</v>
      </c>
      <c r="AU309" s="89">
        <v>-1220926.6581580001</v>
      </c>
      <c r="AV309" s="89"/>
      <c r="AW309" s="89">
        <v>122436044.760931</v>
      </c>
      <c r="AX309" s="89">
        <v>-23966878.329748999</v>
      </c>
      <c r="AY309" s="88">
        <v>425080297.2960754</v>
      </c>
      <c r="AZ309" s="89">
        <f t="shared" si="19"/>
        <v>68233418.348545328</v>
      </c>
      <c r="BA309" s="89">
        <v>52589439.616735324</v>
      </c>
      <c r="BB309" s="89">
        <v>15643978.73181</v>
      </c>
      <c r="BC309" s="89">
        <v>356846878.94753003</v>
      </c>
      <c r="BD309" s="89"/>
      <c r="BE309" s="88">
        <f t="shared" si="27"/>
        <v>15334293.649051951</v>
      </c>
      <c r="BF309" s="89">
        <f t="shared" si="28"/>
        <v>1257643.8</v>
      </c>
      <c r="BG309" s="89">
        <v>1077332.5</v>
      </c>
      <c r="BH309" s="89">
        <v>180311.3</v>
      </c>
      <c r="BI309" s="89">
        <v>15326902.04905195</v>
      </c>
      <c r="BJ309" s="89">
        <v>-1250252.2</v>
      </c>
      <c r="BK309" s="88">
        <v>731.31600000000003</v>
      </c>
      <c r="BL309" s="89">
        <f t="shared" si="29"/>
        <v>-31.334000000000003</v>
      </c>
      <c r="BM309" s="89">
        <v>69.718999999999994</v>
      </c>
      <c r="BN309" s="89">
        <v>-101.053</v>
      </c>
      <c r="BO309" s="89">
        <v>762.65</v>
      </c>
      <c r="BP309" s="89"/>
      <c r="BQ309" s="88">
        <v>29098.958570999999</v>
      </c>
      <c r="BR309" s="89">
        <v>-266.12047800000073</v>
      </c>
      <c r="BS309" s="89">
        <v>558.56187399999953</v>
      </c>
      <c r="BT309" s="89">
        <v>-824.68235200000026</v>
      </c>
      <c r="BU309" s="89">
        <v>29365.079049</v>
      </c>
      <c r="BV309" s="89"/>
      <c r="BW309" s="88">
        <v>16597.167376420002</v>
      </c>
      <c r="BX309" s="89">
        <f t="shared" si="30"/>
        <v>7754.7190003799587</v>
      </c>
      <c r="BY309" s="89">
        <v>7416.2356567199586</v>
      </c>
      <c r="BZ309" s="89">
        <v>338.48334366</v>
      </c>
      <c r="CA309" s="89">
        <v>11178.511157789999</v>
      </c>
      <c r="CB309" s="89">
        <v>-2336.0627817499571</v>
      </c>
      <c r="CC309" s="88">
        <v>1460.8810000000001</v>
      </c>
      <c r="CD309" s="89">
        <f t="shared" si="31"/>
        <v>-134.32499999999999</v>
      </c>
      <c r="CE309" s="89">
        <v>17.995000000000001</v>
      </c>
      <c r="CF309" s="89">
        <v>-152.32</v>
      </c>
      <c r="CG309" s="89">
        <v>1595.2059999999999</v>
      </c>
      <c r="CH309" s="89"/>
      <c r="CI309" s="88">
        <v>183191.04836864804</v>
      </c>
      <c r="CJ309" s="89">
        <f t="shared" si="32"/>
        <v>39495.065612702107</v>
      </c>
      <c r="CK309" s="89">
        <v>38828.065612702107</v>
      </c>
      <c r="CL309" s="89">
        <v>667</v>
      </c>
      <c r="CM309" s="89">
        <v>158026.1</v>
      </c>
      <c r="CN309" s="89">
        <v>-14330.2</v>
      </c>
      <c r="CO309" s="88">
        <v>158037.6</v>
      </c>
      <c r="CP309" s="89">
        <v>-25161.9</v>
      </c>
      <c r="CQ309" s="89">
        <v>39405.5</v>
      </c>
      <c r="CR309" s="89">
        <f t="shared" si="33"/>
        <v>-64567.4</v>
      </c>
      <c r="CS309" s="89">
        <v>205166.4</v>
      </c>
      <c r="CT309" s="89">
        <v>-21966.9</v>
      </c>
      <c r="CU309" s="88">
        <f t="shared" si="34"/>
        <v>101214.84773771049</v>
      </c>
      <c r="CV309" s="89">
        <v>11958.318352198918</v>
      </c>
      <c r="CW309" s="89">
        <v>14988.050633003584</v>
      </c>
      <c r="CX309" s="89">
        <v>-3029.7322808046665</v>
      </c>
      <c r="CY309" s="89">
        <v>89256.529385511574</v>
      </c>
      <c r="CZ309" s="89"/>
      <c r="DA309" s="88">
        <v>158288.10215494281</v>
      </c>
      <c r="DB309" s="89">
        <f t="shared" si="35"/>
        <v>7068.8687760511184</v>
      </c>
      <c r="DC309" s="89">
        <v>-6112.3437615412622</v>
      </c>
      <c r="DD309" s="89">
        <v>13181.212537592381</v>
      </c>
      <c r="DE309" s="89">
        <v>238631.57537645791</v>
      </c>
      <c r="DF309" s="89">
        <v>-87412.341903469409</v>
      </c>
      <c r="DG309" s="88">
        <v>451340.87781198346</v>
      </c>
      <c r="DH309" s="89">
        <v>152559.05081198347</v>
      </c>
      <c r="DI309" s="89"/>
      <c r="DJ309" s="89"/>
      <c r="DK309" s="89">
        <v>338109.64399999997</v>
      </c>
      <c r="DL309" s="89">
        <v>-39327.817000000003</v>
      </c>
      <c r="DM309" s="88">
        <v>9195620</v>
      </c>
      <c r="DN309" s="89">
        <f t="shared" si="21"/>
        <v>3501874</v>
      </c>
      <c r="DO309" s="89">
        <v>2700680</v>
      </c>
      <c r="DP309" s="89">
        <v>801194</v>
      </c>
      <c r="DQ309" s="89">
        <v>5693750</v>
      </c>
      <c r="DR309" s="89"/>
      <c r="DS309" s="88">
        <v>108897.67391171842</v>
      </c>
      <c r="DT309" s="89">
        <f t="shared" si="36"/>
        <v>37659.933538375939</v>
      </c>
      <c r="DU309" s="89">
        <v>36088.385651725941</v>
      </c>
      <c r="DV309" s="89">
        <v>1571.547886649998</v>
      </c>
      <c r="DW309" s="89">
        <v>111939.61298876366</v>
      </c>
      <c r="DX309" s="89">
        <v>-40701.872517421172</v>
      </c>
      <c r="DY309" s="88">
        <v>11642.305114000001</v>
      </c>
      <c r="DZ309" s="89">
        <f t="shared" si="18"/>
        <v>-888.74388599999997</v>
      </c>
      <c r="EA309" s="89">
        <v>1150.8018910000001</v>
      </c>
      <c r="EB309" s="89">
        <v>-2039.545777</v>
      </c>
      <c r="EC309" s="89">
        <v>12130.653</v>
      </c>
      <c r="ED309" s="89"/>
      <c r="EE309" s="88">
        <v>29218.218293850001</v>
      </c>
      <c r="EF309" s="89">
        <f t="shared" si="37"/>
        <v>-4106.9879287800004</v>
      </c>
      <c r="EG309" s="89">
        <v>-4322.00262028</v>
      </c>
      <c r="EH309" s="89">
        <v>215.0146915</v>
      </c>
      <c r="EI309" s="89">
        <v>42823.229801760004</v>
      </c>
      <c r="EJ309" s="89">
        <v>-9498.0235791300038</v>
      </c>
      <c r="EK309" s="88">
        <v>44099925</v>
      </c>
      <c r="EL309" s="89">
        <v>-16796101</v>
      </c>
      <c r="EM309" s="89">
        <v>-14866872</v>
      </c>
      <c r="EN309" s="89">
        <v>-1929229</v>
      </c>
      <c r="EO309" s="89">
        <v>63083368</v>
      </c>
      <c r="EP309" s="89">
        <v>-2187342</v>
      </c>
      <c r="EQ309" s="88">
        <v>148039.17299337997</v>
      </c>
      <c r="ER309" s="89">
        <v>-55526.029853920001</v>
      </c>
      <c r="ES309" s="89"/>
      <c r="ET309" s="89"/>
      <c r="EU309" s="89">
        <v>287308.68477404001</v>
      </c>
      <c r="EV309" s="89">
        <v>-83743.481926740031</v>
      </c>
      <c r="EW309" s="88">
        <v>1223229.4664261634</v>
      </c>
      <c r="EX309" s="89">
        <f t="shared" si="20"/>
        <v>753817.83824972005</v>
      </c>
      <c r="EY309" s="89">
        <v>732181.07010746002</v>
      </c>
      <c r="EZ309" s="89">
        <v>21636.768142260004</v>
      </c>
      <c r="FA309" s="89">
        <v>753431.12751510995</v>
      </c>
      <c r="FB309" s="89">
        <v>-284019.4993386665</v>
      </c>
      <c r="FC309" s="88">
        <v>996.82</v>
      </c>
      <c r="FD309" s="89">
        <f t="shared" si="38"/>
        <v>-433.66400000000004</v>
      </c>
      <c r="FE309" s="89">
        <v>460.66699999999997</v>
      </c>
      <c r="FF309" s="89">
        <v>-894.33100000000002</v>
      </c>
      <c r="FG309" s="89">
        <v>1430.4839999999999</v>
      </c>
      <c r="FH309" s="89"/>
      <c r="FI309" s="88">
        <v>1104.4929999999999</v>
      </c>
      <c r="FJ309" s="89">
        <f t="shared" si="39"/>
        <v>32.819000000000003</v>
      </c>
      <c r="FK309" s="89">
        <v>133.65600000000001</v>
      </c>
      <c r="FL309" s="89">
        <v>-100.837</v>
      </c>
      <c r="FM309" s="89">
        <v>1071.674</v>
      </c>
      <c r="FN309" s="89"/>
      <c r="FO309" s="88">
        <v>3318.4029999999998</v>
      </c>
      <c r="FP309" s="89">
        <f t="shared" si="40"/>
        <v>-285.428</v>
      </c>
      <c r="FQ309" s="89">
        <v>213.49700000000001</v>
      </c>
      <c r="FR309" s="89">
        <v>-498.92500000000001</v>
      </c>
      <c r="FS309" s="89">
        <v>3603.8310000000001</v>
      </c>
      <c r="FT309" s="89"/>
      <c r="FU309" s="88">
        <f t="shared" si="41"/>
        <v>7274.9000000000005</v>
      </c>
      <c r="FV309" s="89">
        <f t="shared" si="42"/>
        <v>1700.3</v>
      </c>
      <c r="FW309" s="89">
        <v>1567.6</v>
      </c>
      <c r="FX309" s="89">
        <v>132.69999999999999</v>
      </c>
      <c r="FY309" s="89">
        <v>5415.3</v>
      </c>
      <c r="FZ309" s="89">
        <v>159.30000000000001</v>
      </c>
      <c r="GA309" s="88">
        <v>28267.599999999999</v>
      </c>
      <c r="GB309" s="89">
        <v>-22165.200000000004</v>
      </c>
      <c r="GC309" s="89"/>
      <c r="GD309" s="89"/>
      <c r="GE309" s="89">
        <v>50432.800000000003</v>
      </c>
      <c r="GF309" s="89"/>
      <c r="GG309" s="88">
        <v>254683</v>
      </c>
      <c r="GH309" s="89">
        <v>100509</v>
      </c>
      <c r="GI309" s="89">
        <v>96196</v>
      </c>
      <c r="GJ309" s="89">
        <v>4314</v>
      </c>
      <c r="GK309" s="89">
        <v>394261</v>
      </c>
      <c r="GL309" s="89">
        <v>-240087</v>
      </c>
      <c r="GM309" s="88">
        <v>2332337.0128652998</v>
      </c>
      <c r="GN309" s="89">
        <v>500251.37589284999</v>
      </c>
      <c r="GO309" s="89">
        <v>341752.04492116999</v>
      </c>
      <c r="GP309" s="89">
        <v>158499.33097168</v>
      </c>
      <c r="GQ309" s="89">
        <v>1673818.4779238896</v>
      </c>
      <c r="GR309" s="89">
        <v>158267.15904855999</v>
      </c>
    </row>
    <row r="310" spans="1:200">
      <c r="B310" s="93" t="s">
        <v>495</v>
      </c>
      <c r="C310" s="88">
        <v>2499.1660000000002</v>
      </c>
      <c r="D310" s="89">
        <f t="shared" si="22"/>
        <v>418.28799999999995</v>
      </c>
      <c r="E310" s="89">
        <v>469.28699999999998</v>
      </c>
      <c r="F310" s="89">
        <v>-50.999000000000002</v>
      </c>
      <c r="G310" s="89">
        <v>2080.8780000000002</v>
      </c>
      <c r="H310" s="128"/>
      <c r="I310" s="88">
        <v>1305132.6879999998</v>
      </c>
      <c r="J310" s="89">
        <v>1347182.2553958201</v>
      </c>
      <c r="K310" s="89"/>
      <c r="L310" s="89"/>
      <c r="M310" s="89">
        <v>726522.56900000002</v>
      </c>
      <c r="N310" s="89">
        <v>-768572.13639582018</v>
      </c>
      <c r="O310" s="88">
        <v>8861.7000000000007</v>
      </c>
      <c r="P310" s="89">
        <f t="shared" si="23"/>
        <v>2563</v>
      </c>
      <c r="Q310" s="89">
        <v>2066.8000000000002</v>
      </c>
      <c r="R310" s="89">
        <v>496.2</v>
      </c>
      <c r="S310" s="89">
        <v>6298.7</v>
      </c>
      <c r="T310" s="89"/>
      <c r="U310" s="88">
        <f t="shared" si="24"/>
        <v>8368.8285639999995</v>
      </c>
      <c r="V310" s="89">
        <f t="shared" si="25"/>
        <v>3025.2355640000001</v>
      </c>
      <c r="W310" s="89">
        <v>2521.411564</v>
      </c>
      <c r="X310" s="89">
        <v>503.82400000000001</v>
      </c>
      <c r="Y310" s="89">
        <v>5343.5929999999998</v>
      </c>
      <c r="Z310" s="89"/>
      <c r="AA310" s="88">
        <v>1926.9371748600001</v>
      </c>
      <c r="AB310" s="89">
        <v>-17.554140149999878</v>
      </c>
      <c r="AC310" s="89">
        <v>-29.542140149999877</v>
      </c>
      <c r="AD310" s="89">
        <v>11.988</v>
      </c>
      <c r="AE310" s="89">
        <v>1944.4913150100001</v>
      </c>
      <c r="AF310" s="89"/>
      <c r="AG310" s="88">
        <f t="shared" si="26"/>
        <v>138240.20572265016</v>
      </c>
      <c r="AH310" s="89">
        <v>30976.965738978033</v>
      </c>
      <c r="AI310" s="89">
        <v>11370.340875678032</v>
      </c>
      <c r="AJ310" s="89">
        <v>19606.6248633</v>
      </c>
      <c r="AK310" s="89">
        <v>107263.23998367215</v>
      </c>
      <c r="AL310" s="89"/>
      <c r="AM310" s="88">
        <v>6092344</v>
      </c>
      <c r="AN310" s="89">
        <v>1695016</v>
      </c>
      <c r="AO310" s="89">
        <v>1459925</v>
      </c>
      <c r="AP310" s="89">
        <v>235091</v>
      </c>
      <c r="AQ310" s="89">
        <v>3909534</v>
      </c>
      <c r="AR310" s="89">
        <v>487794</v>
      </c>
      <c r="AS310" s="88">
        <v>98044648.327794105</v>
      </c>
      <c r="AT310" s="89">
        <v>-1171690.711322</v>
      </c>
      <c r="AU310" s="89">
        <v>-1171690.711322</v>
      </c>
      <c r="AV310" s="89"/>
      <c r="AW310" s="89">
        <v>124242867.79179201</v>
      </c>
      <c r="AX310" s="89">
        <v>-25026528.752675898</v>
      </c>
      <c r="AY310" s="88">
        <v>424047630.34591603</v>
      </c>
      <c r="AZ310" s="89">
        <f t="shared" si="19"/>
        <v>65741291.888414219</v>
      </c>
      <c r="BA310" s="89">
        <v>49898330.749154218</v>
      </c>
      <c r="BB310" s="89">
        <v>15842961.139259998</v>
      </c>
      <c r="BC310" s="89">
        <v>358306338.45750183</v>
      </c>
      <c r="BD310" s="89"/>
      <c r="BE310" s="88">
        <f t="shared" si="27"/>
        <v>15495639.441026529</v>
      </c>
      <c r="BF310" s="89">
        <f t="shared" si="28"/>
        <v>1292334.3999999999</v>
      </c>
      <c r="BG310" s="89">
        <v>1110686.7</v>
      </c>
      <c r="BH310" s="89">
        <v>181647.7</v>
      </c>
      <c r="BI310" s="89">
        <v>15508597.941026529</v>
      </c>
      <c r="BJ310" s="89">
        <v>-1305292.9000000004</v>
      </c>
      <c r="BK310" s="88">
        <v>732.64499999999998</v>
      </c>
      <c r="BL310" s="89">
        <f t="shared" si="29"/>
        <v>-34.960999999999991</v>
      </c>
      <c r="BM310" s="89">
        <v>63.862000000000002</v>
      </c>
      <c r="BN310" s="89">
        <v>-98.822999999999993</v>
      </c>
      <c r="BO310" s="89">
        <v>767.60599999999999</v>
      </c>
      <c r="BP310" s="89"/>
      <c r="BQ310" s="88">
        <v>29593.363548000001</v>
      </c>
      <c r="BR310" s="89">
        <f>BS310+BT310</f>
        <v>-120.88840300000015</v>
      </c>
      <c r="BS310" s="89">
        <v>646.33754499999986</v>
      </c>
      <c r="BT310" s="89">
        <v>-767.22594800000002</v>
      </c>
      <c r="BU310" s="89">
        <v>29714.251951000002</v>
      </c>
      <c r="BV310" s="89"/>
      <c r="BW310" s="88">
        <v>16775.40568371</v>
      </c>
      <c r="BX310" s="89">
        <f t="shared" si="30"/>
        <v>7900.9511635772515</v>
      </c>
      <c r="BY310" s="89">
        <v>7575.8818814772512</v>
      </c>
      <c r="BZ310" s="89">
        <v>325.06928210000001</v>
      </c>
      <c r="CA310" s="89">
        <v>11198.13007236</v>
      </c>
      <c r="CB310" s="89">
        <v>-2323.6755522272515</v>
      </c>
      <c r="CC310" s="88">
        <v>1473.3879999999999</v>
      </c>
      <c r="CD310" s="89">
        <f t="shared" si="31"/>
        <v>-130.738</v>
      </c>
      <c r="CE310" s="89">
        <v>27.122</v>
      </c>
      <c r="CF310" s="89">
        <v>-157.86000000000001</v>
      </c>
      <c r="CG310" s="89">
        <v>1604.126</v>
      </c>
      <c r="CH310" s="89"/>
      <c r="CI310" s="88">
        <v>185303.97471287916</v>
      </c>
      <c r="CJ310" s="89">
        <f t="shared" si="32"/>
        <v>40897.078025829098</v>
      </c>
      <c r="CK310" s="89">
        <v>40263.178025829096</v>
      </c>
      <c r="CL310" s="89">
        <v>633.9</v>
      </c>
      <c r="CM310" s="89">
        <v>159120.79999999999</v>
      </c>
      <c r="CN310" s="89">
        <v>-14713.937726556138</v>
      </c>
      <c r="CO310" s="88">
        <v>162688.4</v>
      </c>
      <c r="CP310" s="89">
        <v>-18972.299999999996</v>
      </c>
      <c r="CQ310" s="89">
        <v>43783.3</v>
      </c>
      <c r="CR310" s="89">
        <f t="shared" si="33"/>
        <v>-62755.6</v>
      </c>
      <c r="CS310" s="89">
        <v>204523.9</v>
      </c>
      <c r="CT310" s="89">
        <v>-22863.200000000001</v>
      </c>
      <c r="CU310" s="88">
        <f t="shared" si="34"/>
        <v>103717.43076181404</v>
      </c>
      <c r="CV310" s="89">
        <v>12033.978355429219</v>
      </c>
      <c r="CW310" s="89">
        <v>14999.284861670018</v>
      </c>
      <c r="CX310" s="89">
        <v>-2965.3065062407986</v>
      </c>
      <c r="CY310" s="89">
        <v>91683.452406384822</v>
      </c>
      <c r="CZ310" s="89"/>
      <c r="DA310" s="88">
        <v>158970.63361593126</v>
      </c>
      <c r="DB310" s="89">
        <f t="shared" si="35"/>
        <v>8138.409911450135</v>
      </c>
      <c r="DC310" s="89">
        <v>-5094.6495984150679</v>
      </c>
      <c r="DD310" s="89">
        <v>13233.059509865203</v>
      </c>
      <c r="DE310" s="89">
        <v>239475.14545360953</v>
      </c>
      <c r="DF310" s="89">
        <v>-88641.939471396603</v>
      </c>
      <c r="DG310" s="88">
        <v>468568.79523828946</v>
      </c>
      <c r="DH310" s="89">
        <v>158404.57823828948</v>
      </c>
      <c r="DI310" s="89"/>
      <c r="DJ310" s="89"/>
      <c r="DK310" s="89">
        <v>345532.03899999999</v>
      </c>
      <c r="DL310" s="89">
        <v>-35367.822</v>
      </c>
      <c r="DM310" s="88">
        <v>9261570</v>
      </c>
      <c r="DN310" s="89">
        <f t="shared" si="21"/>
        <v>3528512</v>
      </c>
      <c r="DO310" s="89">
        <v>2709860</v>
      </c>
      <c r="DP310" s="89">
        <v>818652</v>
      </c>
      <c r="DQ310" s="89">
        <v>5733060</v>
      </c>
      <c r="DR310" s="89"/>
      <c r="DS310" s="88">
        <v>111444.64839055462</v>
      </c>
      <c r="DT310" s="89">
        <f t="shared" si="36"/>
        <v>37621.167427224347</v>
      </c>
      <c r="DU310" s="89">
        <v>35798.159590114345</v>
      </c>
      <c r="DV310" s="89">
        <v>1823.0078371100001</v>
      </c>
      <c r="DW310" s="89">
        <v>114144.43138058161</v>
      </c>
      <c r="DX310" s="89">
        <v>-40320.950319251315</v>
      </c>
      <c r="DY310" s="88">
        <v>11647.685185</v>
      </c>
      <c r="DZ310" s="89">
        <f t="shared" si="18"/>
        <v>-844.59281499999997</v>
      </c>
      <c r="EA310" s="89">
        <v>1203.1889329999999</v>
      </c>
      <c r="EB310" s="89">
        <v>-2047.7817479999999</v>
      </c>
      <c r="EC310" s="89">
        <v>12085.73</v>
      </c>
      <c r="ED310" s="89"/>
      <c r="EE310" s="88">
        <v>30087.928532280002</v>
      </c>
      <c r="EF310" s="89">
        <f t="shared" si="37"/>
        <v>-3786.7420211300014</v>
      </c>
      <c r="EG310" s="89">
        <v>-4001.2217405300016</v>
      </c>
      <c r="EH310" s="89">
        <v>214.47971940000002</v>
      </c>
      <c r="EI310" s="89">
        <v>43524.246735610002</v>
      </c>
      <c r="EJ310" s="89">
        <v>-9649.5761822000022</v>
      </c>
      <c r="EK310" s="88">
        <v>44582568</v>
      </c>
      <c r="EL310" s="89">
        <v>-16676629</v>
      </c>
      <c r="EM310" s="89">
        <v>-14631374</v>
      </c>
      <c r="EN310" s="89">
        <v>-2045255</v>
      </c>
      <c r="EO310" s="89">
        <v>63447004</v>
      </c>
      <c r="EP310" s="89">
        <v>-2187807</v>
      </c>
      <c r="EQ310" s="88">
        <v>152622.25301876999</v>
      </c>
      <c r="ER310" s="89">
        <v>-53216.350374009999</v>
      </c>
      <c r="ES310" s="89"/>
      <c r="ET310" s="89"/>
      <c r="EU310" s="89">
        <v>288805.11003178998</v>
      </c>
      <c r="EV310" s="89">
        <v>-82966.506639009982</v>
      </c>
      <c r="EW310" s="88">
        <v>1252282.4313508444</v>
      </c>
      <c r="EX310" s="89">
        <f t="shared" si="20"/>
        <v>772734.34030273987</v>
      </c>
      <c r="EY310" s="89">
        <v>751060.76768013986</v>
      </c>
      <c r="EZ310" s="89">
        <v>21673.572622600004</v>
      </c>
      <c r="FA310" s="89">
        <v>764216.26030589</v>
      </c>
      <c r="FB310" s="89">
        <v>-284668.16925778572</v>
      </c>
      <c r="FC310" s="88">
        <v>1016.008</v>
      </c>
      <c r="FD310" s="89">
        <f t="shared" si="38"/>
        <v>-410.36699999999996</v>
      </c>
      <c r="FE310" s="89">
        <v>491.03800000000001</v>
      </c>
      <c r="FF310" s="89">
        <v>-901.40499999999997</v>
      </c>
      <c r="FG310" s="89">
        <v>1426.375</v>
      </c>
      <c r="FH310" s="89"/>
      <c r="FI310" s="88">
        <v>1063.4970000000001</v>
      </c>
      <c r="FJ310" s="89">
        <f t="shared" si="39"/>
        <v>2.5799999999999983</v>
      </c>
      <c r="FK310" s="89">
        <v>100.496</v>
      </c>
      <c r="FL310" s="89">
        <v>-97.915999999999997</v>
      </c>
      <c r="FM310" s="89">
        <v>1060.9169999999999</v>
      </c>
      <c r="FN310" s="89"/>
      <c r="FO310" s="88">
        <v>3327.9859999999999</v>
      </c>
      <c r="FP310" s="89">
        <f t="shared" si="40"/>
        <v>-245.98599999999999</v>
      </c>
      <c r="FQ310" s="89">
        <v>264.077</v>
      </c>
      <c r="FR310" s="89">
        <v>-510.06299999999999</v>
      </c>
      <c r="FS310" s="89">
        <v>3573.9720000000002</v>
      </c>
      <c r="FT310" s="89"/>
      <c r="FU310" s="88">
        <f t="shared" si="41"/>
        <v>7451.9</v>
      </c>
      <c r="FV310" s="89">
        <f t="shared" si="42"/>
        <v>1857</v>
      </c>
      <c r="FW310" s="89">
        <v>1716.6</v>
      </c>
      <c r="FX310" s="89">
        <v>140.4</v>
      </c>
      <c r="FY310" s="89">
        <v>5430.2</v>
      </c>
      <c r="FZ310" s="89">
        <v>164.7</v>
      </c>
      <c r="GA310" s="88">
        <v>26030.5</v>
      </c>
      <c r="GB310" s="89">
        <v>-24552.699999999997</v>
      </c>
      <c r="GC310" s="89"/>
      <c r="GD310" s="89"/>
      <c r="GE310" s="89">
        <v>50583.199999999997</v>
      </c>
      <c r="GF310" s="89"/>
      <c r="GG310" s="88">
        <v>252475</v>
      </c>
      <c r="GH310" s="89">
        <v>99338</v>
      </c>
      <c r="GI310" s="89">
        <v>96591</v>
      </c>
      <c r="GJ310" s="89">
        <v>2748</v>
      </c>
      <c r="GK310" s="89">
        <v>405784</v>
      </c>
      <c r="GL310" s="89">
        <v>-252648</v>
      </c>
      <c r="GM310" s="88">
        <v>2508298.1479824395</v>
      </c>
      <c r="GN310" s="89">
        <v>533630.74141371972</v>
      </c>
      <c r="GO310" s="89">
        <v>346047.26252895989</v>
      </c>
      <c r="GP310" s="89">
        <v>187583.47888475982</v>
      </c>
      <c r="GQ310" s="89">
        <v>1809775.6709069996</v>
      </c>
      <c r="GR310" s="89">
        <v>164891.73566172001</v>
      </c>
    </row>
    <row r="311" spans="1:200">
      <c r="B311" s="93" t="s">
        <v>496</v>
      </c>
      <c r="C311" s="88">
        <v>2480.2550000000001</v>
      </c>
      <c r="D311" s="89">
        <f t="shared" si="22"/>
        <v>399.59299999999996</v>
      </c>
      <c r="E311" s="89">
        <v>475.51799999999997</v>
      </c>
      <c r="F311" s="89">
        <v>-75.924999999999997</v>
      </c>
      <c r="G311" s="89">
        <v>2080.6619999999998</v>
      </c>
      <c r="H311" s="89"/>
      <c r="I311" s="88">
        <v>1306121.1680000001</v>
      </c>
      <c r="J311" s="89">
        <v>1372581.0822195401</v>
      </c>
      <c r="K311" s="89"/>
      <c r="L311" s="89"/>
      <c r="M311" s="89">
        <v>746575.93900000001</v>
      </c>
      <c r="N311" s="89">
        <v>-813035.85121954011</v>
      </c>
      <c r="O311" s="88">
        <v>8904.2999999999993</v>
      </c>
      <c r="P311" s="89">
        <f t="shared" si="23"/>
        <v>2589.5</v>
      </c>
      <c r="Q311" s="89">
        <v>2093.1</v>
      </c>
      <c r="R311" s="89">
        <v>496.4</v>
      </c>
      <c r="S311" s="89">
        <v>6314.8</v>
      </c>
      <c r="T311" s="89"/>
      <c r="U311" s="88">
        <f t="shared" si="24"/>
        <v>8381.5108180000007</v>
      </c>
      <c r="V311" s="89">
        <f t="shared" si="25"/>
        <v>3021.9598180000003</v>
      </c>
      <c r="W311" s="89">
        <v>2533.5018180000002</v>
      </c>
      <c r="X311" s="89">
        <v>488.45800000000003</v>
      </c>
      <c r="Y311" s="89">
        <v>5359.5510000000004</v>
      </c>
      <c r="Z311" s="89"/>
      <c r="AA311" s="88">
        <v>1967.1510852599999</v>
      </c>
      <c r="AB311" s="89">
        <v>17.256019069999979</v>
      </c>
      <c r="AC311" s="89">
        <v>5.3310950699999813</v>
      </c>
      <c r="AD311" s="89">
        <v>11.765000000000001</v>
      </c>
      <c r="AE311" s="89">
        <v>1949.8950661899999</v>
      </c>
      <c r="AF311" s="89"/>
      <c r="AG311" s="88">
        <f t="shared" si="26"/>
        <v>139911.22903583068</v>
      </c>
      <c r="AH311" s="89">
        <v>31198.723442558541</v>
      </c>
      <c r="AI311" s="89">
        <v>11390.670591188542</v>
      </c>
      <c r="AJ311" s="89">
        <v>19808.052851370001</v>
      </c>
      <c r="AK311" s="89">
        <v>108712.50559327213</v>
      </c>
      <c r="AL311" s="89"/>
      <c r="AM311" s="88">
        <v>6067774</v>
      </c>
      <c r="AN311" s="89">
        <v>1640723</v>
      </c>
      <c r="AO311" s="89">
        <v>1399564</v>
      </c>
      <c r="AP311" s="89">
        <v>241159</v>
      </c>
      <c r="AQ311" s="89">
        <v>3922639</v>
      </c>
      <c r="AR311" s="89">
        <v>504412</v>
      </c>
      <c r="AS311" s="88">
        <v>98639822.332905993</v>
      </c>
      <c r="AT311" s="89">
        <v>-1669816.521617</v>
      </c>
      <c r="AU311" s="89">
        <v>-1669816.521617</v>
      </c>
      <c r="AV311" s="89"/>
      <c r="AW311" s="89">
        <v>125530270.988832</v>
      </c>
      <c r="AX311" s="89">
        <v>-25220632.134308998</v>
      </c>
      <c r="AY311" s="88">
        <v>431749620.04452115</v>
      </c>
      <c r="AZ311" s="89">
        <f t="shared" si="19"/>
        <v>66087700.671470754</v>
      </c>
      <c r="BA311" s="89">
        <v>50120116.95106075</v>
      </c>
      <c r="BB311" s="89">
        <v>15967583.720410002</v>
      </c>
      <c r="BC311" s="89">
        <v>365661919.37305039</v>
      </c>
      <c r="BD311" s="89"/>
      <c r="BE311" s="88">
        <f t="shared" si="27"/>
        <v>15593787.263943071</v>
      </c>
      <c r="BF311" s="89">
        <f t="shared" si="28"/>
        <v>1364903.5999999999</v>
      </c>
      <c r="BG311" s="89">
        <v>1182013.8999999999</v>
      </c>
      <c r="BH311" s="89">
        <v>182889.7</v>
      </c>
      <c r="BI311" s="89">
        <v>15672817.96394307</v>
      </c>
      <c r="BJ311" s="89">
        <v>-1443934.2999999989</v>
      </c>
      <c r="BK311" s="88">
        <v>722.47400000000005</v>
      </c>
      <c r="BL311" s="89">
        <f t="shared" si="29"/>
        <v>-45.042999999999999</v>
      </c>
      <c r="BM311" s="89">
        <v>53.627000000000002</v>
      </c>
      <c r="BN311" s="89">
        <v>-98.67</v>
      </c>
      <c r="BO311" s="89">
        <v>767.51700000000005</v>
      </c>
      <c r="BP311" s="89"/>
      <c r="BQ311" s="88">
        <v>29702.078898999996</v>
      </c>
      <c r="BR311" s="89">
        <f t="shared" ref="BR311:BR323" si="43">BS311+BT311</f>
        <v>320.28659100000027</v>
      </c>
      <c r="BS311" s="89">
        <v>1047.9877460000002</v>
      </c>
      <c r="BT311" s="89">
        <v>-727.70115499999997</v>
      </c>
      <c r="BU311" s="89">
        <v>29381.792307999996</v>
      </c>
      <c r="BV311" s="89"/>
      <c r="BW311" s="88">
        <v>16864.50785192</v>
      </c>
      <c r="BX311" s="89">
        <f t="shared" si="30"/>
        <v>7991.6688058300188</v>
      </c>
      <c r="BY311" s="89">
        <v>7660.6235600500186</v>
      </c>
      <c r="BZ311" s="89">
        <v>331.04524577999996</v>
      </c>
      <c r="CA311" s="89">
        <v>11257.712697880001</v>
      </c>
      <c r="CB311" s="89">
        <v>-2384.873651790017</v>
      </c>
      <c r="CC311" s="88">
        <v>1468.7950000000001</v>
      </c>
      <c r="CD311" s="89">
        <f t="shared" si="31"/>
        <v>-131.833</v>
      </c>
      <c r="CE311" s="89">
        <v>9.2550000000000008</v>
      </c>
      <c r="CF311" s="89">
        <v>-141.08799999999999</v>
      </c>
      <c r="CG311" s="89">
        <v>1600.6279999999999</v>
      </c>
      <c r="CH311" s="89"/>
      <c r="CI311" s="88">
        <v>185840.23576639112</v>
      </c>
      <c r="CJ311" s="89">
        <f t="shared" si="32"/>
        <v>39788.022772400036</v>
      </c>
      <c r="CK311" s="89">
        <v>39184.122772400035</v>
      </c>
      <c r="CL311" s="89">
        <v>603.9</v>
      </c>
      <c r="CM311" s="89">
        <v>160962.70000000001</v>
      </c>
      <c r="CN311" s="89">
        <v>-14910.541965187153</v>
      </c>
      <c r="CO311" s="88">
        <v>165146.9</v>
      </c>
      <c r="CP311" s="89">
        <v>-19409.099999999999</v>
      </c>
      <c r="CQ311" s="89">
        <v>41879.300000000003</v>
      </c>
      <c r="CR311" s="89">
        <f t="shared" si="33"/>
        <v>-61288.4</v>
      </c>
      <c r="CS311" s="89">
        <v>206783</v>
      </c>
      <c r="CT311" s="89">
        <v>-22227</v>
      </c>
      <c r="CU311" s="88">
        <f t="shared" si="34"/>
        <v>105829.21063809244</v>
      </c>
      <c r="CV311" s="89">
        <v>17434.691569249291</v>
      </c>
      <c r="CW311" s="89">
        <v>20070.185834506286</v>
      </c>
      <c r="CX311" s="89">
        <v>-2635.4942652569953</v>
      </c>
      <c r="CY311" s="89">
        <v>88394.519068843147</v>
      </c>
      <c r="CZ311" s="89"/>
      <c r="DA311" s="88">
        <v>159545.47050179247</v>
      </c>
      <c r="DB311" s="89">
        <f t="shared" si="35"/>
        <v>7871.0723700676572</v>
      </c>
      <c r="DC311" s="89">
        <v>-5252.5887696585705</v>
      </c>
      <c r="DD311" s="89">
        <v>13123.661139726228</v>
      </c>
      <c r="DE311" s="89">
        <v>242711.57556331644</v>
      </c>
      <c r="DF311" s="89">
        <v>-91037.177431591641</v>
      </c>
      <c r="DG311" s="88">
        <v>455804.44423828949</v>
      </c>
      <c r="DH311" s="89">
        <v>145908.50523828948</v>
      </c>
      <c r="DI311" s="89"/>
      <c r="DJ311" s="89"/>
      <c r="DK311" s="89">
        <v>348536.26500000001</v>
      </c>
      <c r="DL311" s="89">
        <v>-38640.326000000001</v>
      </c>
      <c r="DM311" s="88">
        <v>9295420</v>
      </c>
      <c r="DN311" s="89">
        <f t="shared" si="21"/>
        <v>3513392</v>
      </c>
      <c r="DO311" s="89">
        <v>2690210</v>
      </c>
      <c r="DP311" s="89">
        <v>823182</v>
      </c>
      <c r="DQ311" s="89">
        <v>5782030</v>
      </c>
      <c r="DR311" s="89"/>
      <c r="DS311" s="88">
        <v>110936.34414226506</v>
      </c>
      <c r="DT311" s="89">
        <f t="shared" si="36"/>
        <v>37056.617699262322</v>
      </c>
      <c r="DU311" s="89">
        <v>34843.446302142322</v>
      </c>
      <c r="DV311" s="89">
        <v>2213.1713971200002</v>
      </c>
      <c r="DW311" s="89">
        <v>115275.60870677151</v>
      </c>
      <c r="DX311" s="89">
        <v>-41395.882162768779</v>
      </c>
      <c r="DY311" s="88">
        <v>11562.765484</v>
      </c>
      <c r="DZ311" s="89">
        <f t="shared" si="18"/>
        <v>-893.1625160000001</v>
      </c>
      <c r="EA311" s="89">
        <v>1179.658232</v>
      </c>
      <c r="EB311" s="89">
        <v>-2072.8207480000001</v>
      </c>
      <c r="EC311" s="89">
        <v>12051.293</v>
      </c>
      <c r="ED311" s="89"/>
      <c r="EE311" s="88">
        <v>29720.796256889997</v>
      </c>
      <c r="EF311" s="89">
        <f t="shared" si="37"/>
        <v>-4170.4479933000021</v>
      </c>
      <c r="EG311" s="89">
        <v>-4364.3862640800016</v>
      </c>
      <c r="EH311" s="89">
        <v>193.93827078000001</v>
      </c>
      <c r="EI311" s="89">
        <v>43951.597730790003</v>
      </c>
      <c r="EJ311" s="89">
        <v>-10060.353480600003</v>
      </c>
      <c r="EK311" s="88">
        <v>47036885</v>
      </c>
      <c r="EL311" s="89">
        <v>-16450978</v>
      </c>
      <c r="EM311" s="89">
        <v>-14445956</v>
      </c>
      <c r="EN311" s="89">
        <v>-2005022</v>
      </c>
      <c r="EO311" s="89">
        <v>65724690</v>
      </c>
      <c r="EP311" s="89">
        <v>-2236827</v>
      </c>
      <c r="EQ311" s="88">
        <v>148548.20765852</v>
      </c>
      <c r="ER311" s="89">
        <v>-57597.814014119998</v>
      </c>
      <c r="ES311" s="89"/>
      <c r="ET311" s="89"/>
      <c r="EU311" s="89">
        <v>291776.33926500002</v>
      </c>
      <c r="EV311" s="89">
        <v>-85630.317592360021</v>
      </c>
      <c r="EW311" s="88">
        <v>1269974.8495865634</v>
      </c>
      <c r="EX311" s="89">
        <f t="shared" si="20"/>
        <v>779103.74644179002</v>
      </c>
      <c r="EY311" s="89">
        <v>743614.30147160997</v>
      </c>
      <c r="EZ311" s="89">
        <v>35489.444970180004</v>
      </c>
      <c r="FA311" s="89">
        <v>773535.91813711007</v>
      </c>
      <c r="FB311" s="89">
        <v>-282664.81499233656</v>
      </c>
      <c r="FC311" s="88">
        <v>1009.201</v>
      </c>
      <c r="FD311" s="89">
        <f t="shared" si="38"/>
        <v>-413.99699999999996</v>
      </c>
      <c r="FE311" s="89">
        <v>490.44600000000003</v>
      </c>
      <c r="FF311" s="89">
        <v>-904.44299999999998</v>
      </c>
      <c r="FG311" s="89">
        <v>1423.1980000000001</v>
      </c>
      <c r="FH311" s="89"/>
      <c r="FI311" s="88">
        <v>1061.6310000000001</v>
      </c>
      <c r="FJ311" s="89">
        <f t="shared" si="39"/>
        <v>-3.1089999999999947</v>
      </c>
      <c r="FK311" s="89">
        <v>110.211</v>
      </c>
      <c r="FL311" s="89">
        <v>-113.32</v>
      </c>
      <c r="FM311" s="89">
        <v>1064.74</v>
      </c>
      <c r="FN311" s="89"/>
      <c r="FO311" s="88">
        <v>3279.72</v>
      </c>
      <c r="FP311" s="89">
        <f t="shared" si="40"/>
        <v>-264.62800000000004</v>
      </c>
      <c r="FQ311" s="89">
        <v>241.732</v>
      </c>
      <c r="FR311" s="89">
        <v>-506.36</v>
      </c>
      <c r="FS311" s="89">
        <v>3544.348</v>
      </c>
      <c r="FT311" s="89"/>
      <c r="FU311" s="88">
        <f t="shared" si="41"/>
        <v>7627.9</v>
      </c>
      <c r="FV311" s="89">
        <f t="shared" si="42"/>
        <v>1962.8999999999999</v>
      </c>
      <c r="FW311" s="89">
        <v>1817.3</v>
      </c>
      <c r="FX311" s="89">
        <v>145.6</v>
      </c>
      <c r="FY311" s="89">
        <v>5489.3</v>
      </c>
      <c r="FZ311" s="89">
        <v>175.7</v>
      </c>
      <c r="GA311" s="88">
        <v>26902.9</v>
      </c>
      <c r="GB311" s="89">
        <v>-24000.6</v>
      </c>
      <c r="GC311" s="89"/>
      <c r="GD311" s="89"/>
      <c r="GE311" s="89">
        <v>50903.5</v>
      </c>
      <c r="GF311" s="89"/>
      <c r="GG311" s="88">
        <v>270035.91445170966</v>
      </c>
      <c r="GH311" s="89">
        <v>92308.640404219826</v>
      </c>
      <c r="GI311" s="89">
        <v>87119.15078416717</v>
      </c>
      <c r="GJ311" s="89">
        <v>5189.48962005264</v>
      </c>
      <c r="GK311" s="89">
        <v>404074.06420544861</v>
      </c>
      <c r="GL311" s="89">
        <v>-226346.79015795887</v>
      </c>
      <c r="GM311" s="88">
        <v>2714566.2341113696</v>
      </c>
      <c r="GN311" s="89">
        <v>558899.55812499986</v>
      </c>
      <c r="GO311" s="89">
        <v>348123.37964489992</v>
      </c>
      <c r="GP311" s="89">
        <v>210776.17848009994</v>
      </c>
      <c r="GQ311" s="89">
        <v>1949827.9962948596</v>
      </c>
      <c r="GR311" s="89">
        <v>205838.67969150998</v>
      </c>
    </row>
    <row r="312" spans="1:200">
      <c r="B312" s="93" t="s">
        <v>497</v>
      </c>
      <c r="C312" s="88">
        <v>2481.6790000000001</v>
      </c>
      <c r="D312" s="89">
        <f t="shared" si="22"/>
        <v>407.66700000000003</v>
      </c>
      <c r="E312" s="89">
        <v>473.02300000000002</v>
      </c>
      <c r="F312" s="89">
        <v>-65.355999999999995</v>
      </c>
      <c r="G312" s="89">
        <v>2074.0120000000002</v>
      </c>
      <c r="H312" s="89"/>
      <c r="I312" s="88">
        <v>1415884.0009999999</v>
      </c>
      <c r="J312" s="89">
        <v>1467069.0009999999</v>
      </c>
      <c r="K312" s="89"/>
      <c r="L312" s="89"/>
      <c r="M312" s="89">
        <v>766393.45900000003</v>
      </c>
      <c r="N312" s="89">
        <v>-817578.45900000003</v>
      </c>
      <c r="O312" s="88">
        <v>8987.6</v>
      </c>
      <c r="P312" s="89">
        <f t="shared" si="23"/>
        <v>2673.5</v>
      </c>
      <c r="Q312" s="89">
        <v>2172.6</v>
      </c>
      <c r="R312" s="89">
        <v>500.9</v>
      </c>
      <c r="S312" s="89">
        <v>6314.1</v>
      </c>
      <c r="T312" s="89"/>
      <c r="U312" s="88">
        <f t="shared" si="24"/>
        <v>8489.1360860000004</v>
      </c>
      <c r="V312" s="89">
        <f t="shared" si="25"/>
        <v>3095.8900860000003</v>
      </c>
      <c r="W312" s="89">
        <v>2615.8810860000003</v>
      </c>
      <c r="X312" s="89">
        <v>480.00900000000001</v>
      </c>
      <c r="Y312" s="89">
        <v>5393.2460000000001</v>
      </c>
      <c r="Z312" s="89"/>
      <c r="AA312" s="88">
        <v>2197.23723909</v>
      </c>
      <c r="AB312" s="89">
        <v>229.43758872000001</v>
      </c>
      <c r="AC312" s="89">
        <v>217.68109571999997</v>
      </c>
      <c r="AD312" s="89">
        <v>11.62</v>
      </c>
      <c r="AE312" s="89">
        <v>1967.7996503699999</v>
      </c>
      <c r="AF312" s="89"/>
      <c r="AG312" s="88">
        <f t="shared" si="26"/>
        <v>141365.5241876943</v>
      </c>
      <c r="AH312" s="89">
        <v>31348.760373322188</v>
      </c>
      <c r="AI312" s="89">
        <v>11374.03645139219</v>
      </c>
      <c r="AJ312" s="89">
        <v>19974.723921929999</v>
      </c>
      <c r="AK312" s="89">
        <v>110016.76381437213</v>
      </c>
      <c r="AL312" s="89"/>
      <c r="AM312" s="88">
        <v>6185247</v>
      </c>
      <c r="AN312" s="89">
        <v>1705813</v>
      </c>
      <c r="AO312" s="89">
        <v>1455183</v>
      </c>
      <c r="AP312" s="89">
        <v>250630</v>
      </c>
      <c r="AQ312" s="89">
        <v>3962022</v>
      </c>
      <c r="AR312" s="89">
        <v>517412</v>
      </c>
      <c r="AS312" s="88">
        <v>100481272.053937</v>
      </c>
      <c r="AT312" s="89">
        <v>-954404.84255900001</v>
      </c>
      <c r="AU312" s="89">
        <v>-954404.84255900001</v>
      </c>
      <c r="AV312" s="89"/>
      <c r="AW312" s="89">
        <v>127184642.513311</v>
      </c>
      <c r="AX312" s="101">
        <v>-25748965.616815001</v>
      </c>
      <c r="AY312" s="88">
        <v>436633969.90502053</v>
      </c>
      <c r="AZ312" s="89">
        <f t="shared" si="19"/>
        <v>64641467.804609276</v>
      </c>
      <c r="BA312" s="89">
        <v>49079846.809389271</v>
      </c>
      <c r="BB312" s="89">
        <v>15561620.995220004</v>
      </c>
      <c r="BC312" s="89">
        <v>371992502.1004113</v>
      </c>
      <c r="BD312" s="89"/>
      <c r="BE312" s="88">
        <f t="shared" si="27"/>
        <v>15907704.606627559</v>
      </c>
      <c r="BF312" s="89">
        <f t="shared" si="28"/>
        <v>1507384.209883</v>
      </c>
      <c r="BG312" s="89">
        <v>1324124.2957381899</v>
      </c>
      <c r="BH312" s="89">
        <v>183259.91414481</v>
      </c>
      <c r="BI312" s="89">
        <v>15844921.492896769</v>
      </c>
      <c r="BJ312" s="89">
        <v>-1444601.0961522099</v>
      </c>
      <c r="BK312" s="88">
        <v>699.04600000000005</v>
      </c>
      <c r="BL312" s="89">
        <f t="shared" si="29"/>
        <v>-71.070000000000007</v>
      </c>
      <c r="BM312" s="89">
        <v>26.74</v>
      </c>
      <c r="BN312" s="89">
        <v>-97.81</v>
      </c>
      <c r="BO312" s="89">
        <v>770.11599999999999</v>
      </c>
      <c r="BP312" s="89"/>
      <c r="BQ312" s="88">
        <v>29598.812805000001</v>
      </c>
      <c r="BR312" s="89">
        <f t="shared" si="43"/>
        <v>425.83304799999939</v>
      </c>
      <c r="BS312" s="89">
        <v>1188.5277489999996</v>
      </c>
      <c r="BT312" s="89">
        <v>-762.69470100000024</v>
      </c>
      <c r="BU312" s="89">
        <v>29172.979757000001</v>
      </c>
      <c r="BV312" s="89"/>
      <c r="BW312" s="88">
        <v>17060.399539710001</v>
      </c>
      <c r="BX312" s="89">
        <f t="shared" si="30"/>
        <v>8111.6355575200005</v>
      </c>
      <c r="BY312" s="89">
        <v>7774.0935136600001</v>
      </c>
      <c r="BZ312" s="89">
        <v>337.54204386000004</v>
      </c>
      <c r="CA312" s="89">
        <v>11309.925623309999</v>
      </c>
      <c r="CB312" s="89">
        <v>-2361.1616411199975</v>
      </c>
      <c r="CC312" s="88">
        <v>1445.2760000000001</v>
      </c>
      <c r="CD312" s="89">
        <f t="shared" si="31"/>
        <v>-138.465</v>
      </c>
      <c r="CE312" s="89">
        <v>12.069000000000001</v>
      </c>
      <c r="CF312" s="89">
        <v>-150.53399999999999</v>
      </c>
      <c r="CG312" s="89">
        <v>1583.741</v>
      </c>
      <c r="CH312" s="89"/>
      <c r="CI312" s="88">
        <v>186404.05480486454</v>
      </c>
      <c r="CJ312" s="89">
        <f t="shared" si="32"/>
        <v>39808.788820132242</v>
      </c>
      <c r="CK312" s="89">
        <v>39236.035400876688</v>
      </c>
      <c r="CL312" s="89">
        <v>572.75341925555063</v>
      </c>
      <c r="CM312" s="89">
        <v>162388.02339112561</v>
      </c>
      <c r="CN312" s="89">
        <v>-15792.757406393339</v>
      </c>
      <c r="CO312" s="88">
        <v>169150.3</v>
      </c>
      <c r="CP312" s="89">
        <v>-15868.8</v>
      </c>
      <c r="CQ312" s="89">
        <v>46870.9</v>
      </c>
      <c r="CR312" s="89">
        <f t="shared" si="33"/>
        <v>-62739.7</v>
      </c>
      <c r="CS312" s="89">
        <v>206830.8</v>
      </c>
      <c r="CT312" s="89">
        <v>-21811.7</v>
      </c>
      <c r="CU312" s="88">
        <f t="shared" si="34"/>
        <v>106260.60232047192</v>
      </c>
      <c r="CV312" s="89">
        <v>18570.528061231074</v>
      </c>
      <c r="CW312" s="89">
        <v>20935.584273975102</v>
      </c>
      <c r="CX312" s="89">
        <v>-2365.0562127440285</v>
      </c>
      <c r="CY312" s="89">
        <v>87690.07425924085</v>
      </c>
      <c r="CZ312" s="89"/>
      <c r="DA312" s="88">
        <v>160061.98638992672</v>
      </c>
      <c r="DB312" s="89">
        <f t="shared" si="35"/>
        <v>6975.9280753175153</v>
      </c>
      <c r="DC312" s="89">
        <v>-6428.2164024133745</v>
      </c>
      <c r="DD312" s="89">
        <v>13404.14447773089</v>
      </c>
      <c r="DE312" s="89">
        <v>244723.04811211623</v>
      </c>
      <c r="DF312" s="89">
        <v>-91636.989797507034</v>
      </c>
      <c r="DG312" s="88">
        <v>451726.46223828947</v>
      </c>
      <c r="DH312" s="89">
        <v>140517.51223828946</v>
      </c>
      <c r="DI312" s="89"/>
      <c r="DJ312" s="89"/>
      <c r="DK312" s="89">
        <v>352217.47100000002</v>
      </c>
      <c r="DL312" s="89">
        <v>-41008.521000000001</v>
      </c>
      <c r="DM312" s="88">
        <v>9601600</v>
      </c>
      <c r="DN312" s="89">
        <f t="shared" si="21"/>
        <v>3613353</v>
      </c>
      <c r="DO312" s="89">
        <v>2790700</v>
      </c>
      <c r="DP312" s="89">
        <v>822653</v>
      </c>
      <c r="DQ312" s="89">
        <v>5988250</v>
      </c>
      <c r="DR312" s="89"/>
      <c r="DS312" s="88">
        <v>113224.13778765415</v>
      </c>
      <c r="DT312" s="89">
        <f t="shared" si="36"/>
        <v>35990.816901652484</v>
      </c>
      <c r="DU312" s="89">
        <v>33769.789081442483</v>
      </c>
      <c r="DV312" s="89">
        <v>2221.0278202099998</v>
      </c>
      <c r="DW312" s="89">
        <v>119814.33205708298</v>
      </c>
      <c r="DX312" s="89">
        <v>-42581.011070081331</v>
      </c>
      <c r="DY312" s="88">
        <v>11555.460648</v>
      </c>
      <c r="DZ312" s="89">
        <f t="shared" si="18"/>
        <v>-899.0823519999999</v>
      </c>
      <c r="EA312" s="89">
        <v>1179.4043959999999</v>
      </c>
      <c r="EB312" s="89">
        <v>-2078.4867479999998</v>
      </c>
      <c r="EC312" s="89">
        <v>12057.767</v>
      </c>
      <c r="ED312" s="89"/>
      <c r="EE312" s="88">
        <v>30533.179701350007</v>
      </c>
      <c r="EF312" s="89">
        <f t="shared" si="37"/>
        <v>-4007.91281695</v>
      </c>
      <c r="EG312" s="89">
        <v>-4206.10865362</v>
      </c>
      <c r="EH312" s="89">
        <v>198.19583667000001</v>
      </c>
      <c r="EI312" s="89">
        <v>44439.48675827001</v>
      </c>
      <c r="EJ312" s="89">
        <v>-9898.394239969999</v>
      </c>
      <c r="EK312" s="88">
        <v>49342166</v>
      </c>
      <c r="EL312" s="89">
        <v>-16316339</v>
      </c>
      <c r="EM312" s="89">
        <v>-14207952</v>
      </c>
      <c r="EN312" s="89">
        <v>-2108387</v>
      </c>
      <c r="EO312" s="89">
        <v>67924387</v>
      </c>
      <c r="EP312" s="89">
        <v>-2265882</v>
      </c>
      <c r="EQ312" s="88">
        <v>152627.29304112002</v>
      </c>
      <c r="ER312" s="89">
        <v>-57352.049215140003</v>
      </c>
      <c r="ES312" s="89"/>
      <c r="ET312" s="89"/>
      <c r="EU312" s="89">
        <v>294317.7841703</v>
      </c>
      <c r="EV312" s="89">
        <v>-84338.441914039984</v>
      </c>
      <c r="EW312" s="88">
        <v>1297515.8887103894</v>
      </c>
      <c r="EX312" s="89">
        <f t="shared" si="20"/>
        <v>786489.27077837987</v>
      </c>
      <c r="EY312" s="89">
        <v>748639.13523880078</v>
      </c>
      <c r="EZ312" s="89">
        <v>37850.135539579089</v>
      </c>
      <c r="FA312" s="89">
        <v>792396.24844748015</v>
      </c>
      <c r="FB312" s="89">
        <v>-281369.63051547069</v>
      </c>
      <c r="FC312" s="88">
        <v>1060.8230000000001</v>
      </c>
      <c r="FD312" s="89">
        <f t="shared" si="38"/>
        <v>-375.52</v>
      </c>
      <c r="FE312" s="89">
        <v>532.31799999999998</v>
      </c>
      <c r="FF312" s="89">
        <v>-907.83799999999997</v>
      </c>
      <c r="FG312" s="89">
        <v>1436.3430000000001</v>
      </c>
      <c r="FH312" s="89"/>
      <c r="FI312" s="88">
        <v>1077.796</v>
      </c>
      <c r="FJ312" s="89">
        <f t="shared" si="39"/>
        <v>6.4060000000000059</v>
      </c>
      <c r="FK312" s="89">
        <v>118.709</v>
      </c>
      <c r="FL312" s="89">
        <v>-112.303</v>
      </c>
      <c r="FM312" s="89">
        <v>1071.3900000000001</v>
      </c>
      <c r="FN312" s="89"/>
      <c r="FO312" s="88">
        <v>3247.0549999999998</v>
      </c>
      <c r="FP312" s="89">
        <f t="shared" si="40"/>
        <v>-302.91999999999996</v>
      </c>
      <c r="FQ312" s="89">
        <v>207.047</v>
      </c>
      <c r="FR312" s="89">
        <v>-509.96699999999998</v>
      </c>
      <c r="FS312" s="89">
        <v>3549.9749999999999</v>
      </c>
      <c r="FT312" s="89"/>
      <c r="FU312" s="88">
        <f t="shared" si="41"/>
        <v>7961</v>
      </c>
      <c r="FV312" s="89">
        <f t="shared" si="42"/>
        <v>2291</v>
      </c>
      <c r="FW312" s="89">
        <v>2141.6</v>
      </c>
      <c r="FX312" s="89">
        <v>149.4</v>
      </c>
      <c r="FY312" s="89">
        <v>5490.3</v>
      </c>
      <c r="FZ312" s="89">
        <v>179.7</v>
      </c>
      <c r="GA312" s="88">
        <v>27254.2</v>
      </c>
      <c r="GB312" s="89">
        <v>-23740.100000000002</v>
      </c>
      <c r="GC312" s="89"/>
      <c r="GD312" s="89"/>
      <c r="GE312" s="89">
        <v>50994.3</v>
      </c>
      <c r="GF312" s="89"/>
      <c r="GG312" s="88">
        <v>282651.25979841268</v>
      </c>
      <c r="GH312" s="89">
        <v>93993.162315863301</v>
      </c>
      <c r="GI312" s="89">
        <v>88159.540404997068</v>
      </c>
      <c r="GJ312" s="89">
        <v>5833.6219108662299</v>
      </c>
      <c r="GK312" s="89">
        <v>411242.86499453645</v>
      </c>
      <c r="GL312" s="89">
        <v>-222584.76751198698</v>
      </c>
      <c r="GM312" s="88">
        <v>2866545.7770043602</v>
      </c>
      <c r="GN312" s="89">
        <v>568400.74401346012</v>
      </c>
      <c r="GO312" s="89">
        <v>347047.53663938999</v>
      </c>
      <c r="GP312" s="89">
        <v>221353.20737407013</v>
      </c>
      <c r="GQ312" s="89">
        <v>2081765.0785886501</v>
      </c>
      <c r="GR312" s="89">
        <v>216379.95440224998</v>
      </c>
    </row>
    <row r="313" spans="1:200">
      <c r="A313" s="135"/>
      <c r="B313" s="128" t="s">
        <v>498</v>
      </c>
      <c r="C313" s="88">
        <v>2481.5520000000001</v>
      </c>
      <c r="D313" s="89">
        <f t="shared" si="22"/>
        <v>402.161</v>
      </c>
      <c r="E313" s="89">
        <v>470.673</v>
      </c>
      <c r="F313" s="89">
        <v>-68.512</v>
      </c>
      <c r="G313" s="89">
        <v>2079.3910000000001</v>
      </c>
      <c r="H313" s="89"/>
      <c r="I313" s="88">
        <v>1455581.8389999997</v>
      </c>
      <c r="J313" s="89">
        <v>1489635.11943302</v>
      </c>
      <c r="K313" s="89"/>
      <c r="L313" s="89"/>
      <c r="M313" s="89">
        <v>794453.90399999998</v>
      </c>
      <c r="N313" s="89">
        <v>-828507.18443302007</v>
      </c>
      <c r="O313" s="88">
        <v>8975.7000000000007</v>
      </c>
      <c r="P313" s="89">
        <f t="shared" si="23"/>
        <v>2658.7000000000003</v>
      </c>
      <c r="Q313" s="89">
        <v>2164.8000000000002</v>
      </c>
      <c r="R313" s="89">
        <v>493.9</v>
      </c>
      <c r="S313" s="89">
        <v>6316.9</v>
      </c>
      <c r="T313" s="89"/>
      <c r="U313" s="88">
        <f t="shared" si="24"/>
        <v>8615.483361999999</v>
      </c>
      <c r="V313" s="89">
        <f t="shared" si="25"/>
        <v>3240.1003620000001</v>
      </c>
      <c r="W313" s="89">
        <v>2766.3053620000001</v>
      </c>
      <c r="X313" s="89">
        <v>473.79500000000002</v>
      </c>
      <c r="Y313" s="89">
        <v>5375.3829999999998</v>
      </c>
      <c r="Z313" s="89"/>
      <c r="AA313" s="88">
        <v>2230.9644097400001</v>
      </c>
      <c r="AB313" s="89">
        <v>264.61714759</v>
      </c>
      <c r="AC313" s="89">
        <v>253.22114759000002</v>
      </c>
      <c r="AD313" s="89">
        <v>11.396000000000001</v>
      </c>
      <c r="AE313" s="89">
        <v>1966.34726215</v>
      </c>
      <c r="AF313" s="89"/>
      <c r="AG313" s="90">
        <f t="shared" si="26"/>
        <v>143510.35040142393</v>
      </c>
      <c r="AH313" s="91">
        <v>31700.016622443225</v>
      </c>
      <c r="AI313" s="91">
        <v>11452.791311443225</v>
      </c>
      <c r="AJ313" s="91">
        <v>20247.225311000002</v>
      </c>
      <c r="AK313" s="91">
        <v>111810.3337789807</v>
      </c>
      <c r="AL313" s="89"/>
      <c r="AM313" s="88">
        <v>6268221</v>
      </c>
      <c r="AN313" s="89">
        <v>1790858</v>
      </c>
      <c r="AO313" s="89">
        <v>1540415</v>
      </c>
      <c r="AP313" s="89">
        <v>250443</v>
      </c>
      <c r="AQ313" s="89">
        <v>3962170</v>
      </c>
      <c r="AR313" s="89">
        <v>515194</v>
      </c>
      <c r="AS313" s="88">
        <v>101542257.21569599</v>
      </c>
      <c r="AT313" s="89">
        <v>-1007153.271113</v>
      </c>
      <c r="AU313" s="89">
        <v>-1007153.271113</v>
      </c>
      <c r="AV313" s="89"/>
      <c r="AW313" s="89">
        <v>128076493.079657</v>
      </c>
      <c r="AX313" s="101">
        <v>-25527082.592847999</v>
      </c>
      <c r="AY313" s="88">
        <v>448863631.00187337</v>
      </c>
      <c r="AZ313" s="89">
        <f t="shared" si="19"/>
        <v>61775496.353177212</v>
      </c>
      <c r="BA313" s="89">
        <v>46161080.508527212</v>
      </c>
      <c r="BB313" s="89">
        <v>15614415.844650002</v>
      </c>
      <c r="BC313" s="89">
        <v>387088134.64869612</v>
      </c>
      <c r="BD313" s="89"/>
      <c r="BE313" s="88">
        <f t="shared" si="27"/>
        <v>16241078.218269428</v>
      </c>
      <c r="BF313" s="89">
        <f t="shared" si="28"/>
        <v>1657464.5097920299</v>
      </c>
      <c r="BG313" s="89">
        <v>1456740.8388909099</v>
      </c>
      <c r="BH313" s="89">
        <v>200723.67090112</v>
      </c>
      <c r="BI313" s="89">
        <v>16046303.320820458</v>
      </c>
      <c r="BJ313" s="89">
        <v>-1462689.6123430601</v>
      </c>
      <c r="BK313" s="88">
        <v>682.04600000000005</v>
      </c>
      <c r="BL313" s="89">
        <f t="shared" si="29"/>
        <v>-90.518000000000001</v>
      </c>
      <c r="BM313" s="89">
        <v>4.9980000000000002</v>
      </c>
      <c r="BN313" s="89">
        <v>-95.516000000000005</v>
      </c>
      <c r="BO313" s="89">
        <v>772.56399999999996</v>
      </c>
      <c r="BP313" s="89"/>
      <c r="BQ313" s="88">
        <v>29918.495549999996</v>
      </c>
      <c r="BR313" s="89">
        <f t="shared" si="43"/>
        <v>913.16258299999993</v>
      </c>
      <c r="BS313" s="89">
        <v>1601.6625510000001</v>
      </c>
      <c r="BT313" s="89">
        <v>-688.49996800000019</v>
      </c>
      <c r="BU313" s="89">
        <v>29005.332966999995</v>
      </c>
      <c r="BV313" s="89"/>
      <c r="BW313" s="88">
        <v>17272.274125439995</v>
      </c>
      <c r="BX313" s="89">
        <f t="shared" si="30"/>
        <v>8246.4206448999994</v>
      </c>
      <c r="BY313" s="89">
        <v>7900.0334429499999</v>
      </c>
      <c r="BZ313" s="89">
        <v>346.38720194999996</v>
      </c>
      <c r="CA313" s="89">
        <v>11416.511544829998</v>
      </c>
      <c r="CB313" s="89">
        <v>-2390.6580642900017</v>
      </c>
      <c r="CC313" s="88">
        <v>1396.1020000000001</v>
      </c>
      <c r="CD313" s="89">
        <f t="shared" si="31"/>
        <v>-165.15800000000002</v>
      </c>
      <c r="CE313" s="89">
        <v>-5.673</v>
      </c>
      <c r="CF313" s="89">
        <v>-159.48500000000001</v>
      </c>
      <c r="CG313" s="89">
        <v>1561.26</v>
      </c>
      <c r="CH313" s="101"/>
      <c r="CI313" s="88">
        <v>187219.37903685856</v>
      </c>
      <c r="CJ313" s="89">
        <f t="shared" si="32"/>
        <v>39228.987059876599</v>
      </c>
      <c r="CK313" s="89">
        <v>38689.528904051971</v>
      </c>
      <c r="CL313" s="89">
        <v>539.45815582463001</v>
      </c>
      <c r="CM313" s="89">
        <v>164317.5531415228</v>
      </c>
      <c r="CN313" s="89">
        <v>-16327.161164540859</v>
      </c>
      <c r="CO313" s="88">
        <v>176688.7</v>
      </c>
      <c r="CP313" s="89">
        <v>-10071.1</v>
      </c>
      <c r="CQ313" s="89">
        <v>46536.9</v>
      </c>
      <c r="CR313" s="89">
        <f t="shared" si="33"/>
        <v>-56608</v>
      </c>
      <c r="CS313" s="89">
        <v>208553.9</v>
      </c>
      <c r="CT313" s="89">
        <v>-21794.1</v>
      </c>
      <c r="CU313" s="88">
        <f t="shared" si="34"/>
        <v>107880.27837450904</v>
      </c>
      <c r="CV313" s="89">
        <v>18603.465328104456</v>
      </c>
      <c r="CW313" s="89">
        <v>21141.910453872209</v>
      </c>
      <c r="CX313" s="89">
        <v>-2538.4451257677574</v>
      </c>
      <c r="CY313" s="89">
        <v>89276.813046404583</v>
      </c>
      <c r="CZ313" s="89"/>
      <c r="DA313" s="88">
        <v>163269.64702229958</v>
      </c>
      <c r="DB313" s="89">
        <f t="shared" si="35"/>
        <v>6346.7872605563134</v>
      </c>
      <c r="DC313" s="89">
        <v>-7018.2574014972997</v>
      </c>
      <c r="DD313" s="89">
        <v>13365.044662053613</v>
      </c>
      <c r="DE313" s="89">
        <v>248246.85086484154</v>
      </c>
      <c r="DF313" s="89">
        <v>-91323.991103098306</v>
      </c>
      <c r="DG313" s="88">
        <v>471483.1265057596</v>
      </c>
      <c r="DH313" s="89">
        <v>152190.13050575959</v>
      </c>
      <c r="DI313" s="89"/>
      <c r="DJ313" s="89"/>
      <c r="DK313" s="89">
        <v>357974.11200000002</v>
      </c>
      <c r="DL313" s="89">
        <v>-38681.116000000002</v>
      </c>
      <c r="DM313" s="88">
        <v>9593730</v>
      </c>
      <c r="DN313" s="89">
        <f t="shared" si="21"/>
        <v>3570998</v>
      </c>
      <c r="DO313" s="89">
        <v>2759280</v>
      </c>
      <c r="DP313" s="89">
        <v>811718</v>
      </c>
      <c r="DQ313" s="89">
        <v>6022730</v>
      </c>
      <c r="DR313" s="89"/>
      <c r="DS313" s="88">
        <v>116623.46941834087</v>
      </c>
      <c r="DT313" s="89">
        <f t="shared" si="36"/>
        <v>35785.18307491883</v>
      </c>
      <c r="DU313" s="89">
        <v>33408.843243151925</v>
      </c>
      <c r="DV313" s="89">
        <v>2376.3398317669053</v>
      </c>
      <c r="DW313" s="89">
        <v>122352.08434222889</v>
      </c>
      <c r="DX313" s="89">
        <v>-41513.797897806871</v>
      </c>
      <c r="DY313" s="88">
        <v>11470.518517999999</v>
      </c>
      <c r="DZ313" s="89">
        <f t="shared" si="18"/>
        <v>-959.43148199999996</v>
      </c>
      <c r="EA313" s="89">
        <v>1146.6873949999999</v>
      </c>
      <c r="EB313" s="89">
        <v>-2106.1188769999999</v>
      </c>
      <c r="EC313" s="89">
        <v>12039.199000000001</v>
      </c>
      <c r="ED313" s="89"/>
      <c r="EE313" s="88">
        <v>31068.390093890008</v>
      </c>
      <c r="EF313" s="89">
        <f t="shared" si="37"/>
        <v>-3650.5357096700004</v>
      </c>
      <c r="EG313" s="89">
        <v>-3836.3220268100004</v>
      </c>
      <c r="EH313" s="89">
        <v>185.78631713999999</v>
      </c>
      <c r="EI313" s="89">
        <v>44774.407349140005</v>
      </c>
      <c r="EJ313" s="89">
        <v>-10055.481545580002</v>
      </c>
      <c r="EK313" s="88">
        <v>50182137</v>
      </c>
      <c r="EL313" s="89">
        <v>-15741080</v>
      </c>
      <c r="EM313" s="89">
        <v>-13617105</v>
      </c>
      <c r="EN313" s="89">
        <v>-2123975</v>
      </c>
      <c r="EO313" s="89">
        <v>68475300</v>
      </c>
      <c r="EP313" s="89">
        <v>-2552083</v>
      </c>
      <c r="EQ313" s="88">
        <v>152899.72294009998</v>
      </c>
      <c r="ER313" s="89">
        <v>-55661.091871370001</v>
      </c>
      <c r="ES313" s="89"/>
      <c r="ET313" s="89"/>
      <c r="EU313" s="89">
        <v>298392.65939669998</v>
      </c>
      <c r="EV313" s="89">
        <v>-89831.844585229992</v>
      </c>
      <c r="EW313" s="88">
        <v>1321405.9587391997</v>
      </c>
      <c r="EX313" s="89">
        <f t="shared" si="20"/>
        <v>799249.80584468995</v>
      </c>
      <c r="EY313" s="89">
        <v>761268.86287346401</v>
      </c>
      <c r="EZ313" s="89">
        <v>37980.942971225908</v>
      </c>
      <c r="FA313" s="89">
        <v>809352.82339802</v>
      </c>
      <c r="FB313" s="89">
        <v>-287196.67050351028</v>
      </c>
      <c r="FC313" s="88">
        <v>1052.8720000000001</v>
      </c>
      <c r="FD313" s="89">
        <f t="shared" si="38"/>
        <v>-393.32899999999995</v>
      </c>
      <c r="FE313" s="89">
        <v>521.57000000000005</v>
      </c>
      <c r="FF313" s="89">
        <v>-914.899</v>
      </c>
      <c r="FG313" s="89">
        <v>1446.201</v>
      </c>
      <c r="FH313" s="89"/>
      <c r="FI313" s="88">
        <v>1087.3430000000001</v>
      </c>
      <c r="FJ313" s="89">
        <f t="shared" si="39"/>
        <v>14.795000000000002</v>
      </c>
      <c r="FK313" s="89">
        <v>124.816</v>
      </c>
      <c r="FL313" s="89">
        <v>-110.021</v>
      </c>
      <c r="FM313" s="89">
        <v>1072.548</v>
      </c>
      <c r="FN313" s="89"/>
      <c r="FO313" s="88">
        <v>3251.9830000000002</v>
      </c>
      <c r="FP313" s="89">
        <f t="shared" si="40"/>
        <v>-293.64</v>
      </c>
      <c r="FQ313" s="89">
        <v>229.398</v>
      </c>
      <c r="FR313" s="89">
        <v>-523.03800000000001</v>
      </c>
      <c r="FS313" s="89">
        <v>3545.623</v>
      </c>
      <c r="FT313" s="89"/>
      <c r="FU313" s="88">
        <f t="shared" si="41"/>
        <v>8087.5000000000009</v>
      </c>
      <c r="FV313" s="89">
        <f t="shared" si="42"/>
        <v>2404.4</v>
      </c>
      <c r="FW313" s="89">
        <v>2264.9</v>
      </c>
      <c r="FX313" s="89">
        <v>139.5</v>
      </c>
      <c r="FY313" s="89">
        <v>5501.3</v>
      </c>
      <c r="FZ313" s="89">
        <v>181.8</v>
      </c>
      <c r="GA313" s="88">
        <v>24797.5</v>
      </c>
      <c r="GB313" s="89">
        <v>-27588.5</v>
      </c>
      <c r="GC313" s="89"/>
      <c r="GD313" s="89"/>
      <c r="GE313" s="89">
        <v>52386</v>
      </c>
      <c r="GF313" s="89"/>
      <c r="GG313" s="88">
        <v>275989.41281856142</v>
      </c>
      <c r="GH313" s="89">
        <v>68561.208191252954</v>
      </c>
      <c r="GI313" s="89">
        <v>62141.105167506059</v>
      </c>
      <c r="GJ313" s="89">
        <v>6420.1030237469022</v>
      </c>
      <c r="GK313" s="89">
        <v>416124.92974869831</v>
      </c>
      <c r="GL313" s="89">
        <v>-208696.7251213899</v>
      </c>
      <c r="GM313" s="88">
        <v>2975736.4778558291</v>
      </c>
      <c r="GN313" s="89">
        <v>567658.25603530987</v>
      </c>
      <c r="GO313" s="89">
        <v>351271.49891160004</v>
      </c>
      <c r="GP313" s="89">
        <v>216386.75712370983</v>
      </c>
      <c r="GQ313" s="89">
        <v>2214376.8330491497</v>
      </c>
      <c r="GR313" s="89">
        <v>193701.38877137002</v>
      </c>
    </row>
    <row r="314" spans="1:200">
      <c r="A314" s="135"/>
      <c r="B314" s="128" t="s">
        <v>499</v>
      </c>
      <c r="C314" s="88">
        <v>2448.2170000000001</v>
      </c>
      <c r="D314" s="89">
        <f t="shared" si="22"/>
        <v>384.40800000000002</v>
      </c>
      <c r="E314" s="89">
        <v>450.30900000000003</v>
      </c>
      <c r="F314" s="89">
        <v>-65.900999999999996</v>
      </c>
      <c r="G314" s="89">
        <v>2063.8090000000002</v>
      </c>
      <c r="H314" s="89"/>
      <c r="I314" s="88">
        <v>1519890.6579999998</v>
      </c>
      <c r="J314" s="89">
        <v>1566853.5369586602</v>
      </c>
      <c r="K314" s="89"/>
      <c r="L314" s="89"/>
      <c r="M314" s="89">
        <v>829601.978</v>
      </c>
      <c r="N314" s="89">
        <v>-876564.85695866018</v>
      </c>
      <c r="O314" s="88">
        <v>9013.7000000000007</v>
      </c>
      <c r="P314" s="89">
        <f t="shared" si="23"/>
        <v>2702.2999999999997</v>
      </c>
      <c r="Q314" s="89">
        <v>2210.1999999999998</v>
      </c>
      <c r="R314" s="89">
        <v>492.1</v>
      </c>
      <c r="S314" s="89">
        <v>6311.4</v>
      </c>
      <c r="T314" s="89"/>
      <c r="U314" s="88">
        <f t="shared" si="24"/>
        <v>8683.6748490000009</v>
      </c>
      <c r="V314" s="89">
        <f t="shared" si="25"/>
        <v>3243.3858490000002</v>
      </c>
      <c r="W314" s="89">
        <v>2775.2268490000001</v>
      </c>
      <c r="X314" s="89">
        <v>468.15899999999999</v>
      </c>
      <c r="Y314" s="89">
        <v>5440.2890000000007</v>
      </c>
      <c r="Z314" s="89"/>
      <c r="AA314" s="88">
        <v>2272.1210670400001</v>
      </c>
      <c r="AB314" s="89">
        <v>296.65060454000007</v>
      </c>
      <c r="AC314" s="89">
        <v>285.58160454000006</v>
      </c>
      <c r="AD314" s="89">
        <v>11.069000000000001</v>
      </c>
      <c r="AE314" s="89">
        <v>1975.4704624999999</v>
      </c>
      <c r="AF314" s="89"/>
      <c r="AG314" s="90">
        <f t="shared" si="26"/>
        <v>145863.20313629488</v>
      </c>
      <c r="AH314" s="91">
        <v>32092.341954342388</v>
      </c>
      <c r="AI314" s="91">
        <v>11412.129570272384</v>
      </c>
      <c r="AJ314" s="91">
        <v>20680.212384070001</v>
      </c>
      <c r="AK314" s="91">
        <v>113770.86118195248</v>
      </c>
      <c r="AL314" s="89"/>
      <c r="AM314" s="88">
        <v>6351269</v>
      </c>
      <c r="AN314" s="89">
        <v>1834561</v>
      </c>
      <c r="AO314" s="89">
        <v>1583204</v>
      </c>
      <c r="AP314" s="89">
        <v>251357</v>
      </c>
      <c r="AQ314" s="89">
        <v>3997774</v>
      </c>
      <c r="AR314" s="89">
        <v>518934</v>
      </c>
      <c r="AS314" s="88">
        <v>101611988.105039</v>
      </c>
      <c r="AT314" s="89">
        <v>-1224875.3452319999</v>
      </c>
      <c r="AU314" s="89">
        <v>-1224875.3452319999</v>
      </c>
      <c r="AV314" s="89"/>
      <c r="AW314" s="89">
        <v>129748679.13592699</v>
      </c>
      <c r="AX314" s="101">
        <v>-26911815.685656</v>
      </c>
      <c r="AY314" s="88">
        <v>439663316.53979689</v>
      </c>
      <c r="AZ314" s="89">
        <f t="shared" si="19"/>
        <v>59995969.696636215</v>
      </c>
      <c r="BA314" s="89">
        <v>43999345.464036211</v>
      </c>
      <c r="BB314" s="89">
        <v>15996624.232600007</v>
      </c>
      <c r="BC314" s="89">
        <v>379667346.84316069</v>
      </c>
      <c r="BD314" s="89"/>
      <c r="BE314" s="88">
        <f t="shared" si="27"/>
        <v>16454376.479333872</v>
      </c>
      <c r="BF314" s="89">
        <f t="shared" si="28"/>
        <v>1781342.64095326</v>
      </c>
      <c r="BG314" s="89">
        <v>1576333.6880675999</v>
      </c>
      <c r="BH314" s="89">
        <v>205008.95288565999</v>
      </c>
      <c r="BI314" s="89">
        <v>16220119.97817529</v>
      </c>
      <c r="BJ314" s="89">
        <v>-1547086.1397946801</v>
      </c>
      <c r="BK314" s="88">
        <v>634.35500000000002</v>
      </c>
      <c r="BL314" s="89">
        <f t="shared" si="29"/>
        <v>-137.38900000000001</v>
      </c>
      <c r="BM314" s="89">
        <v>-42.944000000000003</v>
      </c>
      <c r="BN314" s="89">
        <v>-94.444999999999993</v>
      </c>
      <c r="BO314" s="89">
        <v>771.74400000000003</v>
      </c>
      <c r="BP314" s="89"/>
      <c r="BQ314" s="88">
        <v>29692.926018000002</v>
      </c>
      <c r="BR314" s="89">
        <f t="shared" si="43"/>
        <v>1017.0127689999993</v>
      </c>
      <c r="BS314" s="89">
        <v>1751.0157279999994</v>
      </c>
      <c r="BT314" s="89">
        <v>-734.00295900000015</v>
      </c>
      <c r="BU314" s="89">
        <v>28675.913249000001</v>
      </c>
      <c r="BV314" s="89"/>
      <c r="BW314" s="88">
        <v>17489.434970329999</v>
      </c>
      <c r="BX314" s="89">
        <f t="shared" si="30"/>
        <v>8387.527130616576</v>
      </c>
      <c r="BY314" s="89">
        <v>7989.1021090265767</v>
      </c>
      <c r="BZ314" s="89">
        <v>398.42502159000003</v>
      </c>
      <c r="CA314" s="89">
        <v>11537.596462400001</v>
      </c>
      <c r="CB314" s="89">
        <v>-2435.6886226865781</v>
      </c>
      <c r="CC314" s="88">
        <v>1381.2850000000001</v>
      </c>
      <c r="CD314" s="89">
        <f t="shared" si="31"/>
        <v>-175.35300000000001</v>
      </c>
      <c r="CE314" s="89">
        <v>-2.77</v>
      </c>
      <c r="CF314" s="89">
        <v>-172.583</v>
      </c>
      <c r="CG314" s="89">
        <v>1556.6379999999999</v>
      </c>
      <c r="CH314" s="101"/>
      <c r="CI314" s="88">
        <v>189266.12784981047</v>
      </c>
      <c r="CJ314" s="89">
        <f t="shared" si="32"/>
        <v>39092.093408026354</v>
      </c>
      <c r="CK314" s="89">
        <v>38572.167589687087</v>
      </c>
      <c r="CL314" s="89">
        <v>519.92581833926306</v>
      </c>
      <c r="CM314" s="89">
        <v>165970.29659395933</v>
      </c>
      <c r="CN314" s="89">
        <v>-15796.262152175183</v>
      </c>
      <c r="CO314" s="88">
        <v>182827.1</v>
      </c>
      <c r="CP314" s="89">
        <v>-5884.9</v>
      </c>
      <c r="CQ314" s="89">
        <v>53843.7</v>
      </c>
      <c r="CR314" s="89">
        <f t="shared" si="33"/>
        <v>-59728.6</v>
      </c>
      <c r="CS314" s="89">
        <v>210777.4</v>
      </c>
      <c r="CT314" s="89">
        <v>-22065.4</v>
      </c>
      <c r="CU314" s="88">
        <f t="shared" si="34"/>
        <v>109055.50044743279</v>
      </c>
      <c r="CV314" s="89">
        <v>18074.705032056303</v>
      </c>
      <c r="CW314" s="89">
        <v>20691.224720329992</v>
      </c>
      <c r="CX314" s="89">
        <v>-2616.5196882736927</v>
      </c>
      <c r="CY314" s="89">
        <v>90980.795415376488</v>
      </c>
      <c r="CZ314" s="89"/>
      <c r="DA314" s="88">
        <v>165245.91774394963</v>
      </c>
      <c r="DB314" s="89">
        <f t="shared" si="35"/>
        <v>7085.0968597378178</v>
      </c>
      <c r="DC314" s="89">
        <v>-6629.9944910730483</v>
      </c>
      <c r="DD314" s="89">
        <v>13715.091350810866</v>
      </c>
      <c r="DE314" s="89">
        <v>252594.82951145741</v>
      </c>
      <c r="DF314" s="89">
        <v>-94434.00862724561</v>
      </c>
      <c r="DG314" s="88">
        <v>477250.91849532205</v>
      </c>
      <c r="DH314" s="89">
        <v>156104.51249532204</v>
      </c>
      <c r="DI314" s="89"/>
      <c r="DJ314" s="89"/>
      <c r="DK314" s="89">
        <v>362897.054</v>
      </c>
      <c r="DL314" s="89">
        <v>-41750.648000000001</v>
      </c>
      <c r="DM314" s="88">
        <v>9639680</v>
      </c>
      <c r="DN314" s="89">
        <f t="shared" si="21"/>
        <v>3788282</v>
      </c>
      <c r="DO314" s="89">
        <v>2973420</v>
      </c>
      <c r="DP314" s="89">
        <v>814862</v>
      </c>
      <c r="DQ314" s="89">
        <v>5851390</v>
      </c>
      <c r="DR314" s="89"/>
      <c r="DS314" s="88">
        <v>119900.63841080281</v>
      </c>
      <c r="DT314" s="89">
        <f t="shared" si="36"/>
        <v>36347.952315534327</v>
      </c>
      <c r="DU314" s="89">
        <v>33886.346240854327</v>
      </c>
      <c r="DV314" s="89">
        <v>2461.6060746800003</v>
      </c>
      <c r="DW314" s="89">
        <v>125314.23052185867</v>
      </c>
      <c r="DX314" s="89">
        <v>-41761.544325590185</v>
      </c>
      <c r="DY314" s="88">
        <v>11481.754257999999</v>
      </c>
      <c r="DZ314" s="89">
        <f t="shared" si="18"/>
        <v>-931.43474199999969</v>
      </c>
      <c r="EA314" s="89">
        <v>1150.3705630000002</v>
      </c>
      <c r="EB314" s="89">
        <v>-2081.8053049999999</v>
      </c>
      <c r="EC314" s="89">
        <v>12013.916999999999</v>
      </c>
      <c r="ED314" s="89"/>
      <c r="EE314" s="88">
        <v>31709.493606869979</v>
      </c>
      <c r="EF314" s="89">
        <f t="shared" si="37"/>
        <v>-3282.0761200500006</v>
      </c>
      <c r="EG314" s="89">
        <v>-3462.2239625700004</v>
      </c>
      <c r="EH314" s="89">
        <v>180.14784251999998</v>
      </c>
      <c r="EI314" s="89">
        <v>45346.144219509981</v>
      </c>
      <c r="EJ314" s="89">
        <v>-10354.574492590004</v>
      </c>
      <c r="EK314" s="88">
        <v>51596473</v>
      </c>
      <c r="EL314" s="89">
        <v>-15301394</v>
      </c>
      <c r="EM314" s="89">
        <v>-13563057</v>
      </c>
      <c r="EN314" s="89">
        <v>-1738337</v>
      </c>
      <c r="EO314" s="89">
        <v>69419137</v>
      </c>
      <c r="EP314" s="89">
        <v>-2521270</v>
      </c>
      <c r="EQ314" s="88">
        <v>152456.64879393001</v>
      </c>
      <c r="ER314" s="89">
        <v>-58892.233014610007</v>
      </c>
      <c r="ES314" s="89"/>
      <c r="ET314" s="89"/>
      <c r="EU314" s="89">
        <v>302863.98880525003</v>
      </c>
      <c r="EV314" s="89">
        <v>-91515.106996710005</v>
      </c>
      <c r="EW314" s="88">
        <v>1344321.903111086</v>
      </c>
      <c r="EX314" s="89">
        <f t="shared" si="20"/>
        <v>807770.87176560995</v>
      </c>
      <c r="EY314" s="89">
        <v>769008.91400357336</v>
      </c>
      <c r="EZ314" s="89">
        <v>38761.957762036538</v>
      </c>
      <c r="FA314" s="89">
        <v>822032.06068469002</v>
      </c>
      <c r="FB314" s="89">
        <v>-285481.02933921386</v>
      </c>
      <c r="FC314" s="88">
        <v>1076.221</v>
      </c>
      <c r="FD314" s="89">
        <f t="shared" si="38"/>
        <v>-375.48599999999999</v>
      </c>
      <c r="FE314" s="89">
        <v>538.77599999999995</v>
      </c>
      <c r="FF314" s="89">
        <v>-914.26199999999994</v>
      </c>
      <c r="FG314" s="89">
        <v>1451.7070000000001</v>
      </c>
      <c r="FH314" s="89"/>
      <c r="FI314" s="88">
        <v>1057.9480000000001</v>
      </c>
      <c r="FJ314" s="89">
        <f t="shared" si="39"/>
        <v>-14.923999999999992</v>
      </c>
      <c r="FK314" s="89">
        <v>99.79</v>
      </c>
      <c r="FL314" s="89">
        <v>-114.714</v>
      </c>
      <c r="FM314" s="89">
        <v>1072.8720000000001</v>
      </c>
      <c r="FN314" s="101"/>
      <c r="FO314" s="88">
        <v>3347.248</v>
      </c>
      <c r="FP314" s="89">
        <f t="shared" si="40"/>
        <v>-187.03899999999999</v>
      </c>
      <c r="FQ314" s="89">
        <v>292.58800000000002</v>
      </c>
      <c r="FR314" s="89">
        <v>-479.62700000000001</v>
      </c>
      <c r="FS314" s="89">
        <v>3534.2869999999998</v>
      </c>
      <c r="FT314" s="89"/>
      <c r="FU314" s="88">
        <f t="shared" si="41"/>
        <v>8656.8000000000011</v>
      </c>
      <c r="FV314" s="89">
        <f t="shared" si="42"/>
        <v>2558.3000000000002</v>
      </c>
      <c r="FW314" s="89">
        <v>2398.9</v>
      </c>
      <c r="FX314" s="89">
        <v>159.4</v>
      </c>
      <c r="FY314" s="89">
        <v>5894.3</v>
      </c>
      <c r="FZ314" s="89">
        <v>204.2</v>
      </c>
      <c r="GA314" s="88">
        <v>27725.200000000001</v>
      </c>
      <c r="GB314" s="89">
        <v>-24299.899999999998</v>
      </c>
      <c r="GC314" s="89"/>
      <c r="GD314" s="89"/>
      <c r="GE314" s="89">
        <v>52025.1</v>
      </c>
      <c r="GF314" s="89"/>
      <c r="GG314" s="88">
        <v>286907.17757829477</v>
      </c>
      <c r="GH314" s="89">
        <v>66710.636408126215</v>
      </c>
      <c r="GI314" s="89">
        <v>60807.315096199236</v>
      </c>
      <c r="GJ314" s="89">
        <v>5903.3213119269785</v>
      </c>
      <c r="GK314" s="89">
        <v>422667.20603659633</v>
      </c>
      <c r="GL314" s="89">
        <v>-202470.66486642769</v>
      </c>
      <c r="GM314" s="88">
        <v>3166414.3884287407</v>
      </c>
      <c r="GN314" s="89">
        <v>572905.9286271201</v>
      </c>
      <c r="GO314" s="89">
        <v>351214.68191232003</v>
      </c>
      <c r="GP314" s="89">
        <v>221691.24671480007</v>
      </c>
      <c r="GQ314" s="89">
        <v>2387754.6227835803</v>
      </c>
      <c r="GR314" s="101">
        <v>205753.83701803998</v>
      </c>
    </row>
    <row r="315" spans="1:200">
      <c r="A315" s="132"/>
      <c r="B315" s="126" t="s">
        <v>500</v>
      </c>
      <c r="C315" s="104">
        <v>2251.0949999999998</v>
      </c>
      <c r="D315" s="105">
        <f t="shared" si="22"/>
        <v>341.62700000000001</v>
      </c>
      <c r="E315" s="89">
        <v>335.30599999999998</v>
      </c>
      <c r="F315" s="89">
        <v>6.3209999999999997</v>
      </c>
      <c r="G315" s="89">
        <v>1909.4680000000001</v>
      </c>
      <c r="H315" s="105"/>
      <c r="I315" s="104">
        <v>1501092.6159999999</v>
      </c>
      <c r="J315" s="89">
        <v>1728399.5123834901</v>
      </c>
      <c r="K315" s="105"/>
      <c r="L315" s="105"/>
      <c r="M315" s="105">
        <v>858297.07700000005</v>
      </c>
      <c r="N315" s="89">
        <v>-1085603.97338349</v>
      </c>
      <c r="O315" s="104">
        <v>8966.2000000000007</v>
      </c>
      <c r="P315" s="105">
        <f t="shared" si="23"/>
        <v>2666.4</v>
      </c>
      <c r="Q315" s="105">
        <v>2198</v>
      </c>
      <c r="R315" s="105">
        <v>468.4</v>
      </c>
      <c r="S315" s="105">
        <v>6299.7</v>
      </c>
      <c r="T315" s="105"/>
      <c r="U315" s="104">
        <f t="shared" si="24"/>
        <v>8707.1307610000003</v>
      </c>
      <c r="V315" s="105">
        <f t="shared" si="25"/>
        <v>3278.6217610000003</v>
      </c>
      <c r="W315" s="105">
        <v>2827.6967610000002</v>
      </c>
      <c r="X315" s="105">
        <v>450.92500000000001</v>
      </c>
      <c r="Y315" s="105">
        <v>5428.509</v>
      </c>
      <c r="Z315" s="105"/>
      <c r="AA315" s="104">
        <v>2286.2346196100002</v>
      </c>
      <c r="AB315" s="105">
        <v>307.09949869999997</v>
      </c>
      <c r="AC315" s="105">
        <v>296.40649869999999</v>
      </c>
      <c r="AD315" s="105">
        <v>10.693</v>
      </c>
      <c r="AE315" s="105">
        <v>1979.1351209100001</v>
      </c>
      <c r="AF315" s="105"/>
      <c r="AG315" s="106">
        <f t="shared" si="26"/>
        <v>149328.04624292025</v>
      </c>
      <c r="AH315" s="107">
        <v>33083.784283168912</v>
      </c>
      <c r="AI315" s="107">
        <v>12109.859035638912</v>
      </c>
      <c r="AJ315" s="107">
        <v>20973.925247530002</v>
      </c>
      <c r="AK315" s="107">
        <v>116244.26195975134</v>
      </c>
      <c r="AL315" s="105"/>
      <c r="AM315" s="104">
        <v>6419280</v>
      </c>
      <c r="AN315" s="105">
        <v>1886275</v>
      </c>
      <c r="AO315" s="105">
        <v>1628086</v>
      </c>
      <c r="AP315" s="105">
        <v>258189</v>
      </c>
      <c r="AQ315" s="105">
        <v>4006967</v>
      </c>
      <c r="AR315" s="103">
        <v>526038</v>
      </c>
      <c r="AS315" s="104">
        <v>102942032.82684401</v>
      </c>
      <c r="AT315" s="105">
        <v>-656514.05713800003</v>
      </c>
      <c r="AU315" s="105">
        <v>-656514.05713800003</v>
      </c>
      <c r="AV315" s="105"/>
      <c r="AW315" s="105">
        <v>130870465.062922</v>
      </c>
      <c r="AX315" s="103">
        <v>-27271918.178939998</v>
      </c>
      <c r="AY315" s="104">
        <v>437582442.93087053</v>
      </c>
      <c r="AZ315" s="105">
        <f t="shared" si="19"/>
        <v>60138493.064309992</v>
      </c>
      <c r="BA315" s="105">
        <v>43137458.204349995</v>
      </c>
      <c r="BB315" s="105">
        <v>17001034.859959997</v>
      </c>
      <c r="BC315" s="105">
        <v>377443949.86656052</v>
      </c>
      <c r="BD315" s="105"/>
      <c r="BE315" s="104">
        <f t="shared" si="27"/>
        <v>16798964.164964207</v>
      </c>
      <c r="BF315" s="105">
        <f t="shared" si="28"/>
        <v>1959412.93202781</v>
      </c>
      <c r="BG315" s="105">
        <v>1719836.32676806</v>
      </c>
      <c r="BH315" s="105">
        <v>239576.60525975001</v>
      </c>
      <c r="BI315" s="105">
        <v>16439731.630929619</v>
      </c>
      <c r="BJ315" s="105">
        <v>-1600180.39799322</v>
      </c>
      <c r="BK315" s="104">
        <v>631.71600000000001</v>
      </c>
      <c r="BL315" s="105">
        <f t="shared" si="29"/>
        <v>-143.881</v>
      </c>
      <c r="BM315" s="105">
        <v>-51.622999999999998</v>
      </c>
      <c r="BN315" s="105">
        <v>-92.257999999999996</v>
      </c>
      <c r="BO315" s="105">
        <v>775.59699999999998</v>
      </c>
      <c r="BP315" s="105"/>
      <c r="BQ315" s="104">
        <v>29647.30762</v>
      </c>
      <c r="BR315" s="105">
        <f t="shared" si="43"/>
        <v>1478.7146539999999</v>
      </c>
      <c r="BS315" s="105">
        <v>2062.2649660000002</v>
      </c>
      <c r="BT315" s="105">
        <v>-583.55031200000019</v>
      </c>
      <c r="BU315" s="105">
        <v>28168.592966</v>
      </c>
      <c r="BV315" s="105"/>
      <c r="BW315" s="104">
        <v>17606.567914210002</v>
      </c>
      <c r="BX315" s="105">
        <f t="shared" si="30"/>
        <v>8516.1231669839362</v>
      </c>
      <c r="BY315" s="105">
        <v>8104.6324206439367</v>
      </c>
      <c r="BZ315" s="105">
        <v>411.49074633999999</v>
      </c>
      <c r="CA315" s="105">
        <v>11597.43190673</v>
      </c>
      <c r="CB315" s="105">
        <v>-2506.9871595039372</v>
      </c>
      <c r="CC315" s="104">
        <v>1320.0740000000001</v>
      </c>
      <c r="CD315" s="105">
        <f t="shared" si="31"/>
        <v>-232.31400000000002</v>
      </c>
      <c r="CE315" s="105">
        <v>-65.876999999999995</v>
      </c>
      <c r="CF315" s="105">
        <v>-166.43700000000001</v>
      </c>
      <c r="CG315" s="105">
        <v>1552.3879999999999</v>
      </c>
      <c r="CH315" s="103"/>
      <c r="CI315" s="104">
        <v>193334.98585372936</v>
      </c>
      <c r="CJ315" s="105">
        <f t="shared" si="32"/>
        <v>41151.665002814014</v>
      </c>
      <c r="CK315" s="105">
        <v>40654.017520364199</v>
      </c>
      <c r="CL315" s="105">
        <v>497.64748244981274</v>
      </c>
      <c r="CM315" s="105">
        <v>167856.14945053376</v>
      </c>
      <c r="CN315" s="105">
        <v>-15672.828599618431</v>
      </c>
      <c r="CO315" s="104">
        <v>184598.8</v>
      </c>
      <c r="CP315" s="105">
        <v>-6366.4</v>
      </c>
      <c r="CQ315" s="105">
        <v>56331.199999999997</v>
      </c>
      <c r="CR315" s="105">
        <f t="shared" si="33"/>
        <v>-62697.599999999999</v>
      </c>
      <c r="CS315" s="105">
        <v>214487.2</v>
      </c>
      <c r="CT315" s="105">
        <v>-23521.9</v>
      </c>
      <c r="CU315" s="104">
        <f t="shared" si="34"/>
        <v>111282.1653323974</v>
      </c>
      <c r="CV315" s="105">
        <v>18904.310176431925</v>
      </c>
      <c r="CW315" s="105">
        <v>23017.351547675265</v>
      </c>
      <c r="CX315" s="105">
        <v>-4113.0413712433428</v>
      </c>
      <c r="CY315" s="105">
        <v>92377.855155965473</v>
      </c>
      <c r="CZ315" s="105"/>
      <c r="DA315" s="104">
        <v>168513.01534573233</v>
      </c>
      <c r="DB315" s="105">
        <f t="shared" si="35"/>
        <v>5002.2361761923312</v>
      </c>
      <c r="DC315" s="105">
        <v>-8939.0596613700545</v>
      </c>
      <c r="DD315" s="105">
        <v>13941.295837562386</v>
      </c>
      <c r="DE315" s="105">
        <v>254991.63326368434</v>
      </c>
      <c r="DF315" s="105">
        <v>-91480.854094144364</v>
      </c>
      <c r="DG315" s="104">
        <v>482388.27278553764</v>
      </c>
      <c r="DH315" s="105">
        <v>155842.22178553767</v>
      </c>
      <c r="DI315" s="105"/>
      <c r="DJ315" s="105"/>
      <c r="DK315" s="105">
        <v>365127.815</v>
      </c>
      <c r="DL315" s="105">
        <v>-38581.764000000003</v>
      </c>
      <c r="DM315" s="104">
        <v>9746130</v>
      </c>
      <c r="DN315" s="105">
        <f t="shared" si="21"/>
        <v>3817984</v>
      </c>
      <c r="DO315" s="105">
        <v>2970460</v>
      </c>
      <c r="DP315" s="105">
        <v>847524</v>
      </c>
      <c r="DQ315" s="105">
        <v>5928150</v>
      </c>
      <c r="DR315" s="105"/>
      <c r="DS315" s="104">
        <v>125342.436737957</v>
      </c>
      <c r="DT315" s="105">
        <f t="shared" si="36"/>
        <v>38613.833326250497</v>
      </c>
      <c r="DU315" s="105">
        <v>36849.131217559327</v>
      </c>
      <c r="DV315" s="105">
        <v>1764.7021086911705</v>
      </c>
      <c r="DW315" s="105">
        <v>128199.5821641291</v>
      </c>
      <c r="DX315" s="105">
        <v>-41470.97865642258</v>
      </c>
      <c r="DY315" s="104">
        <v>11084.549591000001</v>
      </c>
      <c r="DZ315" s="105">
        <f t="shared" si="18"/>
        <v>-1145.4944089999999</v>
      </c>
      <c r="EA315" s="105">
        <v>857.43189599999994</v>
      </c>
      <c r="EB315" s="105">
        <v>-2002.926305</v>
      </c>
      <c r="EC315" s="105">
        <v>11841.09</v>
      </c>
      <c r="ED315" s="105"/>
      <c r="EE315" s="104">
        <v>31697.267092190006</v>
      </c>
      <c r="EF315" s="105">
        <f t="shared" si="37"/>
        <v>-3630.4389582800004</v>
      </c>
      <c r="EG315" s="105">
        <v>-3810.4213662700004</v>
      </c>
      <c r="EH315" s="105">
        <v>179.98240798999998</v>
      </c>
      <c r="EI315" s="105">
        <v>45252.687784400005</v>
      </c>
      <c r="EJ315" s="105">
        <v>-9924.9817339300007</v>
      </c>
      <c r="EK315" s="104">
        <v>53953636</v>
      </c>
      <c r="EL315" s="105">
        <v>-13999675</v>
      </c>
      <c r="EM315" s="105">
        <v>-12262910</v>
      </c>
      <c r="EN315" s="105">
        <v>-1736765</v>
      </c>
      <c r="EO315" s="105">
        <v>70643405</v>
      </c>
      <c r="EP315" s="105">
        <v>-2690094</v>
      </c>
      <c r="EQ315" s="104">
        <v>158268.41563315003</v>
      </c>
      <c r="ER315" s="105">
        <v>-51714.613673370011</v>
      </c>
      <c r="ES315" s="105"/>
      <c r="ET315" s="105"/>
      <c r="EU315" s="105">
        <v>303258.83429524</v>
      </c>
      <c r="EV315" s="105">
        <v>-93275.80498871996</v>
      </c>
      <c r="EW315" s="104">
        <v>1367759.1739459012</v>
      </c>
      <c r="EX315" s="105">
        <f t="shared" si="20"/>
        <v>823791.17484192015</v>
      </c>
      <c r="EY315" s="105">
        <v>785732.4539113401</v>
      </c>
      <c r="EZ315" s="105">
        <v>38058.720930580006</v>
      </c>
      <c r="FA315" s="105">
        <v>832406.29784757993</v>
      </c>
      <c r="FB315" s="105">
        <v>-288438.29874359886</v>
      </c>
      <c r="FC315" s="104">
        <v>1031.9860000000001</v>
      </c>
      <c r="FD315" s="105">
        <f t="shared" si="38"/>
        <v>-417.00299999999999</v>
      </c>
      <c r="FE315" s="105">
        <v>509.03199999999998</v>
      </c>
      <c r="FF315" s="105">
        <v>-926.03499999999997</v>
      </c>
      <c r="FG315" s="105">
        <v>1448.989</v>
      </c>
      <c r="FH315" s="105"/>
      <c r="FI315" s="104">
        <v>1069.383</v>
      </c>
      <c r="FJ315" s="105">
        <f t="shared" si="39"/>
        <v>-0.50199999999999534</v>
      </c>
      <c r="FK315" s="105">
        <v>111.161</v>
      </c>
      <c r="FL315" s="105">
        <v>-111.663</v>
      </c>
      <c r="FM315" s="105">
        <v>1069.885</v>
      </c>
      <c r="FN315" s="103"/>
      <c r="FO315" s="104">
        <v>3269.2310000000002</v>
      </c>
      <c r="FP315" s="105">
        <f t="shared" si="40"/>
        <v>-253.66299999999998</v>
      </c>
      <c r="FQ315" s="105">
        <v>226.71799999999999</v>
      </c>
      <c r="FR315" s="105">
        <v>-480.38099999999997</v>
      </c>
      <c r="FS315" s="105">
        <v>3522.8939999999998</v>
      </c>
      <c r="FT315" s="105"/>
      <c r="FU315" s="104">
        <f t="shared" si="41"/>
        <v>8946.7999999999993</v>
      </c>
      <c r="FV315" s="105">
        <f t="shared" si="42"/>
        <v>2798</v>
      </c>
      <c r="FW315" s="105">
        <v>2635.7</v>
      </c>
      <c r="FX315" s="105">
        <v>162.30000000000001</v>
      </c>
      <c r="FY315" s="105">
        <v>5958.9</v>
      </c>
      <c r="FZ315" s="105">
        <v>189.9</v>
      </c>
      <c r="GA315" s="104">
        <v>22310.400000000001</v>
      </c>
      <c r="GB315" s="105">
        <v>-30167.799999999996</v>
      </c>
      <c r="GC315" s="105"/>
      <c r="GD315" s="105"/>
      <c r="GE315" s="105">
        <v>52478.2</v>
      </c>
      <c r="GF315" s="105"/>
      <c r="GG315" s="104">
        <v>313172.5463785188</v>
      </c>
      <c r="GH315" s="105">
        <v>67508.418295841228</v>
      </c>
      <c r="GI315" s="105">
        <v>61112.220012525897</v>
      </c>
      <c r="GJ315" s="105">
        <v>6396.1982833153288</v>
      </c>
      <c r="GK315" s="105">
        <v>436091.84371754277</v>
      </c>
      <c r="GL315" s="105">
        <v>-190427.71563486519</v>
      </c>
      <c r="GM315" s="104">
        <v>3411083.5984272896</v>
      </c>
      <c r="GN315" s="105">
        <v>621033.76307038998</v>
      </c>
      <c r="GO315" s="105">
        <v>386657.62901744997</v>
      </c>
      <c r="GP315" s="105">
        <v>234376.13405294</v>
      </c>
      <c r="GQ315" s="105">
        <v>2539262.7535262695</v>
      </c>
      <c r="GR315" s="103">
        <v>250787.08183062999</v>
      </c>
    </row>
    <row r="316" spans="1:200">
      <c r="A316" s="135">
        <v>2016</v>
      </c>
      <c r="B316" s="93" t="s">
        <v>489</v>
      </c>
      <c r="C316" s="88">
        <v>2144.0659999999998</v>
      </c>
      <c r="D316" s="89">
        <f t="shared" si="22"/>
        <v>259.72800000000001</v>
      </c>
      <c r="E316" s="136">
        <v>260.19</v>
      </c>
      <c r="F316" s="136">
        <v>-0.46200000000000002</v>
      </c>
      <c r="G316" s="136">
        <v>1884.338</v>
      </c>
      <c r="H316" s="89"/>
      <c r="I316" s="88">
        <f>J316+M316+N316</f>
        <v>1425687.9569999997</v>
      </c>
      <c r="J316" s="136">
        <v>1696039.66</v>
      </c>
      <c r="K316" s="89"/>
      <c r="L316" s="89"/>
      <c r="M316" s="89">
        <v>863339.94</v>
      </c>
      <c r="N316" s="137">
        <v>-1133691.6429999999</v>
      </c>
      <c r="O316" s="88">
        <v>9008.5</v>
      </c>
      <c r="P316" s="89">
        <f t="shared" si="23"/>
        <v>2697.6</v>
      </c>
      <c r="Q316" s="89">
        <v>2231.4</v>
      </c>
      <c r="R316" s="89">
        <v>466.2</v>
      </c>
      <c r="S316" s="89">
        <v>6310.9</v>
      </c>
      <c r="T316" s="89"/>
      <c r="U316" s="88">
        <f t="shared" si="24"/>
        <v>8718.636688999999</v>
      </c>
      <c r="V316" s="89">
        <f t="shared" si="25"/>
        <v>3297.3196889999995</v>
      </c>
      <c r="W316" s="89">
        <v>2854.0816889999996</v>
      </c>
      <c r="X316" s="89">
        <v>443.238</v>
      </c>
      <c r="Y316" s="89">
        <v>5421.317</v>
      </c>
      <c r="Z316" s="89"/>
      <c r="AA316" s="88">
        <v>2270.6086795799997</v>
      </c>
      <c r="AB316" s="89">
        <v>292.46226359000002</v>
      </c>
      <c r="AC316" s="89">
        <v>281.75426358999999</v>
      </c>
      <c r="AD316" s="89">
        <v>10.708</v>
      </c>
      <c r="AE316" s="89">
        <v>1978.1464159899999</v>
      </c>
      <c r="AF316" s="89"/>
      <c r="AG316" s="88">
        <f t="shared" si="26"/>
        <v>149620.33288797841</v>
      </c>
      <c r="AH316" s="89">
        <v>33058.641284117235</v>
      </c>
      <c r="AI316" s="89">
        <v>12067.239242367235</v>
      </c>
      <c r="AJ316" s="89">
        <v>20991.40204175</v>
      </c>
      <c r="AK316" s="89">
        <v>116561.69160386117</v>
      </c>
      <c r="AL316" s="89"/>
      <c r="AM316" s="88">
        <v>6391844</v>
      </c>
      <c r="AN316" s="89">
        <v>1884355</v>
      </c>
      <c r="AO316" s="89">
        <v>1623415</v>
      </c>
      <c r="AP316" s="89">
        <v>260940</v>
      </c>
      <c r="AQ316" s="89">
        <v>3970399</v>
      </c>
      <c r="AR316" s="89">
        <v>537090</v>
      </c>
      <c r="AS316" s="88">
        <v>103838243.294846</v>
      </c>
      <c r="AT316" s="89">
        <v>-715361.5785859999</v>
      </c>
      <c r="AU316" s="89">
        <v>-715361.5785859999</v>
      </c>
      <c r="AV316" s="89"/>
      <c r="AW316" s="89">
        <v>131561766.900738</v>
      </c>
      <c r="AX316" s="89">
        <v>-27008162.027306002</v>
      </c>
      <c r="AY316" s="88">
        <v>434975066.65976804</v>
      </c>
      <c r="AZ316" s="89">
        <f t="shared" si="19"/>
        <v>65714732.654931188</v>
      </c>
      <c r="BA316" s="89">
        <v>48215305.122131191</v>
      </c>
      <c r="BB316" s="89">
        <v>17499427.532799996</v>
      </c>
      <c r="BC316" s="89">
        <v>369260334.00483686</v>
      </c>
      <c r="BD316" s="89"/>
      <c r="BE316" s="88">
        <f t="shared" si="27"/>
        <v>16957794.66753478</v>
      </c>
      <c r="BF316" s="89">
        <f t="shared" si="28"/>
        <v>1966410.4351806999</v>
      </c>
      <c r="BG316" s="89">
        <v>1726926.46481635</v>
      </c>
      <c r="BH316" s="89">
        <v>239483.97036435001</v>
      </c>
      <c r="BI316" s="89">
        <v>16531763.884684488</v>
      </c>
      <c r="BJ316" s="89">
        <v>-1540379.65233041</v>
      </c>
      <c r="BK316" s="88">
        <v>611.9</v>
      </c>
      <c r="BL316" s="89">
        <f t="shared" si="29"/>
        <v>-166.238</v>
      </c>
      <c r="BM316" s="89">
        <v>-70.72</v>
      </c>
      <c r="BN316" s="89">
        <v>-95.518000000000001</v>
      </c>
      <c r="BO316" s="89">
        <v>778.13800000000003</v>
      </c>
      <c r="BP316" s="89"/>
      <c r="BQ316" s="88">
        <v>29735.932034999998</v>
      </c>
      <c r="BR316" s="89">
        <f t="shared" si="43"/>
        <v>1837.9026539999995</v>
      </c>
      <c r="BS316" s="89">
        <v>2544.8268239999998</v>
      </c>
      <c r="BT316" s="89">
        <v>-706.92417000000012</v>
      </c>
      <c r="BU316" s="89">
        <v>27898.029380999997</v>
      </c>
      <c r="BV316" s="89"/>
      <c r="BW316" s="88">
        <v>17729.246556460002</v>
      </c>
      <c r="BX316" s="89">
        <f t="shared" si="30"/>
        <v>8497.2225164639367</v>
      </c>
      <c r="BY316" s="89">
        <v>8097.014081313936</v>
      </c>
      <c r="BZ316" s="89">
        <v>400.20843515000001</v>
      </c>
      <c r="CA316" s="89">
        <v>11678.782736869998</v>
      </c>
      <c r="CB316" s="89">
        <v>-2446.7586968739347</v>
      </c>
      <c r="CC316" s="88">
        <v>1308.434</v>
      </c>
      <c r="CD316" s="89">
        <f t="shared" si="31"/>
        <v>-242.84</v>
      </c>
      <c r="CE316" s="89">
        <v>-63.127000000000002</v>
      </c>
      <c r="CF316" s="89">
        <v>-179.71299999999999</v>
      </c>
      <c r="CG316" s="89">
        <v>1551.2739999999999</v>
      </c>
      <c r="CH316" s="89"/>
      <c r="CI316" s="88">
        <v>192488</v>
      </c>
      <c r="CJ316" s="89">
        <f t="shared" si="32"/>
        <v>42260.700000000004</v>
      </c>
      <c r="CK316" s="89">
        <v>41770.400000000001</v>
      </c>
      <c r="CL316" s="89">
        <v>490.3</v>
      </c>
      <c r="CM316" s="89">
        <v>169033.90000000002</v>
      </c>
      <c r="CN316" s="89">
        <v>-18806.5</v>
      </c>
      <c r="CO316" s="88">
        <v>178782.9</v>
      </c>
      <c r="CP316" s="89">
        <v>-8622.9</v>
      </c>
      <c r="CQ316" s="89">
        <v>57972.800000000003</v>
      </c>
      <c r="CR316" s="89">
        <f t="shared" si="33"/>
        <v>-66595.7</v>
      </c>
      <c r="CS316" s="89">
        <v>211744.9</v>
      </c>
      <c r="CT316" s="89">
        <v>-24339.1</v>
      </c>
      <c r="CU316" s="88">
        <f t="shared" si="34"/>
        <v>111216.2384500443</v>
      </c>
      <c r="CV316" s="89">
        <v>16566.005231326319</v>
      </c>
      <c r="CW316" s="89">
        <v>21087.145565202245</v>
      </c>
      <c r="CX316" s="89">
        <v>-4521.1403338759264</v>
      </c>
      <c r="CY316" s="89">
        <v>94650.233218717985</v>
      </c>
      <c r="CZ316" s="89"/>
      <c r="DA316" s="88">
        <v>167954.65846969857</v>
      </c>
      <c r="DB316" s="89">
        <f t="shared" si="35"/>
        <v>6413.8918301301564</v>
      </c>
      <c r="DC316" s="89">
        <v>-7198.6104754265907</v>
      </c>
      <c r="DD316" s="89">
        <v>13612.502305556747</v>
      </c>
      <c r="DE316" s="89">
        <v>257087.02697923407</v>
      </c>
      <c r="DF316" s="89">
        <v>-95546.26033966562</v>
      </c>
      <c r="DG316" s="88">
        <v>482993.22620274965</v>
      </c>
      <c r="DH316" s="89">
        <v>155660.50020274968</v>
      </c>
      <c r="DI316" s="89"/>
      <c r="DJ316" s="89"/>
      <c r="DK316" s="89">
        <v>366116.49599999998</v>
      </c>
      <c r="DL316" s="89">
        <v>-38783.769999999997</v>
      </c>
      <c r="DM316" s="88">
        <v>10122200</v>
      </c>
      <c r="DN316" s="89">
        <f t="shared" si="21"/>
        <v>3880562</v>
      </c>
      <c r="DO316" s="89">
        <v>3024970</v>
      </c>
      <c r="DP316" s="89">
        <v>855592</v>
      </c>
      <c r="DQ316" s="89">
        <v>6241610</v>
      </c>
      <c r="DR316" s="89"/>
      <c r="DS316" s="88">
        <v>125433.77442242618</v>
      </c>
      <c r="DT316" s="89">
        <f t="shared" si="36"/>
        <v>38553.417095591882</v>
      </c>
      <c r="DU316" s="89">
        <v>36954.588477131882</v>
      </c>
      <c r="DV316" s="89">
        <v>1598.8286184599999</v>
      </c>
      <c r="DW316" s="89">
        <v>128399.62746184456</v>
      </c>
      <c r="DX316" s="89">
        <v>-41519.270135010243</v>
      </c>
      <c r="DY316" s="88">
        <v>10960.360628</v>
      </c>
      <c r="DZ316" s="89">
        <f t="shared" si="18"/>
        <v>-1250.009372</v>
      </c>
      <c r="EA316" s="89">
        <v>809.83534799999995</v>
      </c>
      <c r="EB316" s="89">
        <v>-2059.8447200000001</v>
      </c>
      <c r="EC316" s="89">
        <v>11820.817999999999</v>
      </c>
      <c r="ED316" s="89"/>
      <c r="EE316" s="88">
        <v>32313.258310520006</v>
      </c>
      <c r="EF316" s="89">
        <f t="shared" si="37"/>
        <v>-3380.1254773099995</v>
      </c>
      <c r="EG316" s="89">
        <v>-3558.5682522099996</v>
      </c>
      <c r="EH316" s="89">
        <v>178.44277489999999</v>
      </c>
      <c r="EI316" s="89">
        <v>45602.28056615001</v>
      </c>
      <c r="EJ316" s="89">
        <v>-9908.8967783200023</v>
      </c>
      <c r="EK316" s="88">
        <v>54559429</v>
      </c>
      <c r="EL316" s="89">
        <f>EM316+EN316</f>
        <v>-14107947</v>
      </c>
      <c r="EM316" s="89">
        <v>-11964738</v>
      </c>
      <c r="EN316" s="89">
        <v>-2143209</v>
      </c>
      <c r="EO316" s="89">
        <v>71364541</v>
      </c>
      <c r="EP316" s="89">
        <v>-2697165</v>
      </c>
      <c r="EQ316" s="88">
        <v>158424.60091794995</v>
      </c>
      <c r="ER316" s="89">
        <v>-49763.975821519998</v>
      </c>
      <c r="ES316" s="89"/>
      <c r="ET316" s="89"/>
      <c r="EU316" s="89">
        <v>303882.65265952999</v>
      </c>
      <c r="EV316" s="89">
        <v>-95694.075920060044</v>
      </c>
      <c r="EW316" s="88">
        <v>1333182.3119640034</v>
      </c>
      <c r="EX316" s="89">
        <f t="shared" si="20"/>
        <v>792179.06458701007</v>
      </c>
      <c r="EY316" s="89">
        <v>750686.74936347001</v>
      </c>
      <c r="EZ316" s="89">
        <v>41492.315223540005</v>
      </c>
      <c r="FA316" s="89">
        <v>831755.47038676997</v>
      </c>
      <c r="FB316" s="89">
        <v>-290752.22300977691</v>
      </c>
      <c r="FC316" s="88">
        <v>1019.5890000000001</v>
      </c>
      <c r="FD316" s="89">
        <f t="shared" si="38"/>
        <v>-428.97800000000001</v>
      </c>
      <c r="FE316" s="89">
        <v>499.83499999999998</v>
      </c>
      <c r="FF316" s="89">
        <v>-928.81299999999999</v>
      </c>
      <c r="FG316" s="89">
        <v>1448.567</v>
      </c>
      <c r="FH316" s="89"/>
      <c r="FI316" s="88">
        <v>1083.3</v>
      </c>
      <c r="FJ316" s="89">
        <f t="shared" si="39"/>
        <v>12.677000000000007</v>
      </c>
      <c r="FK316" s="89">
        <v>128.85300000000001</v>
      </c>
      <c r="FL316" s="89">
        <v>-116.176</v>
      </c>
      <c r="FM316" s="89">
        <v>1070.623</v>
      </c>
      <c r="FN316" s="89"/>
      <c r="FO316" s="88">
        <v>3282.5320000000002</v>
      </c>
      <c r="FP316" s="89">
        <f t="shared" si="40"/>
        <v>-242.47800000000001</v>
      </c>
      <c r="FQ316" s="89">
        <v>256.46499999999997</v>
      </c>
      <c r="FR316" s="89">
        <v>-498.94299999999998</v>
      </c>
      <c r="FS316" s="89">
        <v>3525.01</v>
      </c>
      <c r="FT316" s="89"/>
      <c r="FU316" s="88">
        <f t="shared" si="41"/>
        <v>8948.8000000000011</v>
      </c>
      <c r="FV316" s="89">
        <f t="shared" si="42"/>
        <v>2807.3</v>
      </c>
      <c r="FW316" s="89">
        <v>2631.3</v>
      </c>
      <c r="FX316" s="89">
        <v>176</v>
      </c>
      <c r="FY316" s="89">
        <v>5952.6</v>
      </c>
      <c r="FZ316" s="89">
        <v>188.9</v>
      </c>
      <c r="GA316" s="88">
        <v>25408</v>
      </c>
      <c r="GB316" s="89">
        <f>GA316-GE316</f>
        <v>-27569.9</v>
      </c>
      <c r="GC316" s="89"/>
      <c r="GD316" s="89"/>
      <c r="GE316" s="89">
        <v>52977.9</v>
      </c>
      <c r="GF316" s="89"/>
      <c r="GG316" s="88">
        <v>325734.06728624902</v>
      </c>
      <c r="GH316" s="89">
        <v>70058.186191247922</v>
      </c>
      <c r="GI316" s="89">
        <v>65952.725042728882</v>
      </c>
      <c r="GJ316" s="89">
        <v>4105.4611485190417</v>
      </c>
      <c r="GK316" s="89">
        <v>444387.90446795191</v>
      </c>
      <c r="GL316" s="89">
        <v>-188712.02337295079</v>
      </c>
      <c r="GM316" s="88">
        <v>3504609.336499149</v>
      </c>
      <c r="GN316" s="89">
        <v>626447.7757024701</v>
      </c>
      <c r="GO316" s="89">
        <v>384657.78841282998</v>
      </c>
      <c r="GP316" s="89">
        <f>GN316-GO316</f>
        <v>241789.98728964012</v>
      </c>
      <c r="GQ316" s="89">
        <v>2624658.5606220788</v>
      </c>
      <c r="GR316" s="89">
        <v>253503.00017459996</v>
      </c>
    </row>
    <row r="317" spans="1:200">
      <c r="A317" s="135"/>
      <c r="B317" s="93" t="s">
        <v>490</v>
      </c>
      <c r="C317" s="88">
        <v>2130.7820000000002</v>
      </c>
      <c r="D317" s="89">
        <f t="shared" si="22"/>
        <v>240</v>
      </c>
      <c r="E317" s="89">
        <v>258.327</v>
      </c>
      <c r="F317" s="89">
        <v>-18.327000000000002</v>
      </c>
      <c r="G317" s="89">
        <v>1890.7819999999999</v>
      </c>
      <c r="H317" s="89"/>
      <c r="I317" s="88">
        <f t="shared" ref="I317:I323" si="44">J317+M317+N317</f>
        <v>1442626.0120000003</v>
      </c>
      <c r="J317" s="89">
        <v>1865835.98917643</v>
      </c>
      <c r="K317" s="89"/>
      <c r="L317" s="89"/>
      <c r="M317" s="89">
        <v>877771.52</v>
      </c>
      <c r="N317" s="89">
        <v>-1300981.49717643</v>
      </c>
      <c r="O317" s="88">
        <v>8917.2999999999993</v>
      </c>
      <c r="P317" s="89">
        <f t="shared" si="23"/>
        <v>2622.2000000000003</v>
      </c>
      <c r="Q317" s="89">
        <v>2156.9</v>
      </c>
      <c r="R317" s="89">
        <v>465.3</v>
      </c>
      <c r="S317" s="89">
        <v>6295</v>
      </c>
      <c r="T317" s="89"/>
      <c r="U317" s="88">
        <f t="shared" si="24"/>
        <v>8770.4944620000006</v>
      </c>
      <c r="V317" s="89">
        <f t="shared" si="25"/>
        <v>3379.7074619999999</v>
      </c>
      <c r="W317" s="89">
        <v>2937.1404619999998</v>
      </c>
      <c r="X317" s="89">
        <v>442.56700000000001</v>
      </c>
      <c r="Y317" s="89">
        <v>5390.7870000000003</v>
      </c>
      <c r="Z317" s="89"/>
      <c r="AA317" s="88">
        <v>2332.4037339499996</v>
      </c>
      <c r="AB317" s="89">
        <v>354.94033875000002</v>
      </c>
      <c r="AC317" s="89">
        <v>344.33733875000001</v>
      </c>
      <c r="AD317" s="89">
        <v>10.603</v>
      </c>
      <c r="AE317" s="89">
        <v>1977.4633951999999</v>
      </c>
      <c r="AF317" s="89"/>
      <c r="AG317" s="88">
        <f t="shared" si="26"/>
        <v>150423.52678470296</v>
      </c>
      <c r="AH317" s="89">
        <v>33066.001267813939</v>
      </c>
      <c r="AI317" s="89">
        <v>12062.110368023939</v>
      </c>
      <c r="AJ317" s="89">
        <v>21003.89089979</v>
      </c>
      <c r="AK317" s="89">
        <v>117357.52551688901</v>
      </c>
      <c r="AL317" s="89"/>
      <c r="AM317" s="88">
        <v>6515137</v>
      </c>
      <c r="AN317" s="89">
        <v>1984925</v>
      </c>
      <c r="AO317" s="89">
        <v>1724012</v>
      </c>
      <c r="AP317" s="89">
        <v>260913</v>
      </c>
      <c r="AQ317" s="89">
        <v>3975412</v>
      </c>
      <c r="AR317" s="89">
        <v>554801</v>
      </c>
      <c r="AS317" s="88">
        <v>105811944.167695</v>
      </c>
      <c r="AT317" s="89">
        <v>-551547.24859800003</v>
      </c>
      <c r="AU317" s="89">
        <v>-551547.24859800003</v>
      </c>
      <c r="AV317" s="89"/>
      <c r="AW317" s="89">
        <v>132031677.489759</v>
      </c>
      <c r="AX317" s="89">
        <v>-25668186.073465999</v>
      </c>
      <c r="AY317" s="88">
        <v>449650134.67314535</v>
      </c>
      <c r="AZ317" s="89">
        <f t="shared" si="19"/>
        <v>72649648.788579598</v>
      </c>
      <c r="BA317" s="89">
        <v>54455343.356619596</v>
      </c>
      <c r="BB317" s="89">
        <v>18194305.431959998</v>
      </c>
      <c r="BC317" s="89">
        <v>377000485.88456577</v>
      </c>
      <c r="BD317" s="89"/>
      <c r="BE317" s="88">
        <f t="shared" si="27"/>
        <v>17117148.151892282</v>
      </c>
      <c r="BF317" s="89">
        <f t="shared" si="28"/>
        <v>2082523.8483083199</v>
      </c>
      <c r="BG317" s="89">
        <v>1822803.9464382599</v>
      </c>
      <c r="BH317" s="89">
        <v>259719.90187006001</v>
      </c>
      <c r="BI317" s="89">
        <v>16590926.93052803</v>
      </c>
      <c r="BJ317" s="89">
        <v>-1556302.62694407</v>
      </c>
      <c r="BK317" s="88">
        <v>604.15599999999995</v>
      </c>
      <c r="BL317" s="89">
        <f t="shared" si="29"/>
        <v>-172.92400000000001</v>
      </c>
      <c r="BM317" s="89">
        <v>-81.667000000000002</v>
      </c>
      <c r="BN317" s="89">
        <v>-91.257000000000005</v>
      </c>
      <c r="BO317" s="89">
        <v>777.08</v>
      </c>
      <c r="BP317" s="89"/>
      <c r="BQ317" s="88">
        <v>29620.49336</v>
      </c>
      <c r="BR317" s="89">
        <f t="shared" si="43"/>
        <v>1874.7353850000004</v>
      </c>
      <c r="BS317" s="89">
        <v>2627.3860610000002</v>
      </c>
      <c r="BT317" s="89">
        <v>-752.65067599999986</v>
      </c>
      <c r="BU317" s="89">
        <v>27745.757975</v>
      </c>
      <c r="BV317" s="89"/>
      <c r="BW317" s="88">
        <v>17751.923779450004</v>
      </c>
      <c r="BX317" s="89">
        <f t="shared" si="30"/>
        <v>8538.1854415599828</v>
      </c>
      <c r="BY317" s="89">
        <v>8134.6947119999832</v>
      </c>
      <c r="BZ317" s="89">
        <v>403.49072955999998</v>
      </c>
      <c r="CA317" s="89">
        <v>11671.762454510001</v>
      </c>
      <c r="CB317" s="89">
        <v>-2458.0241166199826</v>
      </c>
      <c r="CC317" s="88">
        <v>1278.155</v>
      </c>
      <c r="CD317" s="89">
        <f t="shared" si="31"/>
        <v>-262.99299999999999</v>
      </c>
      <c r="CE317" s="89">
        <v>-58.142000000000003</v>
      </c>
      <c r="CF317" s="89">
        <v>-204.851</v>
      </c>
      <c r="CG317" s="89">
        <v>1541.1479999999999</v>
      </c>
      <c r="CH317" s="89"/>
      <c r="CI317" s="88">
        <v>194080.9</v>
      </c>
      <c r="CJ317" s="89">
        <f t="shared" si="32"/>
        <v>42383.199999999997</v>
      </c>
      <c r="CK317" s="89">
        <v>41911.699999999997</v>
      </c>
      <c r="CL317" s="89">
        <v>471.5</v>
      </c>
      <c r="CM317" s="89">
        <v>169544.5</v>
      </c>
      <c r="CN317" s="89">
        <v>-17846.7</v>
      </c>
      <c r="CO317" s="88">
        <v>178012.1</v>
      </c>
      <c r="CP317" s="89">
        <v>-8196.2999999999993</v>
      </c>
      <c r="CQ317" s="89">
        <v>59339.8</v>
      </c>
      <c r="CR317" s="89">
        <f t="shared" si="33"/>
        <v>-67536.100000000006</v>
      </c>
      <c r="CS317" s="89">
        <v>211181.4</v>
      </c>
      <c r="CT317" s="89">
        <v>-24927.9</v>
      </c>
      <c r="CU317" s="88">
        <f t="shared" si="34"/>
        <v>111271.38538474037</v>
      </c>
      <c r="CV317" s="89">
        <v>14419.857842335277</v>
      </c>
      <c r="CW317" s="89">
        <v>18577.713348485806</v>
      </c>
      <c r="CX317" s="89">
        <v>-4157.8555061505249</v>
      </c>
      <c r="CY317" s="89">
        <v>96851.527542405092</v>
      </c>
      <c r="CZ317" s="89"/>
      <c r="DA317" s="88">
        <v>168286.44049990427</v>
      </c>
      <c r="DB317" s="89">
        <f t="shared" si="35"/>
        <v>6023.7977401959724</v>
      </c>
      <c r="DC317" s="89">
        <v>-7427.2229083606508</v>
      </c>
      <c r="DD317" s="89">
        <v>13451.020648556623</v>
      </c>
      <c r="DE317" s="89">
        <v>260602.49336166604</v>
      </c>
      <c r="DF317" s="89">
        <v>-98339.850601957689</v>
      </c>
      <c r="DG317" s="88">
        <v>454590.97620274965</v>
      </c>
      <c r="DH317" s="89">
        <v>129880.90420274966</v>
      </c>
      <c r="DI317" s="89"/>
      <c r="DJ317" s="89"/>
      <c r="DK317" s="89">
        <v>368678.68400000001</v>
      </c>
      <c r="DL317" s="89">
        <v>-43968.612000000001</v>
      </c>
      <c r="DM317" s="88">
        <v>10046200</v>
      </c>
      <c r="DN317" s="89">
        <f t="shared" si="21"/>
        <v>3878174</v>
      </c>
      <c r="DO317" s="89">
        <v>3017160</v>
      </c>
      <c r="DP317" s="89">
        <v>861014</v>
      </c>
      <c r="DQ317" s="89">
        <v>6168060</v>
      </c>
      <c r="DR317" s="89"/>
      <c r="DS317" s="88">
        <v>125040.11004209262</v>
      </c>
      <c r="DT317" s="89">
        <f t="shared" si="36"/>
        <v>40444.040657748788</v>
      </c>
      <c r="DU317" s="89">
        <v>38898.401046169791</v>
      </c>
      <c r="DV317" s="89">
        <v>1545.6396115789983</v>
      </c>
      <c r="DW317" s="89">
        <v>129588.4661445344</v>
      </c>
      <c r="DX317" s="89">
        <v>-44992.396760190553</v>
      </c>
      <c r="DY317" s="88">
        <v>10819.409162</v>
      </c>
      <c r="DZ317" s="89">
        <f t="shared" ref="DZ317:DZ323" si="45">EA317+EB317</f>
        <v>-1358.2948380000003</v>
      </c>
      <c r="EA317" s="89">
        <v>760.08688199999995</v>
      </c>
      <c r="EB317" s="89">
        <v>-2118.3817200000003</v>
      </c>
      <c r="EC317" s="89">
        <v>11785.353999999999</v>
      </c>
      <c r="ED317" s="89"/>
      <c r="EE317" s="88">
        <v>32556.947881099994</v>
      </c>
      <c r="EF317" s="89">
        <f t="shared" si="37"/>
        <v>-3212.9675423999993</v>
      </c>
      <c r="EG317" s="89">
        <v>-3348.3645349499993</v>
      </c>
      <c r="EH317" s="89">
        <v>135.39699254999999</v>
      </c>
      <c r="EI317" s="89">
        <v>45777.411034520002</v>
      </c>
      <c r="EJ317" s="89">
        <v>-10007.495611020006</v>
      </c>
      <c r="EK317" s="88">
        <v>53504178</v>
      </c>
      <c r="EL317" s="89">
        <f t="shared" ref="EL317:EL324" si="46">EM317+EN317</f>
        <v>-13921667</v>
      </c>
      <c r="EM317" s="89">
        <v>-11789845</v>
      </c>
      <c r="EN317" s="89">
        <v>-2131822</v>
      </c>
      <c r="EO317" s="89">
        <v>70098894</v>
      </c>
      <c r="EP317" s="89">
        <v>-2673049</v>
      </c>
      <c r="EQ317" s="88">
        <v>160584.00415280004</v>
      </c>
      <c r="ER317" s="89">
        <v>-48778.402697640005</v>
      </c>
      <c r="ES317" s="89"/>
      <c r="ET317" s="89"/>
      <c r="EU317" s="89">
        <v>306990.60801411996</v>
      </c>
      <c r="EV317" s="89">
        <v>-97628.201163679914</v>
      </c>
      <c r="EW317" s="88">
        <v>1364275.2668416898</v>
      </c>
      <c r="EX317" s="89">
        <f t="shared" si="20"/>
        <v>818482.93962830014</v>
      </c>
      <c r="EY317" s="89">
        <v>778122.70506310009</v>
      </c>
      <c r="EZ317" s="89">
        <v>40360.234565200008</v>
      </c>
      <c r="FA317" s="89">
        <v>835724.36120506015</v>
      </c>
      <c r="FB317" s="89">
        <v>-289932.03399167047</v>
      </c>
      <c r="FC317" s="88">
        <v>1002.557</v>
      </c>
      <c r="FD317" s="89">
        <f t="shared" si="38"/>
        <v>-446.68300000000005</v>
      </c>
      <c r="FE317" s="89">
        <v>486.24799999999999</v>
      </c>
      <c r="FF317" s="89">
        <v>-932.93100000000004</v>
      </c>
      <c r="FG317" s="89">
        <v>1449.24</v>
      </c>
      <c r="FH317" s="89"/>
      <c r="FI317" s="88">
        <v>1093.56</v>
      </c>
      <c r="FJ317" s="89">
        <f t="shared" si="39"/>
        <v>22.160000000000011</v>
      </c>
      <c r="FK317" s="89">
        <v>137.74600000000001</v>
      </c>
      <c r="FL317" s="89">
        <v>-115.586</v>
      </c>
      <c r="FM317" s="89">
        <v>1071.4000000000001</v>
      </c>
      <c r="FN317" s="89"/>
      <c r="FO317" s="88">
        <v>3227.681</v>
      </c>
      <c r="FP317" s="89">
        <f t="shared" si="40"/>
        <v>-277.58500000000004</v>
      </c>
      <c r="FQ317" s="89">
        <v>215.84299999999999</v>
      </c>
      <c r="FR317" s="89">
        <v>-493.428</v>
      </c>
      <c r="FS317" s="89">
        <v>3505.2660000000001</v>
      </c>
      <c r="FT317" s="89"/>
      <c r="FU317" s="88">
        <f t="shared" si="41"/>
        <v>9123.8999999999978</v>
      </c>
      <c r="FV317" s="89">
        <f t="shared" si="42"/>
        <v>2984.2</v>
      </c>
      <c r="FW317" s="89">
        <v>2816.5</v>
      </c>
      <c r="FX317" s="89">
        <v>167.7</v>
      </c>
      <c r="FY317" s="89">
        <v>5946.4</v>
      </c>
      <c r="FZ317" s="89">
        <v>193.3</v>
      </c>
      <c r="GA317" s="88">
        <v>25104.2</v>
      </c>
      <c r="GB317" s="89">
        <f t="shared" ref="GB317:GB322" si="47">GA317-GE317</f>
        <v>-27689.499999999996</v>
      </c>
      <c r="GC317" s="89"/>
      <c r="GD317" s="89"/>
      <c r="GE317" s="89">
        <v>52793.7</v>
      </c>
      <c r="GF317" s="89"/>
      <c r="GG317" s="88">
        <v>340929.71363570739</v>
      </c>
      <c r="GH317" s="89">
        <v>69631.774786198424</v>
      </c>
      <c r="GI317" s="89">
        <v>70511.510015576176</v>
      </c>
      <c r="GJ317" s="89">
        <v>-879.7352293777476</v>
      </c>
      <c r="GK317" s="89">
        <v>458173.35712144722</v>
      </c>
      <c r="GL317" s="89">
        <v>-186875.41827193831</v>
      </c>
      <c r="GM317" s="88">
        <v>3693802.999393879</v>
      </c>
      <c r="GN317" s="89">
        <v>635901.4633358001</v>
      </c>
      <c r="GO317" s="89">
        <v>386967.78588081006</v>
      </c>
      <c r="GP317" s="89">
        <f t="shared" ref="GP317:GP322" si="48">GN317-GO317</f>
        <v>248933.67745499004</v>
      </c>
      <c r="GQ317" s="89">
        <v>2790252.7876291689</v>
      </c>
      <c r="GR317" s="89">
        <v>267648.74842891004</v>
      </c>
    </row>
    <row r="318" spans="1:200">
      <c r="A318" s="135"/>
      <c r="B318" s="93" t="s">
        <v>491</v>
      </c>
      <c r="C318" s="88">
        <v>2104.38</v>
      </c>
      <c r="D318" s="89">
        <f t="shared" si="22"/>
        <v>223.09300000000002</v>
      </c>
      <c r="E318" s="89">
        <v>234.04900000000001</v>
      </c>
      <c r="F318" s="89">
        <v>-10.956</v>
      </c>
      <c r="G318" s="89">
        <v>1881.287</v>
      </c>
      <c r="H318" s="89"/>
      <c r="I318" s="88">
        <f t="shared" si="44"/>
        <v>1467901.6769999999</v>
      </c>
      <c r="J318" s="89">
        <v>1805983.6539605798</v>
      </c>
      <c r="K318" s="89"/>
      <c r="L318" s="89"/>
      <c r="M318" s="89">
        <v>881899.08400000003</v>
      </c>
      <c r="N318" s="89">
        <v>-1219981.0609605799</v>
      </c>
      <c r="O318" s="88">
        <v>8903</v>
      </c>
      <c r="P318" s="89">
        <f t="shared" si="23"/>
        <v>2617</v>
      </c>
      <c r="Q318" s="89">
        <v>2153.5</v>
      </c>
      <c r="R318" s="89">
        <v>463.5</v>
      </c>
      <c r="S318" s="89">
        <v>6285.9</v>
      </c>
      <c r="T318" s="89"/>
      <c r="U318" s="88">
        <f t="shared" si="24"/>
        <v>8793.3824109999987</v>
      </c>
      <c r="V318" s="89">
        <f t="shared" si="25"/>
        <v>3408.6824109999998</v>
      </c>
      <c r="W318" s="89">
        <v>2975.0984109999999</v>
      </c>
      <c r="X318" s="89">
        <v>433.584</v>
      </c>
      <c r="Y318" s="89">
        <v>5384.7</v>
      </c>
      <c r="Z318" s="89"/>
      <c r="AA318" s="88">
        <v>2355.8270855099995</v>
      </c>
      <c r="AB318" s="89">
        <v>372.63442921000001</v>
      </c>
      <c r="AC318" s="89">
        <v>362.27242920999998</v>
      </c>
      <c r="AD318" s="89">
        <v>10.362</v>
      </c>
      <c r="AE318" s="89">
        <v>1983.1926563</v>
      </c>
      <c r="AF318" s="89"/>
      <c r="AG318" s="88">
        <f t="shared" si="26"/>
        <v>152912.84249420016</v>
      </c>
      <c r="AH318" s="89">
        <v>33519.722929035757</v>
      </c>
      <c r="AI318" s="89">
        <v>12213.282966755754</v>
      </c>
      <c r="AJ318" s="89">
        <v>21306.439962280001</v>
      </c>
      <c r="AK318" s="89">
        <v>119393.11956516441</v>
      </c>
      <c r="AL318" s="89"/>
      <c r="AM318" s="88">
        <v>6663759</v>
      </c>
      <c r="AN318" s="89">
        <v>2137501</v>
      </c>
      <c r="AO318" s="89">
        <v>1883250</v>
      </c>
      <c r="AP318" s="89">
        <v>254251</v>
      </c>
      <c r="AQ318" s="89">
        <v>3951261</v>
      </c>
      <c r="AR318" s="89">
        <v>574997</v>
      </c>
      <c r="AS318" s="88">
        <v>104609598.383918</v>
      </c>
      <c r="AT318" s="89">
        <v>-36312.034164999903</v>
      </c>
      <c r="AU318" s="89">
        <v>-36312.034164999903</v>
      </c>
      <c r="AV318" s="89"/>
      <c r="AW318" s="89">
        <v>131951251.88180801</v>
      </c>
      <c r="AX318" s="89">
        <v>-27305341.463725001</v>
      </c>
      <c r="AY318" s="88">
        <v>454048732.41390091</v>
      </c>
      <c r="AZ318" s="89">
        <f t="shared" si="19"/>
        <v>78288077.476031899</v>
      </c>
      <c r="BA318" s="89">
        <v>60084710.488881901</v>
      </c>
      <c r="BB318" s="89">
        <v>18203366.987149999</v>
      </c>
      <c r="BC318" s="89">
        <v>375760654.93786901</v>
      </c>
      <c r="BD318" s="89"/>
      <c r="BE318" s="88">
        <f t="shared" si="27"/>
        <v>17274094.682689868</v>
      </c>
      <c r="BF318" s="89">
        <f t="shared" si="28"/>
        <v>2107556.6551149301</v>
      </c>
      <c r="BG318" s="89">
        <v>1844532.01675557</v>
      </c>
      <c r="BH318" s="89">
        <v>263024.63835935999</v>
      </c>
      <c r="BI318" s="89">
        <v>16691548.856067609</v>
      </c>
      <c r="BJ318" s="89">
        <v>-1525010.8284926701</v>
      </c>
      <c r="BK318" s="88">
        <v>592.81299999999999</v>
      </c>
      <c r="BL318" s="89">
        <f t="shared" si="29"/>
        <v>-174.96100000000001</v>
      </c>
      <c r="BM318" s="89">
        <v>-84.739000000000004</v>
      </c>
      <c r="BN318" s="89">
        <v>-90.221999999999994</v>
      </c>
      <c r="BO318" s="89">
        <v>767.774</v>
      </c>
      <c r="BP318" s="89"/>
      <c r="BQ318" s="88">
        <v>30491.430202</v>
      </c>
      <c r="BR318" s="89">
        <f t="shared" si="43"/>
        <v>2782.3149900000003</v>
      </c>
      <c r="BS318" s="89">
        <v>3485.8089730000002</v>
      </c>
      <c r="BT318" s="89">
        <v>-703.49398299999996</v>
      </c>
      <c r="BU318" s="89">
        <v>27709.115212000001</v>
      </c>
      <c r="BV318" s="89"/>
      <c r="BW318" s="88">
        <v>17871.291084059994</v>
      </c>
      <c r="BX318" s="89">
        <f t="shared" si="30"/>
        <v>8656.4496950660014</v>
      </c>
      <c r="BY318" s="89">
        <v>8223.0837641660019</v>
      </c>
      <c r="BZ318" s="89">
        <v>433.36593090000002</v>
      </c>
      <c r="CA318" s="89">
        <v>11700.68257562</v>
      </c>
      <c r="CB318" s="89">
        <v>-2485.8411866260067</v>
      </c>
      <c r="CC318" s="88">
        <v>1313.777</v>
      </c>
      <c r="CD318" s="89">
        <f t="shared" si="31"/>
        <v>-274.94900000000001</v>
      </c>
      <c r="CE318" s="89">
        <v>-62.89</v>
      </c>
      <c r="CF318" s="89">
        <v>-212.059</v>
      </c>
      <c r="CG318" s="89">
        <v>1588.7260000000001</v>
      </c>
      <c r="CH318" s="89"/>
      <c r="CI318" s="88">
        <v>195802.8</v>
      </c>
      <c r="CJ318" s="89">
        <f t="shared" si="32"/>
        <v>41822.5</v>
      </c>
      <c r="CK318" s="89">
        <v>41360.699999999997</v>
      </c>
      <c r="CL318" s="89">
        <v>461.8</v>
      </c>
      <c r="CM318" s="89">
        <v>170150.9</v>
      </c>
      <c r="CN318" s="89">
        <v>-16170.6</v>
      </c>
      <c r="CO318" s="88">
        <v>180394.9</v>
      </c>
      <c r="CP318" s="89">
        <v>-6397.3</v>
      </c>
      <c r="CQ318" s="89">
        <v>62954.2</v>
      </c>
      <c r="CR318" s="89">
        <f t="shared" si="33"/>
        <v>-69351.5</v>
      </c>
      <c r="CS318" s="89">
        <v>211721.8</v>
      </c>
      <c r="CT318" s="89">
        <v>-24929.599999999999</v>
      </c>
      <c r="CU318" s="88">
        <f t="shared" si="34"/>
        <v>112526.492055954</v>
      </c>
      <c r="CV318" s="89">
        <v>15725.842234905782</v>
      </c>
      <c r="CW318" s="89">
        <v>19974.006053563164</v>
      </c>
      <c r="CX318" s="89">
        <v>-4248.1638186573837</v>
      </c>
      <c r="CY318" s="89">
        <v>96800.649821048224</v>
      </c>
      <c r="CZ318" s="89"/>
      <c r="DA318" s="88">
        <v>166251.36301850033</v>
      </c>
      <c r="DB318" s="89">
        <f t="shared" si="35"/>
        <v>6359.7403031907488</v>
      </c>
      <c r="DC318" s="89">
        <v>-7018.0502835230727</v>
      </c>
      <c r="DD318" s="89">
        <v>13377.790586713822</v>
      </c>
      <c r="DE318" s="89">
        <v>260535.69982440426</v>
      </c>
      <c r="DF318" s="89">
        <v>-100644.07710909471</v>
      </c>
      <c r="DG318" s="88">
        <v>444549.8032027497</v>
      </c>
      <c r="DH318" s="89">
        <v>117377.48220274966</v>
      </c>
      <c r="DI318" s="89"/>
      <c r="DJ318" s="89"/>
      <c r="DK318" s="89">
        <v>368650.09</v>
      </c>
      <c r="DL318" s="89">
        <v>-41477.769</v>
      </c>
      <c r="DM318" s="88">
        <v>10119200</v>
      </c>
      <c r="DN318" s="89">
        <f t="shared" si="21"/>
        <v>3904840</v>
      </c>
      <c r="DO318" s="89">
        <v>3038670</v>
      </c>
      <c r="DP318" s="89">
        <v>866170</v>
      </c>
      <c r="DQ318" s="89">
        <v>6214330</v>
      </c>
      <c r="DR318" s="89"/>
      <c r="DS318" s="88">
        <v>121773.91887306669</v>
      </c>
      <c r="DT318" s="89">
        <f t="shared" si="36"/>
        <v>36308.326941049374</v>
      </c>
      <c r="DU318" s="89">
        <v>34744.75956585005</v>
      </c>
      <c r="DV318" s="89">
        <v>1563.5673751993202</v>
      </c>
      <c r="DW318" s="89">
        <v>130858.38448515252</v>
      </c>
      <c r="DX318" s="89">
        <v>-45392.792553135201</v>
      </c>
      <c r="DY318" s="88">
        <v>10785.477389</v>
      </c>
      <c r="DZ318" s="89">
        <f t="shared" si="45"/>
        <v>-1446.1836109999999</v>
      </c>
      <c r="EA318" s="89">
        <v>668.070065</v>
      </c>
      <c r="EB318" s="89">
        <v>-2114.2536759999998</v>
      </c>
      <c r="EC318" s="89">
        <v>11841.186</v>
      </c>
      <c r="ED318" s="89"/>
      <c r="EE318" s="88">
        <v>31877.779953860001</v>
      </c>
      <c r="EF318" s="89">
        <f t="shared" si="37"/>
        <v>-4430.4693274399997</v>
      </c>
      <c r="EG318" s="89">
        <v>-4566.8163610499996</v>
      </c>
      <c r="EH318" s="89">
        <v>136.34703360999998</v>
      </c>
      <c r="EI318" s="89">
        <v>46226.328022080001</v>
      </c>
      <c r="EJ318" s="89">
        <v>-9918.0787407800035</v>
      </c>
      <c r="EK318" s="88">
        <v>49571573</v>
      </c>
      <c r="EL318" s="89">
        <f t="shared" si="46"/>
        <v>-17079063</v>
      </c>
      <c r="EM318" s="89">
        <v>-14970933</v>
      </c>
      <c r="EN318" s="89">
        <v>-2108130</v>
      </c>
      <c r="EO318" s="89">
        <v>69337472</v>
      </c>
      <c r="EP318" s="89">
        <v>-2686836</v>
      </c>
      <c r="EQ318" s="88">
        <v>160739.38274025</v>
      </c>
      <c r="ER318" s="89">
        <v>-50053.411517880006</v>
      </c>
      <c r="ES318" s="89"/>
      <c r="ET318" s="89"/>
      <c r="EU318" s="89">
        <v>304941.64763562998</v>
      </c>
      <c r="EV318" s="89">
        <v>-94148.853377499967</v>
      </c>
      <c r="EW318" s="88">
        <v>1368794.9477083357</v>
      </c>
      <c r="EX318" s="89">
        <f t="shared" si="20"/>
        <v>825948.03051105991</v>
      </c>
      <c r="EY318" s="89">
        <v>785869.92928298994</v>
      </c>
      <c r="EZ318" s="89">
        <v>40078.101228069994</v>
      </c>
      <c r="FA318" s="89">
        <v>838213.10249392001</v>
      </c>
      <c r="FB318" s="89">
        <v>-295366.18529664434</v>
      </c>
      <c r="FC318" s="88">
        <v>961.08</v>
      </c>
      <c r="FD318" s="89">
        <f t="shared" si="38"/>
        <v>-488.29499999999996</v>
      </c>
      <c r="FE318" s="89">
        <v>457.73500000000001</v>
      </c>
      <c r="FF318" s="89">
        <v>-946.03</v>
      </c>
      <c r="FG318" s="89">
        <v>1449.375</v>
      </c>
      <c r="FH318" s="89"/>
      <c r="FI318" s="88">
        <v>1084.1420000000001</v>
      </c>
      <c r="FJ318" s="89">
        <f t="shared" si="39"/>
        <v>12.689999999999998</v>
      </c>
      <c r="FK318" s="89">
        <v>120.261</v>
      </c>
      <c r="FL318" s="89">
        <v>-107.571</v>
      </c>
      <c r="FM318" s="89">
        <v>1071.452</v>
      </c>
      <c r="FN318" s="89"/>
      <c r="FO318" s="88">
        <v>3256.2359999999999</v>
      </c>
      <c r="FP318" s="89">
        <f t="shared" si="40"/>
        <v>-286.512</v>
      </c>
      <c r="FQ318" s="89">
        <v>198.322</v>
      </c>
      <c r="FR318" s="89">
        <v>-484.834</v>
      </c>
      <c r="FS318" s="89">
        <v>3542.748</v>
      </c>
      <c r="FT318" s="89"/>
      <c r="FU318" s="88">
        <f t="shared" si="41"/>
        <v>9817.2000000000007</v>
      </c>
      <c r="FV318" s="89">
        <f t="shared" si="42"/>
        <v>3023.4</v>
      </c>
      <c r="FW318" s="89">
        <v>2806.1</v>
      </c>
      <c r="FX318" s="89">
        <v>217.3</v>
      </c>
      <c r="FY318" s="89">
        <v>6605.3</v>
      </c>
      <c r="FZ318" s="89">
        <v>188.5</v>
      </c>
      <c r="GA318" s="88">
        <v>28990.400000000001</v>
      </c>
      <c r="GB318" s="89">
        <f t="shared" si="47"/>
        <v>-23970.799999999996</v>
      </c>
      <c r="GC318" s="89"/>
      <c r="GD318" s="89"/>
      <c r="GE318" s="89">
        <v>52961.2</v>
      </c>
      <c r="GF318" s="89"/>
      <c r="GG318" s="88">
        <v>347437.58289973834</v>
      </c>
      <c r="GH318" s="89">
        <v>76238.320805165189</v>
      </c>
      <c r="GI318" s="89">
        <v>77115.968963950232</v>
      </c>
      <c r="GJ318" s="89">
        <v>-877.64815878504123</v>
      </c>
      <c r="GK318" s="89">
        <v>457545.11971727147</v>
      </c>
      <c r="GL318" s="89">
        <v>-186345.85762269836</v>
      </c>
      <c r="GM318" s="88">
        <v>3909545.0830504987</v>
      </c>
      <c r="GN318" s="89">
        <v>661972.40555602987</v>
      </c>
      <c r="GO318" s="89">
        <v>406032.96369006991</v>
      </c>
      <c r="GP318" s="89">
        <f t="shared" si="48"/>
        <v>255939.44186595996</v>
      </c>
      <c r="GQ318" s="89">
        <v>2983104.9290449391</v>
      </c>
      <c r="GR318" s="89">
        <v>264467.74844952993</v>
      </c>
    </row>
    <row r="319" spans="1:200">
      <c r="A319" s="135"/>
      <c r="B319" s="93" t="s">
        <v>492</v>
      </c>
      <c r="C319" s="88">
        <v>2109.884</v>
      </c>
      <c r="D319" s="89">
        <f t="shared" si="22"/>
        <v>235.333</v>
      </c>
      <c r="E319" s="89">
        <v>242.24600000000001</v>
      </c>
      <c r="F319" s="89">
        <v>-6.9130000000000003</v>
      </c>
      <c r="G319" s="89">
        <v>1874.5509999999999</v>
      </c>
      <c r="H319" s="89"/>
      <c r="I319" s="88">
        <f t="shared" si="44"/>
        <v>1498041.9100000001</v>
      </c>
      <c r="J319" s="89">
        <v>1785818.1899569901</v>
      </c>
      <c r="K319" s="89"/>
      <c r="L319" s="89"/>
      <c r="M319" s="89">
        <v>901296.40700000001</v>
      </c>
      <c r="N319" s="89">
        <v>-1189072.68695699</v>
      </c>
      <c r="O319" s="88">
        <v>8941</v>
      </c>
      <c r="P319" s="89">
        <f t="shared" si="23"/>
        <v>2673.8</v>
      </c>
      <c r="Q319" s="89">
        <v>2206.3000000000002</v>
      </c>
      <c r="R319" s="89">
        <v>467.5</v>
      </c>
      <c r="S319" s="89">
        <v>6267.4</v>
      </c>
      <c r="T319" s="89"/>
      <c r="U319" s="88">
        <f t="shared" si="24"/>
        <v>8920.6404750000002</v>
      </c>
      <c r="V319" s="89">
        <f t="shared" si="25"/>
        <v>3525.3414750000002</v>
      </c>
      <c r="W319" s="89">
        <v>3091.1304749999999</v>
      </c>
      <c r="X319" s="89">
        <v>434.21100000000001</v>
      </c>
      <c r="Y319" s="89">
        <v>5395.299</v>
      </c>
      <c r="Z319" s="89"/>
      <c r="AA319" s="88">
        <v>2340.3998230999996</v>
      </c>
      <c r="AB319" s="89">
        <v>356.53004864999997</v>
      </c>
      <c r="AC319" s="89">
        <v>346.49304864999999</v>
      </c>
      <c r="AD319" s="89">
        <v>10.037000000000001</v>
      </c>
      <c r="AE319" s="89">
        <v>1983.86977445</v>
      </c>
      <c r="AF319" s="89"/>
      <c r="AG319" s="88"/>
      <c r="AH319" s="89"/>
      <c r="AI319" s="89"/>
      <c r="AJ319" s="89"/>
      <c r="AK319" s="89"/>
      <c r="AL319" s="89"/>
      <c r="AM319" s="88">
        <v>6673822</v>
      </c>
      <c r="AN319" s="89">
        <v>2165582</v>
      </c>
      <c r="AO319" s="89">
        <v>1911200</v>
      </c>
      <c r="AP319" s="89">
        <v>254382</v>
      </c>
      <c r="AQ319" s="89">
        <v>3943192</v>
      </c>
      <c r="AR319" s="89">
        <v>565048</v>
      </c>
      <c r="AS319" s="88">
        <v>104380240.77674299</v>
      </c>
      <c r="AT319" s="89">
        <v>34336.516679000095</v>
      </c>
      <c r="AU319" s="89">
        <v>34336.516679000095</v>
      </c>
      <c r="AV319" s="89"/>
      <c r="AW319" s="89">
        <v>132549437.48019798</v>
      </c>
      <c r="AX319" s="89">
        <v>-28203533.220133997</v>
      </c>
      <c r="AY319" s="88"/>
      <c r="AZ319" s="89"/>
      <c r="BA319" s="89"/>
      <c r="BB319" s="89"/>
      <c r="BC319" s="89"/>
      <c r="BD319" s="89"/>
      <c r="BE319" s="88">
        <f t="shared" si="27"/>
        <v>17301935.160050068</v>
      </c>
      <c r="BF319" s="89">
        <f t="shared" si="28"/>
        <v>2111070.8777570399</v>
      </c>
      <c r="BG319" s="89">
        <v>1827310.4441720301</v>
      </c>
      <c r="BH319" s="89">
        <v>283760.43358501</v>
      </c>
      <c r="BI319" s="89">
        <v>16824736.8097459</v>
      </c>
      <c r="BJ319" s="89">
        <v>-1633872.52745287</v>
      </c>
      <c r="BK319" s="88">
        <v>590.44399999999996</v>
      </c>
      <c r="BL319" s="89">
        <f t="shared" si="29"/>
        <v>-209.34800000000001</v>
      </c>
      <c r="BM319" s="89">
        <v>-93.248999999999995</v>
      </c>
      <c r="BN319" s="89">
        <v>-116.099</v>
      </c>
      <c r="BO319" s="89">
        <v>799.79200000000003</v>
      </c>
      <c r="BP319" s="89"/>
      <c r="BQ319" s="88">
        <v>30498.346680000002</v>
      </c>
      <c r="BR319" s="89">
        <f t="shared" si="43"/>
        <v>2735.3398130000005</v>
      </c>
      <c r="BS319" s="89">
        <v>3605.1581490000008</v>
      </c>
      <c r="BT319" s="89">
        <v>-869.81833600000004</v>
      </c>
      <c r="BU319" s="89">
        <v>27763.006867</v>
      </c>
      <c r="BV319" s="89"/>
      <c r="BW319" s="88">
        <v>17884.019258979999</v>
      </c>
      <c r="BX319" s="89">
        <f t="shared" si="30"/>
        <v>8526.34121572</v>
      </c>
      <c r="BY319" s="89">
        <v>8109.7808593399996</v>
      </c>
      <c r="BZ319" s="89">
        <v>416.56035638000003</v>
      </c>
      <c r="CA319" s="89">
        <v>11766.116011530001</v>
      </c>
      <c r="CB319" s="89">
        <v>-2408.4379682700014</v>
      </c>
      <c r="CC319" s="88">
        <v>1314.0440000000001</v>
      </c>
      <c r="CD319" s="89">
        <f t="shared" si="31"/>
        <v>-273.77499999999998</v>
      </c>
      <c r="CE319" s="89">
        <v>-69.082999999999998</v>
      </c>
      <c r="CF319" s="89">
        <v>-204.69200000000001</v>
      </c>
      <c r="CG319" s="89">
        <v>1587.819</v>
      </c>
      <c r="CH319" s="89"/>
      <c r="CI319" s="88">
        <v>196505.2</v>
      </c>
      <c r="CJ319" s="89">
        <f t="shared" si="32"/>
        <v>41066.699999999997</v>
      </c>
      <c r="CK319" s="89">
        <v>40630.6</v>
      </c>
      <c r="CL319" s="89">
        <v>436.1</v>
      </c>
      <c r="CM319" s="89">
        <v>170937</v>
      </c>
      <c r="CN319" s="89">
        <v>-15498.6</v>
      </c>
      <c r="CO319" s="88">
        <v>188341.4</v>
      </c>
      <c r="CP319" s="89">
        <v>1358</v>
      </c>
      <c r="CQ319" s="89">
        <v>70430</v>
      </c>
      <c r="CR319" s="89">
        <f t="shared" si="33"/>
        <v>-69072</v>
      </c>
      <c r="CS319" s="89">
        <v>212021.9</v>
      </c>
      <c r="CT319" s="89">
        <v>-25038.6</v>
      </c>
      <c r="CU319" s="88">
        <f t="shared" si="34"/>
        <v>111799.40454038966</v>
      </c>
      <c r="CV319" s="89">
        <v>14876.655049755549</v>
      </c>
      <c r="CW319" s="89">
        <v>19355.639641416445</v>
      </c>
      <c r="CX319" s="89">
        <v>-4478.9845916608956</v>
      </c>
      <c r="CY319" s="89">
        <v>96922.749490634116</v>
      </c>
      <c r="CZ319" s="89"/>
      <c r="DA319" s="88">
        <v>165140.00880849018</v>
      </c>
      <c r="DB319" s="89">
        <f t="shared" si="35"/>
        <v>3889.153981424337</v>
      </c>
      <c r="DC319" s="89">
        <v>-9061.0362415135533</v>
      </c>
      <c r="DD319" s="89">
        <v>12950.19022293789</v>
      </c>
      <c r="DE319" s="89">
        <v>261366.52003326151</v>
      </c>
      <c r="DF319" s="89">
        <v>-100115.66520619567</v>
      </c>
      <c r="DG319" s="88">
        <v>445671.38607999997</v>
      </c>
      <c r="DH319" s="89">
        <v>114372.04708</v>
      </c>
      <c r="DI319" s="89"/>
      <c r="DJ319" s="89"/>
      <c r="DK319" s="89">
        <v>371259.36499999999</v>
      </c>
      <c r="DL319" s="89">
        <v>-39960.025999999998</v>
      </c>
      <c r="DM319" s="88">
        <v>9979160</v>
      </c>
      <c r="DN319" s="89">
        <f t="shared" si="21"/>
        <v>3767927</v>
      </c>
      <c r="DO319" s="89">
        <v>2900400</v>
      </c>
      <c r="DP319" s="89">
        <v>867527</v>
      </c>
      <c r="DQ319" s="89">
        <v>6211230</v>
      </c>
      <c r="DR319" s="89"/>
      <c r="DS319" s="88">
        <v>124408.8002950713</v>
      </c>
      <c r="DT319" s="89">
        <f t="shared" si="36"/>
        <v>37481.920159398964</v>
      </c>
      <c r="DU319" s="89">
        <v>35888.770420513552</v>
      </c>
      <c r="DV319" s="89">
        <v>1593.1497388854082</v>
      </c>
      <c r="DW319" s="89">
        <v>132785.72969063051</v>
      </c>
      <c r="DX319" s="89">
        <v>-45858.849554958208</v>
      </c>
      <c r="DY319" s="88">
        <v>10420.252978</v>
      </c>
      <c r="DZ319" s="89">
        <f t="shared" si="45"/>
        <v>-1287.4730220000001</v>
      </c>
      <c r="EA319" s="89">
        <v>645.28694299999995</v>
      </c>
      <c r="EB319" s="89">
        <v>-1932.7599650000002</v>
      </c>
      <c r="EC319" s="89">
        <v>11314.902</v>
      </c>
      <c r="ED319" s="89"/>
      <c r="EE319" s="88">
        <v>31822.11646895</v>
      </c>
      <c r="EF319" s="89">
        <f t="shared" si="37"/>
        <v>-4333.8665552999992</v>
      </c>
      <c r="EG319" s="89">
        <v>-4467.7145285999995</v>
      </c>
      <c r="EH319" s="89">
        <v>133.84797330000001</v>
      </c>
      <c r="EI319" s="89">
        <v>46401.391066159995</v>
      </c>
      <c r="EJ319" s="89">
        <v>-10245.408041909999</v>
      </c>
      <c r="EK319" s="88">
        <v>48156418</v>
      </c>
      <c r="EL319" s="89">
        <f t="shared" si="46"/>
        <v>-17862313</v>
      </c>
      <c r="EM319" s="89">
        <v>-15619370</v>
      </c>
      <c r="EN319" s="89">
        <v>-2242943</v>
      </c>
      <c r="EO319" s="89">
        <v>68695546</v>
      </c>
      <c r="EP319" s="89">
        <v>-2676815</v>
      </c>
      <c r="EQ319" s="88">
        <v>164439.43623408003</v>
      </c>
      <c r="ER319" s="89">
        <v>-50206.926097879994</v>
      </c>
      <c r="ES319" s="89"/>
      <c r="ET319" s="89"/>
      <c r="EU319" s="89">
        <v>306006.68822884001</v>
      </c>
      <c r="EV319" s="89">
        <v>-91360.325896879978</v>
      </c>
      <c r="EW319" s="88">
        <v>1397726.4863891811</v>
      </c>
      <c r="EX319" s="89">
        <f t="shared" si="20"/>
        <v>838066.76015828992</v>
      </c>
      <c r="EY319" s="89">
        <v>800163.88813913998</v>
      </c>
      <c r="EZ319" s="89">
        <v>37902.872019150003</v>
      </c>
      <c r="FA319" s="89">
        <v>848966.57579422998</v>
      </c>
      <c r="FB319" s="89">
        <v>-289306.84956333879</v>
      </c>
      <c r="FC319" s="88">
        <v>929.82899999999995</v>
      </c>
      <c r="FD319" s="89">
        <f t="shared" si="38"/>
        <v>-516.66300000000001</v>
      </c>
      <c r="FE319" s="89">
        <v>440.77300000000002</v>
      </c>
      <c r="FF319" s="89">
        <v>-957.43600000000004</v>
      </c>
      <c r="FG319" s="89">
        <v>1446.492</v>
      </c>
      <c r="FH319" s="89"/>
      <c r="FI319" s="88">
        <v>1097.941</v>
      </c>
      <c r="FJ319" s="89">
        <f t="shared" si="39"/>
        <v>19.359000000000009</v>
      </c>
      <c r="FK319" s="89">
        <v>129.91300000000001</v>
      </c>
      <c r="FL319" s="89">
        <v>-110.554</v>
      </c>
      <c r="FM319" s="89">
        <v>1078.5820000000001</v>
      </c>
      <c r="FN319" s="89"/>
      <c r="FO319" s="88">
        <v>3149.9270000000001</v>
      </c>
      <c r="FP319" s="89">
        <f t="shared" si="40"/>
        <v>-335.95299999999997</v>
      </c>
      <c r="FQ319" s="89">
        <v>159.38399999999999</v>
      </c>
      <c r="FR319" s="89">
        <v>-495.33699999999999</v>
      </c>
      <c r="FS319" s="89">
        <v>3485.88</v>
      </c>
      <c r="FT319" s="89"/>
      <c r="FU319" s="88">
        <f t="shared" si="41"/>
        <v>10193.6</v>
      </c>
      <c r="FV319" s="89">
        <f t="shared" si="42"/>
        <v>3188.1000000000004</v>
      </c>
      <c r="FW319" s="89">
        <v>2955.8</v>
      </c>
      <c r="FX319" s="89">
        <v>232.3</v>
      </c>
      <c r="FY319" s="89">
        <v>6813.6</v>
      </c>
      <c r="FZ319" s="89">
        <v>191.9</v>
      </c>
      <c r="GA319" s="88">
        <v>32161.9</v>
      </c>
      <c r="GB319" s="89">
        <f t="shared" si="47"/>
        <v>-21340.9</v>
      </c>
      <c r="GC319" s="89"/>
      <c r="GD319" s="89"/>
      <c r="GE319" s="89">
        <v>53502.8</v>
      </c>
      <c r="GF319" s="89"/>
      <c r="GG319" s="88">
        <v>359753.18451308901</v>
      </c>
      <c r="GH319" s="89">
        <v>82536.537235535332</v>
      </c>
      <c r="GI319" s="89">
        <v>80792.818727939331</v>
      </c>
      <c r="GJ319" s="89">
        <v>1743.7185075959987</v>
      </c>
      <c r="GK319" s="89">
        <v>456963.07702010346</v>
      </c>
      <c r="GL319" s="89">
        <v>-179746.42974254981</v>
      </c>
      <c r="GM319" s="88">
        <v>4052289.6941485996</v>
      </c>
      <c r="GN319" s="89">
        <v>639055.2212170799</v>
      </c>
      <c r="GO319" s="89">
        <v>386879.30214628991</v>
      </c>
      <c r="GP319" s="89">
        <f t="shared" si="48"/>
        <v>252175.91907079</v>
      </c>
      <c r="GQ319" s="89">
        <v>3156307.3539178399</v>
      </c>
      <c r="GR319" s="89">
        <v>256927.11901368</v>
      </c>
    </row>
    <row r="320" spans="1:200">
      <c r="A320" s="135"/>
      <c r="B320" s="93" t="s">
        <v>493</v>
      </c>
      <c r="C320" s="88">
        <v>2122.1583229999997</v>
      </c>
      <c r="D320" s="89">
        <f t="shared" si="22"/>
        <v>252.32732300000004</v>
      </c>
      <c r="E320" s="89">
        <v>263.23191200000002</v>
      </c>
      <c r="F320" s="89">
        <v>-10.904589</v>
      </c>
      <c r="G320" s="89">
        <v>1869.8309999999999</v>
      </c>
      <c r="H320" s="89"/>
      <c r="I320" s="88">
        <f t="shared" si="44"/>
        <v>1538857.7820000001</v>
      </c>
      <c r="J320" s="89">
        <v>1787956.3059864501</v>
      </c>
      <c r="K320" s="89"/>
      <c r="L320" s="89"/>
      <c r="M320" s="89">
        <v>922563.88399999996</v>
      </c>
      <c r="N320" s="89">
        <v>-1171662.40798645</v>
      </c>
      <c r="O320" s="88">
        <v>8845.2999999999993</v>
      </c>
      <c r="P320" s="89">
        <f t="shared" si="23"/>
        <v>2619.4</v>
      </c>
      <c r="Q320" s="89">
        <v>2166.3000000000002</v>
      </c>
      <c r="R320" s="89">
        <v>453.1</v>
      </c>
      <c r="S320" s="89">
        <v>6225.9</v>
      </c>
      <c r="T320" s="89"/>
      <c r="U320" s="88">
        <f t="shared" si="24"/>
        <v>8896.0837910000009</v>
      </c>
      <c r="V320" s="89">
        <f t="shared" si="25"/>
        <v>3533.824791</v>
      </c>
      <c r="W320" s="89">
        <v>3112.516791</v>
      </c>
      <c r="X320" s="89">
        <v>421.30799999999999</v>
      </c>
      <c r="Y320" s="89">
        <v>5362.259</v>
      </c>
      <c r="Z320" s="89"/>
      <c r="AA320" s="88">
        <v>2365.1308060600004</v>
      </c>
      <c r="AB320" s="89">
        <v>377.08033886000004</v>
      </c>
      <c r="AC320" s="89">
        <v>366.45533886000004</v>
      </c>
      <c r="AD320" s="89">
        <v>10.625</v>
      </c>
      <c r="AE320" s="89">
        <v>1988.0504672000002</v>
      </c>
      <c r="AF320" s="89"/>
      <c r="AG320" s="88"/>
      <c r="AH320" s="89"/>
      <c r="AI320" s="89"/>
      <c r="AJ320" s="89"/>
      <c r="AK320" s="89"/>
      <c r="AL320" s="89"/>
      <c r="AM320" s="88">
        <v>6697119</v>
      </c>
      <c r="AN320" s="89">
        <v>2196781</v>
      </c>
      <c r="AO320" s="89">
        <v>1939254</v>
      </c>
      <c r="AP320" s="89">
        <v>257527</v>
      </c>
      <c r="AQ320" s="89">
        <v>3931488</v>
      </c>
      <c r="AR320" s="89">
        <v>568850</v>
      </c>
      <c r="AS320" s="88">
        <v>106209903.808864</v>
      </c>
      <c r="AT320" s="89">
        <v>145201.82245500002</v>
      </c>
      <c r="AU320" s="89">
        <v>145201.82245500002</v>
      </c>
      <c r="AV320" s="89"/>
      <c r="AW320" s="89">
        <v>133947594.354729</v>
      </c>
      <c r="AX320" s="89">
        <v>-27882892.368319999</v>
      </c>
      <c r="AY320" s="88"/>
      <c r="AZ320" s="89"/>
      <c r="BA320" s="89"/>
      <c r="BB320" s="89"/>
      <c r="BC320" s="89"/>
      <c r="BD320" s="89"/>
      <c r="BE320" s="88">
        <f t="shared" si="27"/>
        <v>17657123.171559509</v>
      </c>
      <c r="BF320" s="89">
        <f t="shared" si="28"/>
        <v>2181397.4787811302</v>
      </c>
      <c r="BG320" s="89">
        <v>1901290.95456223</v>
      </c>
      <c r="BH320" s="89">
        <v>280106.52421890001</v>
      </c>
      <c r="BI320" s="89">
        <v>17041247.03237997</v>
      </c>
      <c r="BJ320" s="89">
        <v>-1565521.3396015901</v>
      </c>
      <c r="BK320" s="88">
        <v>597.97344999999996</v>
      </c>
      <c r="BL320" s="89">
        <f t="shared" si="29"/>
        <v>-220.17554999999999</v>
      </c>
      <c r="BM320" s="89">
        <v>-103.380481</v>
      </c>
      <c r="BN320" s="89">
        <v>-116.795069</v>
      </c>
      <c r="BO320" s="89">
        <v>818.149</v>
      </c>
      <c r="BP320" s="89"/>
      <c r="BQ320" s="88">
        <v>30511.010467000004</v>
      </c>
      <c r="BR320" s="89">
        <f t="shared" si="43"/>
        <v>2863.8106299999999</v>
      </c>
      <c r="BS320" s="89">
        <v>3423.3656529999998</v>
      </c>
      <c r="BT320" s="89">
        <v>-559.55502300000012</v>
      </c>
      <c r="BU320" s="89">
        <v>27647.199837000004</v>
      </c>
      <c r="BV320" s="89"/>
      <c r="BW320" s="88">
        <v>17878.059603820002</v>
      </c>
      <c r="BX320" s="89">
        <f t="shared" si="30"/>
        <v>8513.1657081420635</v>
      </c>
      <c r="BY320" s="89">
        <v>8086.0486888020641</v>
      </c>
      <c r="BZ320" s="89">
        <v>427.11701934000001</v>
      </c>
      <c r="CA320" s="89">
        <v>11788.991001100001</v>
      </c>
      <c r="CB320" s="89">
        <v>-2424.0971054220595</v>
      </c>
      <c r="CC320" s="88">
        <v>1333.6698899999999</v>
      </c>
      <c r="CD320" s="89">
        <f t="shared" si="31"/>
        <v>-245.98210999999998</v>
      </c>
      <c r="CE320" s="89">
        <v>-41.421875</v>
      </c>
      <c r="CF320" s="89">
        <v>-204.56023499999998</v>
      </c>
      <c r="CG320" s="89">
        <v>1579.652</v>
      </c>
      <c r="CH320" s="89"/>
      <c r="CI320" s="88">
        <v>191187.9</v>
      </c>
      <c r="CJ320" s="89">
        <f t="shared" si="32"/>
        <v>34353.5</v>
      </c>
      <c r="CK320" s="89">
        <v>33921.199999999997</v>
      </c>
      <c r="CL320" s="89">
        <v>432.3</v>
      </c>
      <c r="CM320" s="89">
        <v>171504.2</v>
      </c>
      <c r="CN320" s="89">
        <v>-14669.8</v>
      </c>
      <c r="CO320" s="88">
        <v>185137.4</v>
      </c>
      <c r="CP320" s="89">
        <v>-941.9</v>
      </c>
      <c r="CQ320" s="89">
        <v>69868.600000000006</v>
      </c>
      <c r="CR320" s="89">
        <f t="shared" si="33"/>
        <v>-70810.5</v>
      </c>
      <c r="CS320" s="89">
        <v>213018.5</v>
      </c>
      <c r="CT320" s="89">
        <v>-26939.200000000001</v>
      </c>
      <c r="CU320" s="88">
        <f t="shared" si="34"/>
        <v>114465.66620618533</v>
      </c>
      <c r="CV320" s="89">
        <v>14972.021458353869</v>
      </c>
      <c r="CW320" s="89">
        <v>19194.330670757605</v>
      </c>
      <c r="CX320" s="89">
        <v>-4222.3092124037385</v>
      </c>
      <c r="CY320" s="89">
        <v>99493.644747831466</v>
      </c>
      <c r="CZ320" s="89"/>
      <c r="DA320" s="88">
        <v>164423.88574221305</v>
      </c>
      <c r="DB320" s="89">
        <f t="shared" si="35"/>
        <v>1661.3426170608072</v>
      </c>
      <c r="DC320" s="89">
        <v>-11225.743394987549</v>
      </c>
      <c r="DD320" s="89">
        <v>12887.086012048356</v>
      </c>
      <c r="DE320" s="89">
        <v>262622.47004643013</v>
      </c>
      <c r="DF320" s="89">
        <v>-99859.926921277816</v>
      </c>
      <c r="DG320" s="88">
        <v>467523.09020687145</v>
      </c>
      <c r="DH320" s="89">
        <v>106391.14520687147</v>
      </c>
      <c r="DI320" s="89"/>
      <c r="DJ320" s="89"/>
      <c r="DK320" s="89">
        <v>378617.36499999999</v>
      </c>
      <c r="DL320" s="89">
        <v>-17485.419999999998</v>
      </c>
      <c r="DM320" s="88">
        <v>10174100</v>
      </c>
      <c r="DN320" s="89">
        <f t="shared" si="21"/>
        <v>3885123</v>
      </c>
      <c r="DO320" s="89">
        <v>3024830</v>
      </c>
      <c r="DP320" s="89">
        <v>860293</v>
      </c>
      <c r="DQ320" s="89">
        <v>6289000</v>
      </c>
      <c r="DR320" s="89"/>
      <c r="DS320" s="88">
        <v>121349.92292838322</v>
      </c>
      <c r="DT320" s="89">
        <f t="shared" si="36"/>
        <v>35142.063924766349</v>
      </c>
      <c r="DU320" s="89">
        <v>33642.676326704124</v>
      </c>
      <c r="DV320" s="89">
        <v>1499.3875980622222</v>
      </c>
      <c r="DW320" s="89">
        <v>132429.08252236224</v>
      </c>
      <c r="DX320" s="89">
        <v>-46221.223518745326</v>
      </c>
      <c r="DY320" s="88">
        <v>10444.219302</v>
      </c>
      <c r="DZ320" s="89">
        <f t="shared" si="45"/>
        <v>-1273.857698</v>
      </c>
      <c r="EA320" s="89">
        <v>665.25985100000003</v>
      </c>
      <c r="EB320" s="89">
        <v>-1939.1175490000001</v>
      </c>
      <c r="EC320" s="89">
        <v>11335.844999999999</v>
      </c>
      <c r="ED320" s="89"/>
      <c r="EE320" s="88">
        <v>31113.933924199999</v>
      </c>
      <c r="EF320" s="89">
        <f t="shared" si="37"/>
        <v>-4869.7152337799998</v>
      </c>
      <c r="EG320" s="89">
        <v>-5020.04302654</v>
      </c>
      <c r="EH320" s="89">
        <v>150.32779275999999</v>
      </c>
      <c r="EI320" s="89">
        <v>46910.818448089994</v>
      </c>
      <c r="EJ320" s="89">
        <v>-10927.169290110001</v>
      </c>
      <c r="EK320" s="88">
        <v>47988279</v>
      </c>
      <c r="EL320" s="89">
        <f t="shared" si="46"/>
        <v>-18128611</v>
      </c>
      <c r="EM320" s="89">
        <v>-15530755</v>
      </c>
      <c r="EN320" s="89">
        <v>-2597856</v>
      </c>
      <c r="EO320" s="89">
        <v>68824947</v>
      </c>
      <c r="EP320" s="89">
        <v>-2708057</v>
      </c>
      <c r="EQ320" s="88">
        <v>164769.97306019999</v>
      </c>
      <c r="ER320" s="89">
        <v>-49881.61950809</v>
      </c>
      <c r="ES320" s="89"/>
      <c r="ET320" s="89"/>
      <c r="EU320" s="89">
        <v>308009.90285855997</v>
      </c>
      <c r="EV320" s="89">
        <v>-93358.31029026999</v>
      </c>
      <c r="EW320" s="88">
        <v>1420495.3595367761</v>
      </c>
      <c r="EX320" s="89">
        <f t="shared" si="20"/>
        <v>902507.73778256995</v>
      </c>
      <c r="EY320" s="89">
        <v>864820.88715306995</v>
      </c>
      <c r="EZ320" s="89">
        <v>37686.850629499997</v>
      </c>
      <c r="FA320" s="89">
        <v>848697.56528346008</v>
      </c>
      <c r="FB320" s="89">
        <v>-330709.94352925406</v>
      </c>
      <c r="FC320" s="88">
        <v>918.98021600000004</v>
      </c>
      <c r="FD320" s="89">
        <f t="shared" si="38"/>
        <v>-528.63678400000003</v>
      </c>
      <c r="FE320" s="89">
        <v>439.00913299999996</v>
      </c>
      <c r="FF320" s="89">
        <v>-967.64591700000005</v>
      </c>
      <c r="FG320" s="89">
        <v>1447.617</v>
      </c>
      <c r="FH320" s="89"/>
      <c r="FI320" s="88">
        <v>1094.3983700000001</v>
      </c>
      <c r="FJ320" s="89">
        <f t="shared" si="39"/>
        <v>15.320369999999997</v>
      </c>
      <c r="FK320" s="89">
        <v>114.57997400000001</v>
      </c>
      <c r="FL320" s="89">
        <v>-99.25960400000001</v>
      </c>
      <c r="FM320" s="89">
        <v>1079.078</v>
      </c>
      <c r="FN320" s="89"/>
      <c r="FO320" s="88">
        <v>3162.377015</v>
      </c>
      <c r="FP320" s="89">
        <f t="shared" si="40"/>
        <v>-335.53298499999994</v>
      </c>
      <c r="FQ320" s="89">
        <v>164.72201500000003</v>
      </c>
      <c r="FR320" s="89">
        <v>-500.255</v>
      </c>
      <c r="FS320" s="89">
        <v>3497.91</v>
      </c>
      <c r="FT320" s="89"/>
      <c r="FU320" s="88">
        <f t="shared" si="41"/>
        <v>10986.5</v>
      </c>
      <c r="FV320" s="89">
        <f t="shared" si="42"/>
        <v>3250.3999999999996</v>
      </c>
      <c r="FW320" s="89">
        <v>2974.7</v>
      </c>
      <c r="FX320" s="89">
        <v>275.7</v>
      </c>
      <c r="FY320" s="89">
        <v>7529.4</v>
      </c>
      <c r="FZ320" s="89">
        <v>206.7</v>
      </c>
      <c r="GA320" s="88">
        <v>28288.799999999999</v>
      </c>
      <c r="GB320" s="89">
        <f t="shared" si="47"/>
        <v>-24589.8</v>
      </c>
      <c r="GC320" s="89"/>
      <c r="GD320" s="89"/>
      <c r="GE320" s="89">
        <v>52878.6</v>
      </c>
      <c r="GF320" s="89"/>
      <c r="GG320" s="88">
        <v>358018.7363705897</v>
      </c>
      <c r="GH320" s="89">
        <v>82603.336818967946</v>
      </c>
      <c r="GI320" s="89">
        <v>82441.859938780224</v>
      </c>
      <c r="GJ320" s="89">
        <v>161.47688018772897</v>
      </c>
      <c r="GK320" s="89">
        <v>451937.44721252652</v>
      </c>
      <c r="GL320" s="89">
        <v>-176522.04766090482</v>
      </c>
      <c r="GM320" s="88">
        <v>4241096.5780175496</v>
      </c>
      <c r="GN320" s="89">
        <v>622283.54242015001</v>
      </c>
      <c r="GO320" s="89">
        <v>386513.7330948399</v>
      </c>
      <c r="GP320" s="89">
        <f t="shared" si="48"/>
        <v>235769.80932531011</v>
      </c>
      <c r="GQ320" s="89">
        <v>3368633.0308713899</v>
      </c>
      <c r="GR320" s="89">
        <v>250180.00472601</v>
      </c>
    </row>
    <row r="321" spans="1:200">
      <c r="A321" s="135"/>
      <c r="B321" s="93" t="s">
        <v>494</v>
      </c>
      <c r="C321" s="88">
        <v>2242.7939999999999</v>
      </c>
      <c r="D321" s="89">
        <f t="shared" si="22"/>
        <v>310.589</v>
      </c>
      <c r="E321" s="89">
        <v>309.36399999999998</v>
      </c>
      <c r="F321" s="89">
        <v>1.2250000000000001</v>
      </c>
      <c r="G321" s="89">
        <v>1932.2049999999999</v>
      </c>
      <c r="H321" s="89"/>
      <c r="I321" s="88">
        <f t="shared" si="44"/>
        <v>1596991.8739999996</v>
      </c>
      <c r="J321" s="89">
        <v>1865416.7609999999</v>
      </c>
      <c r="K321" s="89"/>
      <c r="L321" s="89"/>
      <c r="M321" s="89">
        <v>948055.81099999999</v>
      </c>
      <c r="N321" s="89">
        <v>-1216480.6980000001</v>
      </c>
      <c r="O321" s="88">
        <v>8810.7999999999993</v>
      </c>
      <c r="P321" s="89">
        <f t="shared" si="23"/>
        <v>2574.4</v>
      </c>
      <c r="Q321" s="89">
        <v>2100.9</v>
      </c>
      <c r="R321" s="89">
        <v>473.5</v>
      </c>
      <c r="S321" s="89">
        <v>6236.4</v>
      </c>
      <c r="T321" s="89"/>
      <c r="U321" s="88"/>
      <c r="V321" s="89"/>
      <c r="W321" s="89"/>
      <c r="X321" s="89">
        <v>418.84899999999999</v>
      </c>
      <c r="Y321" s="89">
        <v>5361.3460000000005</v>
      </c>
      <c r="Z321" s="89"/>
      <c r="AA321" s="88">
        <v>2359.9289566099997</v>
      </c>
      <c r="AB321" s="89">
        <v>379.12727593</v>
      </c>
      <c r="AC321" s="89">
        <v>368.95027592999998</v>
      </c>
      <c r="AD321" s="89">
        <v>10.177</v>
      </c>
      <c r="AE321" s="89">
        <v>1980.8016806799999</v>
      </c>
      <c r="AF321" s="89"/>
      <c r="AG321" s="88"/>
      <c r="AH321" s="89"/>
      <c r="AI321" s="89"/>
      <c r="AJ321" s="89"/>
      <c r="AK321" s="89"/>
      <c r="AL321" s="89"/>
      <c r="AM321" s="88">
        <v>6690490</v>
      </c>
      <c r="AN321" s="89">
        <v>2176481</v>
      </c>
      <c r="AO321" s="89">
        <v>1924072</v>
      </c>
      <c r="AP321" s="89">
        <v>252409</v>
      </c>
      <c r="AQ321" s="89">
        <v>3936753</v>
      </c>
      <c r="AR321" s="89">
        <v>577256</v>
      </c>
      <c r="AS321" s="88">
        <v>106227537.906827</v>
      </c>
      <c r="AT321" s="89">
        <v>-25917.065325</v>
      </c>
      <c r="AU321" s="89">
        <v>-25917.065325</v>
      </c>
      <c r="AV321" s="89"/>
      <c r="AW321" s="89">
        <v>133923073.49803101</v>
      </c>
      <c r="AX321" s="89">
        <v>-27669618.525878999</v>
      </c>
      <c r="AY321" s="88"/>
      <c r="AZ321" s="89"/>
      <c r="BA321" s="89"/>
      <c r="BB321" s="89"/>
      <c r="BC321" s="89"/>
      <c r="BD321" s="89"/>
      <c r="BE321" s="88">
        <f t="shared" si="27"/>
        <v>17721477.479212321</v>
      </c>
      <c r="BF321" s="89">
        <f t="shared" si="28"/>
        <v>2111103.8596671801</v>
      </c>
      <c r="BG321" s="89">
        <v>1830665.4071175</v>
      </c>
      <c r="BH321" s="89">
        <v>280438.45254968002</v>
      </c>
      <c r="BI321" s="89">
        <v>17357913.485672988</v>
      </c>
      <c r="BJ321" s="89">
        <v>-1747539.86612785</v>
      </c>
      <c r="BK321" s="88">
        <v>569.09400000000005</v>
      </c>
      <c r="BL321" s="89">
        <f t="shared" si="29"/>
        <v>-243.03399999999999</v>
      </c>
      <c r="BM321" s="89">
        <v>-128.852</v>
      </c>
      <c r="BN321" s="89">
        <v>-114.182</v>
      </c>
      <c r="BO321" s="89">
        <v>812.12800000000004</v>
      </c>
      <c r="BP321" s="89"/>
      <c r="BQ321" s="88">
        <v>30542.431453000001</v>
      </c>
      <c r="BR321" s="89">
        <f t="shared" si="43"/>
        <v>2765.5007510000014</v>
      </c>
      <c r="BS321" s="89">
        <v>3296.9121560000012</v>
      </c>
      <c r="BT321" s="89">
        <v>-531.41140500000006</v>
      </c>
      <c r="BU321" s="89">
        <v>27776.930702000001</v>
      </c>
      <c r="BV321" s="89"/>
      <c r="BW321" s="88">
        <v>18110.852112689998</v>
      </c>
      <c r="BX321" s="89">
        <f t="shared" si="30"/>
        <v>8738.7622966984636</v>
      </c>
      <c r="BY321" s="89">
        <v>8301.4453394484644</v>
      </c>
      <c r="BZ321" s="89">
        <v>437.31695724999997</v>
      </c>
      <c r="CA321" s="89">
        <v>11808.38155077</v>
      </c>
      <c r="CB321" s="89">
        <v>-2436.2917347784651</v>
      </c>
      <c r="CC321" s="88">
        <v>1317.1089999999999</v>
      </c>
      <c r="CD321" s="89">
        <f t="shared" si="31"/>
        <v>-270.02999999999997</v>
      </c>
      <c r="CE321" s="89">
        <v>-56.89</v>
      </c>
      <c r="CF321" s="89">
        <v>-213.14</v>
      </c>
      <c r="CG321" s="89">
        <v>1587.1389999999999</v>
      </c>
      <c r="CH321" s="89"/>
      <c r="CI321" s="88">
        <v>192376.7</v>
      </c>
      <c r="CJ321" s="89">
        <f t="shared" si="32"/>
        <v>35608.5</v>
      </c>
      <c r="CK321" s="89">
        <v>35183.4</v>
      </c>
      <c r="CL321" s="89">
        <v>425.1</v>
      </c>
      <c r="CM321" s="89">
        <v>172105.60000000001</v>
      </c>
      <c r="CN321" s="89">
        <v>-15337.5</v>
      </c>
      <c r="CO321" s="88">
        <v>174581</v>
      </c>
      <c r="CP321" s="89">
        <v>-13816.6</v>
      </c>
      <c r="CQ321" s="89">
        <v>604737</v>
      </c>
      <c r="CR321" s="89">
        <f t="shared" si="33"/>
        <v>-618553.59999999998</v>
      </c>
      <c r="CS321" s="89">
        <v>213135.2</v>
      </c>
      <c r="CT321" s="89">
        <v>-24737.7</v>
      </c>
      <c r="CU321" s="88">
        <f t="shared" si="34"/>
        <v>113335.39985317865</v>
      </c>
      <c r="CV321" s="89">
        <v>13236.665008502452</v>
      </c>
      <c r="CW321" s="89">
        <v>17598.15825281851</v>
      </c>
      <c r="CX321" s="89">
        <v>-4361.4932443160578</v>
      </c>
      <c r="CY321" s="89">
        <v>100098.73484467619</v>
      </c>
      <c r="CZ321" s="89"/>
      <c r="DA321" s="88">
        <v>166384.63501096301</v>
      </c>
      <c r="DB321" s="89">
        <f t="shared" si="35"/>
        <v>1733.6960291549713</v>
      </c>
      <c r="DC321" s="89">
        <v>-11498.348734157196</v>
      </c>
      <c r="DD321" s="89">
        <v>13232.044763312168</v>
      </c>
      <c r="DE321" s="89">
        <v>264006.61055967212</v>
      </c>
      <c r="DF321" s="89">
        <v>-99355.671577864094</v>
      </c>
      <c r="DG321" s="88">
        <v>471164.54181198351</v>
      </c>
      <c r="DH321" s="89">
        <v>95104.581811983488</v>
      </c>
      <c r="DI321" s="89"/>
      <c r="DJ321" s="89"/>
      <c r="DK321" s="89">
        <v>388004.28100000002</v>
      </c>
      <c r="DL321" s="89">
        <v>-11944.321</v>
      </c>
      <c r="DM321" s="88">
        <v>10496200</v>
      </c>
      <c r="DN321" s="89">
        <f t="shared" si="21"/>
        <v>4093108</v>
      </c>
      <c r="DO321" s="89">
        <v>3204720</v>
      </c>
      <c r="DP321" s="89">
        <v>888388</v>
      </c>
      <c r="DQ321" s="89">
        <v>6403060</v>
      </c>
      <c r="DR321" s="89"/>
      <c r="DS321" s="88">
        <v>124451.80834264233</v>
      </c>
      <c r="DT321" s="89">
        <f t="shared" si="36"/>
        <v>36906.984066494129</v>
      </c>
      <c r="DU321" s="89">
        <v>34931.394661079081</v>
      </c>
      <c r="DV321" s="89">
        <v>1975.5894054150481</v>
      </c>
      <c r="DW321" s="89">
        <v>134302.43546611856</v>
      </c>
      <c r="DX321" s="89">
        <v>-46757.611189970368</v>
      </c>
      <c r="DY321" s="88">
        <v>10375.453221000002</v>
      </c>
      <c r="DZ321" s="89">
        <f t="shared" si="45"/>
        <v>-1303.4057789999999</v>
      </c>
      <c r="EA321" s="89">
        <v>645.31811100000004</v>
      </c>
      <c r="EB321" s="89">
        <v>-1948.72389</v>
      </c>
      <c r="EC321" s="89">
        <v>11307.049000000001</v>
      </c>
      <c r="ED321" s="89"/>
      <c r="EE321" s="88">
        <v>32348.588802429986</v>
      </c>
      <c r="EF321" s="89">
        <f t="shared" si="37"/>
        <v>-4999.7237956100016</v>
      </c>
      <c r="EG321" s="89">
        <v>-5139.2471906700011</v>
      </c>
      <c r="EH321" s="89">
        <v>139.52339505999998</v>
      </c>
      <c r="EI321" s="89">
        <v>47317.562476269988</v>
      </c>
      <c r="EJ321" s="89">
        <v>-9969.2498782300008</v>
      </c>
      <c r="EK321" s="88">
        <v>47670090</v>
      </c>
      <c r="EL321" s="89">
        <f t="shared" si="46"/>
        <v>-17596388</v>
      </c>
      <c r="EM321" s="89">
        <v>-14878406</v>
      </c>
      <c r="EN321" s="89">
        <v>-2717982</v>
      </c>
      <c r="EO321" s="89">
        <v>68026500</v>
      </c>
      <c r="EP321" s="89">
        <v>-2760022</v>
      </c>
      <c r="EQ321" s="88">
        <v>169816.35341294002</v>
      </c>
      <c r="ER321" s="89">
        <v>-46954.222312559999</v>
      </c>
      <c r="ES321" s="89"/>
      <c r="ET321" s="89"/>
      <c r="EU321" s="89">
        <v>308652.97402138996</v>
      </c>
      <c r="EV321" s="89">
        <v>-91882.398295889958</v>
      </c>
      <c r="EW321" s="88">
        <v>1435438.3996397981</v>
      </c>
      <c r="EX321" s="89">
        <f t="shared" si="20"/>
        <v>914209.08094148</v>
      </c>
      <c r="EY321" s="89">
        <v>875848.70124034001</v>
      </c>
      <c r="EZ321" s="89">
        <v>38360.379701140002</v>
      </c>
      <c r="FA321" s="89">
        <v>859239.13362369</v>
      </c>
      <c r="FB321" s="89">
        <v>-338009.81492537196</v>
      </c>
      <c r="FC321" s="88">
        <v>917.53</v>
      </c>
      <c r="FD321" s="89">
        <f t="shared" si="38"/>
        <v>-534.44600000000003</v>
      </c>
      <c r="FE321" s="89">
        <v>445.15800000000002</v>
      </c>
      <c r="FF321" s="89">
        <v>-979.60400000000004</v>
      </c>
      <c r="FG321" s="89">
        <v>1451.9760000000001</v>
      </c>
      <c r="FH321" s="89"/>
      <c r="FI321" s="88">
        <v>1069.6990000000001</v>
      </c>
      <c r="FJ321" s="89">
        <f t="shared" si="39"/>
        <v>-9.8179999999999978</v>
      </c>
      <c r="FK321" s="89">
        <v>97.567999999999998</v>
      </c>
      <c r="FL321" s="89">
        <v>-107.386</v>
      </c>
      <c r="FM321" s="89">
        <v>1079.5170000000001</v>
      </c>
      <c r="FN321" s="89"/>
      <c r="FO321" s="88">
        <v>3097.8029999999999</v>
      </c>
      <c r="FP321" s="89">
        <f t="shared" si="40"/>
        <v>-351.80999999999995</v>
      </c>
      <c r="FQ321" s="89">
        <v>145.27500000000001</v>
      </c>
      <c r="FR321" s="89">
        <v>-497.08499999999998</v>
      </c>
      <c r="FS321" s="89">
        <v>3449.6129999999998</v>
      </c>
      <c r="FT321" s="89"/>
      <c r="FU321" s="88">
        <f t="shared" si="41"/>
        <v>10617.1</v>
      </c>
      <c r="FV321" s="89">
        <f t="shared" si="42"/>
        <v>2760.4</v>
      </c>
      <c r="FW321" s="89">
        <v>2417.5</v>
      </c>
      <c r="FX321" s="89">
        <v>342.9</v>
      </c>
      <c r="FY321" s="89">
        <v>7637.5</v>
      </c>
      <c r="FZ321" s="89">
        <v>219.2</v>
      </c>
      <c r="GA321" s="88">
        <v>29309.3</v>
      </c>
      <c r="GB321" s="89">
        <f t="shared" si="47"/>
        <v>-23527.600000000002</v>
      </c>
      <c r="GC321" s="89"/>
      <c r="GD321" s="89"/>
      <c r="GE321" s="89">
        <v>52836.9</v>
      </c>
      <c r="GF321" s="89"/>
      <c r="GG321" s="88">
        <v>376159.72416790575</v>
      </c>
      <c r="GH321" s="89">
        <v>99296.200813275602</v>
      </c>
      <c r="GI321" s="89">
        <v>99361.711432286014</v>
      </c>
      <c r="GJ321" s="89">
        <v>-65.510619010410664</v>
      </c>
      <c r="GK321" s="89">
        <v>452030.62788643898</v>
      </c>
      <c r="GL321" s="89">
        <v>-175167.10453180887</v>
      </c>
      <c r="GM321" s="88">
        <v>4473388.1115027992</v>
      </c>
      <c r="GN321" s="89">
        <v>622881.67034341989</v>
      </c>
      <c r="GO321" s="89">
        <v>387863.07823883992</v>
      </c>
      <c r="GP321" s="89">
        <f t="shared" si="48"/>
        <v>235018.59210457996</v>
      </c>
      <c r="GQ321" s="89">
        <v>3606351.9621020094</v>
      </c>
      <c r="GR321" s="89">
        <v>244154.47905737002</v>
      </c>
    </row>
    <row r="322" spans="1:200">
      <c r="A322" s="135"/>
      <c r="B322" s="93" t="s">
        <v>495</v>
      </c>
      <c r="C322" s="88">
        <v>2301.8119999999999</v>
      </c>
      <c r="D322" s="89">
        <f t="shared" si="22"/>
        <v>374.83600000000001</v>
      </c>
      <c r="E322" s="89">
        <v>362.11500000000001</v>
      </c>
      <c r="F322" s="89">
        <v>12.721</v>
      </c>
      <c r="G322" s="89">
        <v>1926.9760000000001</v>
      </c>
      <c r="H322" s="89"/>
      <c r="I322" s="88">
        <f t="shared" si="44"/>
        <v>1650058.8159999999</v>
      </c>
      <c r="J322" s="89">
        <v>2005684.28</v>
      </c>
      <c r="K322" s="89"/>
      <c r="L322" s="89"/>
      <c r="M322" s="89">
        <v>958705.89500000002</v>
      </c>
      <c r="N322" s="89">
        <v>-1314331.3589999999</v>
      </c>
      <c r="O322" s="88"/>
      <c r="P322" s="89"/>
      <c r="Q322" s="89"/>
      <c r="R322" s="89"/>
      <c r="S322" s="89"/>
      <c r="T322" s="89"/>
      <c r="U322" s="88"/>
      <c r="V322" s="89"/>
      <c r="W322" s="89"/>
      <c r="X322" s="89"/>
      <c r="Y322" s="89"/>
      <c r="Z322" s="89"/>
      <c r="AA322" s="88">
        <v>2469.5912753100001</v>
      </c>
      <c r="AB322" s="89">
        <v>494.32213918000002</v>
      </c>
      <c r="AC322" s="89">
        <v>485.02113918000003</v>
      </c>
      <c r="AD322" s="89">
        <v>9.3010000000000002</v>
      </c>
      <c r="AE322" s="89">
        <v>1975.2691361300001</v>
      </c>
      <c r="AF322" s="89"/>
      <c r="AG322" s="88"/>
      <c r="AH322" s="89"/>
      <c r="AI322" s="89"/>
      <c r="AJ322" s="89"/>
      <c r="AK322" s="89"/>
      <c r="AL322" s="89"/>
      <c r="AM322" s="88">
        <v>6683246</v>
      </c>
      <c r="AN322" s="89">
        <v>2206090</v>
      </c>
      <c r="AO322" s="89">
        <v>1952676</v>
      </c>
      <c r="AP322" s="89">
        <v>253414</v>
      </c>
      <c r="AQ322" s="89">
        <v>3911037</v>
      </c>
      <c r="AR322" s="89">
        <v>566118</v>
      </c>
      <c r="AS322" s="88">
        <v>105348930.13781001</v>
      </c>
      <c r="AT322" s="89">
        <v>54290.410572999797</v>
      </c>
      <c r="AU322" s="89">
        <v>54290.410572999797</v>
      </c>
      <c r="AV322" s="89"/>
      <c r="AW322" s="89">
        <v>134585381.46107802</v>
      </c>
      <c r="AX322" s="89">
        <v>-29290741.733840801</v>
      </c>
      <c r="AY322" s="88"/>
      <c r="AZ322" s="89"/>
      <c r="BA322" s="89"/>
      <c r="BB322" s="89"/>
      <c r="BC322" s="89"/>
      <c r="BD322" s="89"/>
      <c r="BE322" s="88">
        <f t="shared" si="27"/>
        <v>17911660.509813048</v>
      </c>
      <c r="BF322" s="89">
        <f t="shared" si="28"/>
        <v>2077080.9489704599</v>
      </c>
      <c r="BG322" s="89">
        <v>1798212.47229738</v>
      </c>
      <c r="BH322" s="89">
        <v>278868.47667308</v>
      </c>
      <c r="BI322" s="89">
        <v>17517967.1751367</v>
      </c>
      <c r="BJ322" s="89">
        <v>-1683387.6142941101</v>
      </c>
      <c r="BK322" s="88">
        <v>551.13800000000003</v>
      </c>
      <c r="BL322" s="89">
        <f t="shared" si="29"/>
        <v>-270.68700000000001</v>
      </c>
      <c r="BM322" s="89">
        <v>-147.11699999999999</v>
      </c>
      <c r="BN322" s="89">
        <v>-123.57</v>
      </c>
      <c r="BO322" s="89">
        <v>821.82500000000005</v>
      </c>
      <c r="BP322" s="89"/>
      <c r="BQ322" s="88">
        <v>30701.231390999998</v>
      </c>
      <c r="BR322" s="89">
        <f t="shared" si="43"/>
        <v>2479.3416779999998</v>
      </c>
      <c r="BS322" s="89">
        <v>2960.733988</v>
      </c>
      <c r="BT322" s="89">
        <v>-481.39231000000001</v>
      </c>
      <c r="BU322" s="89">
        <v>28221.889712999997</v>
      </c>
      <c r="BV322" s="89"/>
      <c r="BW322" s="88">
        <v>18239.824824750005</v>
      </c>
      <c r="BX322" s="89">
        <f t="shared" si="30"/>
        <v>8781.4811558199999</v>
      </c>
      <c r="BY322" s="89">
        <v>8362.7434250700007</v>
      </c>
      <c r="BZ322" s="89">
        <v>418.73773075000003</v>
      </c>
      <c r="CA322" s="89">
        <v>11881.39842709</v>
      </c>
      <c r="CB322" s="89">
        <v>-2423.0547581599958</v>
      </c>
      <c r="CC322" s="88">
        <v>1323.81</v>
      </c>
      <c r="CD322" s="89">
        <f t="shared" si="31"/>
        <v>-267.05600000000004</v>
      </c>
      <c r="CE322" s="89">
        <v>-36.231999999999999</v>
      </c>
      <c r="CF322" s="89">
        <v>-230.82400000000001</v>
      </c>
      <c r="CG322" s="89">
        <v>1590.866</v>
      </c>
      <c r="CH322" s="89"/>
      <c r="CI322" s="88">
        <v>191997.4</v>
      </c>
      <c r="CJ322" s="89">
        <f t="shared" si="32"/>
        <v>35944.1</v>
      </c>
      <c r="CK322" s="89">
        <v>35483.699999999997</v>
      </c>
      <c r="CL322" s="89">
        <v>460.40000000000003</v>
      </c>
      <c r="CM322" s="89">
        <v>172307.4</v>
      </c>
      <c r="CN322" s="89">
        <v>-16254.1</v>
      </c>
      <c r="CO322" s="88">
        <v>180893.8</v>
      </c>
      <c r="CP322" s="89">
        <v>-8181.5</v>
      </c>
      <c r="CQ322" s="89">
        <v>642556</v>
      </c>
      <c r="CR322" s="89">
        <f t="shared" si="33"/>
        <v>-650737.5</v>
      </c>
      <c r="CS322" s="89">
        <v>214873.60000000001</v>
      </c>
      <c r="CT322" s="89">
        <v>-25798.3</v>
      </c>
      <c r="CU322" s="88"/>
      <c r="CV322" s="89"/>
      <c r="CW322" s="89"/>
      <c r="CX322" s="89"/>
      <c r="CY322" s="89"/>
      <c r="CZ322" s="89"/>
      <c r="DA322" s="88">
        <v>168090.26926420303</v>
      </c>
      <c r="DB322" s="89">
        <f t="shared" si="35"/>
        <v>2319.6640215596017</v>
      </c>
      <c r="DC322" s="89">
        <v>-10852.926258519023</v>
      </c>
      <c r="DD322" s="89">
        <v>13172.590280078624</v>
      </c>
      <c r="DE322" s="89">
        <v>265480.09969527472</v>
      </c>
      <c r="DF322" s="89">
        <v>-99709.494452631348</v>
      </c>
      <c r="DG322" s="88">
        <v>492198.54023828945</v>
      </c>
      <c r="DH322" s="89">
        <v>110006.01623828948</v>
      </c>
      <c r="DI322" s="89"/>
      <c r="DJ322" s="89"/>
      <c r="DK322" s="89">
        <v>395524.17099999997</v>
      </c>
      <c r="DL322" s="89">
        <v>-13331.647000000001</v>
      </c>
      <c r="DM322" s="88"/>
      <c r="DN322" s="89"/>
      <c r="DO322" s="89"/>
      <c r="DP322" s="89"/>
      <c r="DQ322" s="89"/>
      <c r="DR322" s="89"/>
      <c r="DS322" s="88">
        <v>126560.71143520069</v>
      </c>
      <c r="DT322" s="89">
        <f t="shared" si="36"/>
        <v>37610.98617069202</v>
      </c>
      <c r="DU322" s="89">
        <v>35447.999615339577</v>
      </c>
      <c r="DV322" s="89">
        <v>2162.9865553524423</v>
      </c>
      <c r="DW322" s="89">
        <v>135139.39812966171</v>
      </c>
      <c r="DX322" s="89">
        <v>-46189.672865153014</v>
      </c>
      <c r="DY322" s="88">
        <v>10379.089464999999</v>
      </c>
      <c r="DZ322" s="89">
        <f t="shared" si="45"/>
        <v>-1233.8405349999998</v>
      </c>
      <c r="EA322" s="89">
        <v>741.33539899999994</v>
      </c>
      <c r="EB322" s="89">
        <v>-1975.1759339999999</v>
      </c>
      <c r="EC322" s="89">
        <v>11266.072</v>
      </c>
      <c r="ED322" s="89"/>
      <c r="EE322" s="88">
        <v>32378.819501270002</v>
      </c>
      <c r="EF322" s="89">
        <f t="shared" si="37"/>
        <v>-4912.3266980200005</v>
      </c>
      <c r="EG322" s="89">
        <v>-5052.3458143300004</v>
      </c>
      <c r="EH322" s="89">
        <v>140.01911630999999</v>
      </c>
      <c r="EI322" s="89">
        <v>46980.70852303</v>
      </c>
      <c r="EJ322" s="89">
        <v>-9689.5623237399996</v>
      </c>
      <c r="EK322" s="88">
        <v>47380534</v>
      </c>
      <c r="EL322" s="89">
        <f t="shared" si="46"/>
        <v>-17587449</v>
      </c>
      <c r="EM322" s="89">
        <v>-14704100</v>
      </c>
      <c r="EN322" s="89">
        <v>-2883349</v>
      </c>
      <c r="EO322" s="89">
        <v>67717690</v>
      </c>
      <c r="EP322" s="89">
        <v>-2749707</v>
      </c>
      <c r="EQ322" s="88">
        <v>169908.97013611995</v>
      </c>
      <c r="ER322" s="89">
        <v>-49168.904747279994</v>
      </c>
      <c r="ES322" s="89"/>
      <c r="ET322" s="89"/>
      <c r="EU322" s="89">
        <v>314200.86525528005</v>
      </c>
      <c r="EV322" s="89">
        <v>-95122.990371880092</v>
      </c>
      <c r="EW322" s="88">
        <v>1427293.8905408727</v>
      </c>
      <c r="EX322" s="89">
        <f t="shared" si="20"/>
        <v>900805.67976154992</v>
      </c>
      <c r="EY322" s="89">
        <v>863049.25993291987</v>
      </c>
      <c r="EZ322" s="89">
        <v>37756.419828630002</v>
      </c>
      <c r="FA322" s="89">
        <v>868538.95058097993</v>
      </c>
      <c r="FB322" s="89">
        <v>-342050.73980165692</v>
      </c>
      <c r="FC322" s="88">
        <v>904.23</v>
      </c>
      <c r="FD322" s="89">
        <f t="shared" si="38"/>
        <v>-540.41200000000003</v>
      </c>
      <c r="FE322" s="89">
        <v>441.31900000000002</v>
      </c>
      <c r="FF322" s="89">
        <v>-981.73099999999999</v>
      </c>
      <c r="FG322" s="89">
        <v>1444.6420000000001</v>
      </c>
      <c r="FH322" s="89"/>
      <c r="FI322" s="88">
        <v>1069.0989999999999</v>
      </c>
      <c r="FJ322" s="89">
        <f t="shared" si="39"/>
        <v>-11.388999999999996</v>
      </c>
      <c r="FK322" s="89">
        <v>92.195999999999998</v>
      </c>
      <c r="FL322" s="89">
        <v>-103.58499999999999</v>
      </c>
      <c r="FM322" s="89">
        <v>1080.4880000000001</v>
      </c>
      <c r="FN322" s="89"/>
      <c r="FO322" s="88">
        <v>3112.1889999999999</v>
      </c>
      <c r="FP322" s="89">
        <f t="shared" si="40"/>
        <v>-323.40700000000004</v>
      </c>
      <c r="FQ322" s="89">
        <v>179.179</v>
      </c>
      <c r="FR322" s="89">
        <v>-502.58600000000001</v>
      </c>
      <c r="FS322" s="89">
        <v>3435.596</v>
      </c>
      <c r="FT322" s="89"/>
      <c r="FU322" s="88">
        <f t="shared" si="41"/>
        <v>10737.7</v>
      </c>
      <c r="FV322" s="89">
        <f t="shared" si="42"/>
        <v>2873</v>
      </c>
      <c r="FW322" s="89">
        <v>2532.1</v>
      </c>
      <c r="FX322" s="89">
        <v>340.9</v>
      </c>
      <c r="FY322" s="89">
        <v>7643.7</v>
      </c>
      <c r="FZ322" s="89">
        <v>221</v>
      </c>
      <c r="GA322" s="88">
        <v>33100</v>
      </c>
      <c r="GB322" s="89">
        <f t="shared" si="47"/>
        <v>-20103</v>
      </c>
      <c r="GC322" s="89"/>
      <c r="GD322" s="89"/>
      <c r="GE322" s="89">
        <v>53203</v>
      </c>
      <c r="GF322" s="89"/>
      <c r="GG322" s="88">
        <v>331312.39464584831</v>
      </c>
      <c r="GH322" s="89">
        <v>67685.489102769468</v>
      </c>
      <c r="GI322" s="89">
        <v>67403.758908934586</v>
      </c>
      <c r="GJ322" s="89">
        <v>281.73019383488099</v>
      </c>
      <c r="GK322" s="89">
        <v>440142.14450505498</v>
      </c>
      <c r="GL322" s="89">
        <v>-176515.23896197611</v>
      </c>
      <c r="GM322" s="88">
        <v>4746235.1581379799</v>
      </c>
      <c r="GN322" s="89">
        <v>657959.42046541988</v>
      </c>
      <c r="GO322" s="89">
        <v>393746.52415590995</v>
      </c>
      <c r="GP322" s="89">
        <f t="shared" si="48"/>
        <v>264212.89630950993</v>
      </c>
      <c r="GQ322" s="89">
        <v>3851439.0238170796</v>
      </c>
      <c r="GR322" s="89">
        <v>236836.71385547996</v>
      </c>
    </row>
    <row r="323" spans="1:200">
      <c r="A323" s="135"/>
      <c r="B323" s="93" t="s">
        <v>496</v>
      </c>
      <c r="C323" s="88">
        <v>2270.462</v>
      </c>
      <c r="D323" s="89">
        <f t="shared" si="22"/>
        <v>348.036</v>
      </c>
      <c r="E323" s="89">
        <v>339.48099999999999</v>
      </c>
      <c r="F323" s="89">
        <v>8.5549999999999997</v>
      </c>
      <c r="G323" s="89">
        <v>1922.4259999999999</v>
      </c>
      <c r="H323" s="89"/>
      <c r="I323" s="88">
        <f t="shared" si="44"/>
        <v>1677143.8630000001</v>
      </c>
      <c r="J323" s="89">
        <v>2023179.6610000001</v>
      </c>
      <c r="K323" s="89"/>
      <c r="L323" s="89"/>
      <c r="M323" s="89">
        <v>977018.9</v>
      </c>
      <c r="N323" s="89">
        <v>-1323054.6980000001</v>
      </c>
      <c r="O323" s="88"/>
      <c r="P323" s="89"/>
      <c r="Q323" s="89"/>
      <c r="R323" s="89"/>
      <c r="S323" s="89"/>
      <c r="T323" s="89"/>
      <c r="U323" s="88"/>
      <c r="V323" s="89"/>
      <c r="W323" s="89"/>
      <c r="X323" s="89"/>
      <c r="Y323" s="89"/>
      <c r="Z323" s="89"/>
      <c r="AA323" s="88"/>
      <c r="AB323" s="89"/>
      <c r="AC323" s="89"/>
      <c r="AD323" s="89"/>
      <c r="AE323" s="89"/>
      <c r="AF323" s="89"/>
      <c r="AG323" s="88"/>
      <c r="AH323" s="89"/>
      <c r="AI323" s="89"/>
      <c r="AJ323" s="89"/>
      <c r="AK323" s="89"/>
      <c r="AL323" s="89"/>
      <c r="AM323" s="88">
        <v>6738446</v>
      </c>
      <c r="AN323" s="89">
        <v>2287427</v>
      </c>
      <c r="AO323" s="89">
        <v>2033948</v>
      </c>
      <c r="AP323" s="89">
        <v>253479</v>
      </c>
      <c r="AQ323" s="89">
        <v>3895483</v>
      </c>
      <c r="AR323" s="89">
        <v>555536</v>
      </c>
      <c r="AS323" s="88"/>
      <c r="AT323" s="89"/>
      <c r="AU323" s="89"/>
      <c r="AV323" s="89"/>
      <c r="AW323" s="89"/>
      <c r="AX323" s="89"/>
      <c r="AY323" s="88"/>
      <c r="AZ323" s="89"/>
      <c r="BA323" s="89"/>
      <c r="BB323" s="89"/>
      <c r="BC323" s="89"/>
      <c r="BD323" s="89"/>
      <c r="BE323" s="88">
        <f t="shared" si="27"/>
        <v>17977839.838943571</v>
      </c>
      <c r="BF323" s="89">
        <f t="shared" si="28"/>
        <v>1971249.8869283299</v>
      </c>
      <c r="BG323" s="89">
        <v>1709380.5757152</v>
      </c>
      <c r="BH323" s="89">
        <v>261869.31121312999</v>
      </c>
      <c r="BI323" s="89">
        <v>17603118.40069402</v>
      </c>
      <c r="BJ323" s="89">
        <v>-1596528.4486787801</v>
      </c>
      <c r="BK323" s="88">
        <v>513.24900000000002</v>
      </c>
      <c r="BL323" s="89">
        <f t="shared" si="29"/>
        <v>-303.39100000000002</v>
      </c>
      <c r="BM323" s="89">
        <v>-186.905</v>
      </c>
      <c r="BN323" s="89">
        <v>-116.486</v>
      </c>
      <c r="BO323" s="89">
        <v>816.64</v>
      </c>
      <c r="BP323" s="89"/>
      <c r="BQ323" s="88">
        <v>32227.779782999998</v>
      </c>
      <c r="BR323" s="89">
        <f t="shared" si="43"/>
        <v>3471.5958649999998</v>
      </c>
      <c r="BS323" s="89">
        <v>4039.3502009999997</v>
      </c>
      <c r="BT323" s="89">
        <v>-567.75433599999997</v>
      </c>
      <c r="BU323" s="89">
        <v>28756.183917999999</v>
      </c>
      <c r="BV323" s="89"/>
      <c r="BW323" s="88">
        <v>18322.042544199994</v>
      </c>
      <c r="BX323" s="89">
        <f t="shared" si="30"/>
        <v>8803.2792049255786</v>
      </c>
      <c r="BY323" s="89">
        <v>8384.8983021155782</v>
      </c>
      <c r="BZ323" s="89">
        <v>418.38090281000001</v>
      </c>
      <c r="CA323" s="89">
        <v>11923.139759969999</v>
      </c>
      <c r="CB323" s="89">
        <v>-2404.3764206955807</v>
      </c>
      <c r="CC323" s="88">
        <v>1282.5250000000001</v>
      </c>
      <c r="CD323" s="89">
        <f t="shared" si="31"/>
        <v>-293.54200000000003</v>
      </c>
      <c r="CE323" s="89">
        <v>-59.548000000000002</v>
      </c>
      <c r="CF323" s="89">
        <v>-233.994</v>
      </c>
      <c r="CG323" s="89">
        <v>1576.067</v>
      </c>
      <c r="CH323" s="89"/>
      <c r="CI323" s="88">
        <v>191555.4</v>
      </c>
      <c r="CJ323" s="89">
        <f t="shared" si="32"/>
        <v>34832.399999999994</v>
      </c>
      <c r="CK323" s="89">
        <v>34381.199999999997</v>
      </c>
      <c r="CL323" s="89">
        <v>451.2</v>
      </c>
      <c r="CM323" s="89">
        <v>173135.4</v>
      </c>
      <c r="CN323" s="89">
        <v>-16412.400000000001</v>
      </c>
      <c r="CO323" s="88">
        <v>183599.7</v>
      </c>
      <c r="CP323" s="89">
        <v>-3764.7</v>
      </c>
      <c r="CQ323" s="89">
        <v>696451</v>
      </c>
      <c r="CR323" s="89">
        <f t="shared" si="33"/>
        <v>-700215.7</v>
      </c>
      <c r="CS323" s="89">
        <v>213257.9</v>
      </c>
      <c r="CT323" s="89">
        <v>-25893.4</v>
      </c>
      <c r="CU323" s="88"/>
      <c r="CV323" s="89"/>
      <c r="CW323" s="89"/>
      <c r="CX323" s="89"/>
      <c r="CY323" s="89"/>
      <c r="CZ323" s="89"/>
      <c r="DA323" s="88">
        <v>170531.51027818673</v>
      </c>
      <c r="DB323" s="89">
        <f t="shared" si="35"/>
        <v>4889.6443598887581</v>
      </c>
      <c r="DC323" s="89">
        <v>-9478.2719895475675</v>
      </c>
      <c r="DD323" s="89">
        <v>14367.916349436326</v>
      </c>
      <c r="DE323" s="89">
        <v>267503.92862298572</v>
      </c>
      <c r="DF323" s="89">
        <v>-101862.06270468773</v>
      </c>
      <c r="DG323" s="88"/>
      <c r="DH323" s="89"/>
      <c r="DI323" s="89"/>
      <c r="DJ323" s="89"/>
      <c r="DK323" s="89"/>
      <c r="DL323" s="89"/>
      <c r="DM323" s="88"/>
      <c r="DN323" s="89"/>
      <c r="DO323" s="89"/>
      <c r="DP323" s="89"/>
      <c r="DQ323" s="89"/>
      <c r="DR323" s="89"/>
      <c r="DS323" s="88">
        <v>127056.83890062675</v>
      </c>
      <c r="DT323" s="89">
        <f t="shared" si="36"/>
        <v>37309.400484661011</v>
      </c>
      <c r="DU323" s="89">
        <v>35111.672248462288</v>
      </c>
      <c r="DV323" s="89">
        <v>2197.7282361987241</v>
      </c>
      <c r="DW323" s="89">
        <v>136933.65392194811</v>
      </c>
      <c r="DX323" s="89">
        <v>-47186.215505982334</v>
      </c>
      <c r="DY323" s="88">
        <v>10357.005309</v>
      </c>
      <c r="DZ323" s="89">
        <f t="shared" si="45"/>
        <v>-1222.0316909999999</v>
      </c>
      <c r="EA323" s="89">
        <v>721.27524300000005</v>
      </c>
      <c r="EB323" s="89">
        <v>-1943.306934</v>
      </c>
      <c r="EC323" s="89">
        <v>11234.57</v>
      </c>
      <c r="ED323" s="89"/>
      <c r="EE323" s="88">
        <v>33392.194234120005</v>
      </c>
      <c r="EF323" s="89">
        <f t="shared" si="37"/>
        <v>-4752.8378768500015</v>
      </c>
      <c r="EG323" s="89">
        <v>-4892.6643323500011</v>
      </c>
      <c r="EH323" s="89">
        <v>139.82645549999998</v>
      </c>
      <c r="EI323" s="89">
        <v>48169.087177330002</v>
      </c>
      <c r="EJ323" s="89">
        <v>-10024.055066360001</v>
      </c>
      <c r="EK323" s="88">
        <v>47558086</v>
      </c>
      <c r="EL323" s="89">
        <f t="shared" si="46"/>
        <v>-16910913</v>
      </c>
      <c r="EM323" s="89">
        <v>-14350182</v>
      </c>
      <c r="EN323" s="89">
        <v>-2560731</v>
      </c>
      <c r="EO323" s="89">
        <v>67646616</v>
      </c>
      <c r="EP323" s="89">
        <v>-3177617</v>
      </c>
      <c r="EQ323" s="88">
        <v>170297.14479218994</v>
      </c>
      <c r="ER323" s="89">
        <v>-49355.553387300002</v>
      </c>
      <c r="ES323" s="89"/>
      <c r="ET323" s="89"/>
      <c r="EU323" s="89">
        <v>317223.66973369999</v>
      </c>
      <c r="EV323" s="89">
        <v>-97570.97155421006</v>
      </c>
      <c r="EW323" s="88">
        <v>1450456.8270378551</v>
      </c>
      <c r="EX323" s="89">
        <f t="shared" si="20"/>
        <v>913587.8087142799</v>
      </c>
      <c r="EY323" s="89">
        <v>868926.61759711988</v>
      </c>
      <c r="EZ323" s="89">
        <v>44661.191117160008</v>
      </c>
      <c r="FA323" s="89">
        <v>881452.20114687993</v>
      </c>
      <c r="FB323" s="89">
        <v>-344583.18282330479</v>
      </c>
      <c r="FC323" s="88">
        <v>881.24900000000002</v>
      </c>
      <c r="FD323" s="89">
        <f t="shared" si="38"/>
        <v>-559.34100000000001</v>
      </c>
      <c r="FE323" s="89">
        <v>429.52499999999998</v>
      </c>
      <c r="FF323" s="89">
        <v>-988.86599999999999</v>
      </c>
      <c r="FG323" s="89">
        <v>1440.59</v>
      </c>
      <c r="FH323" s="89"/>
      <c r="FI323" s="88">
        <v>1066.6669999999999</v>
      </c>
      <c r="FJ323" s="89">
        <f t="shared" si="39"/>
        <v>-13.388999999999996</v>
      </c>
      <c r="FK323" s="89">
        <v>90.897000000000006</v>
      </c>
      <c r="FL323" s="89">
        <v>-104.286</v>
      </c>
      <c r="FM323" s="89">
        <v>1080.056</v>
      </c>
      <c r="FN323" s="89"/>
      <c r="FO323" s="88">
        <v>3239.0610000000001</v>
      </c>
      <c r="FP323" s="89">
        <f t="shared" si="40"/>
        <v>-192.90499999999997</v>
      </c>
      <c r="FQ323" s="89">
        <v>271.61900000000003</v>
      </c>
      <c r="FR323" s="89">
        <v>-464.524</v>
      </c>
      <c r="FS323" s="89">
        <v>3431.9659999999999</v>
      </c>
      <c r="FT323" s="89"/>
      <c r="FU323" s="88">
        <f t="shared" si="41"/>
        <v>11034.7</v>
      </c>
      <c r="FV323" s="89">
        <f t="shared" si="42"/>
        <v>3029.1</v>
      </c>
      <c r="FW323" s="89">
        <v>2686</v>
      </c>
      <c r="FX323" s="89">
        <v>343.1</v>
      </c>
      <c r="FY323" s="89">
        <v>7781.1</v>
      </c>
      <c r="FZ323" s="89">
        <v>224.5</v>
      </c>
      <c r="GA323" s="88"/>
      <c r="GB323" s="89"/>
      <c r="GC323" s="89"/>
      <c r="GD323" s="89"/>
      <c r="GE323" s="89"/>
      <c r="GF323" s="89"/>
      <c r="GG323" s="88">
        <v>334731.09565638308</v>
      </c>
      <c r="GH323" s="89">
        <v>76505.633713254341</v>
      </c>
      <c r="GI323" s="89">
        <v>75082.502456524075</v>
      </c>
      <c r="GJ323" s="89">
        <v>1423.1312567302612</v>
      </c>
      <c r="GK323" s="89">
        <v>429995.90611928905</v>
      </c>
      <c r="GL323" s="89">
        <v>-171770.44417616038</v>
      </c>
      <c r="GM323" s="88"/>
      <c r="GN323" s="89"/>
      <c r="GO323" s="89"/>
      <c r="GP323" s="89"/>
      <c r="GQ323" s="89"/>
      <c r="GR323" s="89"/>
    </row>
    <row r="324" spans="1:200">
      <c r="A324" s="135"/>
      <c r="B324" s="93" t="s">
        <v>497</v>
      </c>
      <c r="C324" s="88"/>
      <c r="D324" s="89"/>
      <c r="E324" s="89"/>
      <c r="F324" s="89"/>
      <c r="G324" s="89"/>
      <c r="H324" s="89"/>
      <c r="I324" s="88"/>
      <c r="J324" s="89"/>
      <c r="K324" s="89"/>
      <c r="L324" s="89"/>
      <c r="M324" s="89"/>
      <c r="N324" s="89"/>
      <c r="O324" s="88"/>
      <c r="P324" s="89"/>
      <c r="Q324" s="89"/>
      <c r="R324" s="89"/>
      <c r="S324" s="89"/>
      <c r="T324" s="89"/>
      <c r="U324" s="88"/>
      <c r="V324" s="89"/>
      <c r="W324" s="89"/>
      <c r="X324" s="89"/>
      <c r="Y324" s="89"/>
      <c r="Z324" s="89"/>
      <c r="AA324" s="88"/>
      <c r="AB324" s="89"/>
      <c r="AC324" s="89"/>
      <c r="AD324" s="89"/>
      <c r="AE324" s="89"/>
      <c r="AF324" s="89"/>
      <c r="AG324" s="88"/>
      <c r="AH324" s="89"/>
      <c r="AI324" s="89"/>
      <c r="AJ324" s="89"/>
      <c r="AK324" s="89"/>
      <c r="AL324" s="89"/>
      <c r="AM324" s="88"/>
      <c r="AN324" s="89"/>
      <c r="AO324" s="89"/>
      <c r="AP324" s="89"/>
      <c r="AQ324" s="89"/>
      <c r="AR324" s="89"/>
      <c r="AS324" s="88"/>
      <c r="AT324" s="89"/>
      <c r="AU324" s="89"/>
      <c r="AV324" s="89"/>
      <c r="AW324" s="89"/>
      <c r="AX324" s="89"/>
      <c r="AY324" s="88"/>
      <c r="AZ324" s="89"/>
      <c r="BA324" s="89"/>
      <c r="BB324" s="89"/>
      <c r="BC324" s="89"/>
      <c r="BD324" s="89"/>
      <c r="BE324" s="88">
        <f t="shared" si="27"/>
        <v>18227873.92950939</v>
      </c>
      <c r="BF324" s="89">
        <f t="shared" si="28"/>
        <v>2108162.6647719499</v>
      </c>
      <c r="BG324" s="89">
        <v>1847104.8088094301</v>
      </c>
      <c r="BH324" s="89">
        <v>261057.85596252</v>
      </c>
      <c r="BI324" s="89">
        <v>17750708.20448605</v>
      </c>
      <c r="BJ324" s="89">
        <v>-1630996.9397486099</v>
      </c>
      <c r="BK324" s="88"/>
      <c r="BL324" s="89"/>
      <c r="BM324" s="89"/>
      <c r="BN324" s="89"/>
      <c r="BO324" s="89"/>
      <c r="BP324" s="89"/>
      <c r="BQ324" s="88"/>
      <c r="BR324" s="89"/>
      <c r="BS324" s="89"/>
      <c r="BT324" s="89"/>
      <c r="BU324" s="89"/>
      <c r="BV324" s="89"/>
      <c r="BW324" s="88"/>
      <c r="BX324" s="89"/>
      <c r="BY324" s="89"/>
      <c r="BZ324" s="89"/>
      <c r="CA324" s="89"/>
      <c r="CB324" s="89"/>
      <c r="CC324" s="88"/>
      <c r="CD324" s="89"/>
      <c r="CE324" s="89"/>
      <c r="CF324" s="89"/>
      <c r="CG324" s="89"/>
      <c r="CH324" s="89"/>
      <c r="CI324" s="88">
        <v>192829.9</v>
      </c>
      <c r="CJ324" s="89">
        <f t="shared" si="32"/>
        <v>35428</v>
      </c>
      <c r="CK324" s="89">
        <v>34980.699999999997</v>
      </c>
      <c r="CL324" s="89">
        <v>447.3</v>
      </c>
      <c r="CM324" s="89">
        <v>172889.1</v>
      </c>
      <c r="CN324" s="89">
        <v>-15487.4</v>
      </c>
      <c r="CO324" s="88"/>
      <c r="CP324" s="89"/>
      <c r="CQ324" s="89"/>
      <c r="CR324" s="89"/>
      <c r="CS324" s="89"/>
      <c r="CT324" s="89"/>
      <c r="CU324" s="88"/>
      <c r="CV324" s="89"/>
      <c r="CW324" s="89"/>
      <c r="CX324" s="89"/>
      <c r="CY324" s="89"/>
      <c r="CZ324" s="89"/>
      <c r="DA324" s="88"/>
      <c r="DB324" s="89"/>
      <c r="DC324" s="89"/>
      <c r="DD324" s="89"/>
      <c r="DE324" s="89"/>
      <c r="DF324" s="89"/>
      <c r="DG324" s="88"/>
      <c r="DH324" s="89"/>
      <c r="DI324" s="89"/>
      <c r="DJ324" s="89"/>
      <c r="DK324" s="89"/>
      <c r="DL324" s="89"/>
      <c r="DM324" s="88"/>
      <c r="DN324" s="89"/>
      <c r="DO324" s="89"/>
      <c r="DP324" s="89"/>
      <c r="DQ324" s="89"/>
      <c r="DR324" s="89"/>
      <c r="DS324" s="88"/>
      <c r="DT324" s="89"/>
      <c r="DU324" s="89"/>
      <c r="DV324" s="89"/>
      <c r="DW324" s="89"/>
      <c r="DX324" s="89"/>
      <c r="DY324" s="88"/>
      <c r="DZ324" s="89"/>
      <c r="EA324" s="89"/>
      <c r="EB324" s="89"/>
      <c r="EC324" s="89"/>
      <c r="ED324" s="89"/>
      <c r="EE324" s="88"/>
      <c r="EF324" s="89"/>
      <c r="EG324" s="89"/>
      <c r="EH324" s="89"/>
      <c r="EI324" s="89"/>
      <c r="EJ324" s="89"/>
      <c r="EK324" s="88">
        <v>47848379</v>
      </c>
      <c r="EL324" s="89">
        <f t="shared" si="46"/>
        <v>-17192986</v>
      </c>
      <c r="EM324" s="89">
        <v>-14707566</v>
      </c>
      <c r="EN324" s="89">
        <v>-2485420</v>
      </c>
      <c r="EO324" s="89">
        <v>68242653</v>
      </c>
      <c r="EP324" s="89">
        <v>-3201288</v>
      </c>
      <c r="EQ324" s="88">
        <v>169680.71250920001</v>
      </c>
      <c r="ER324" s="89">
        <v>-50387.467902399992</v>
      </c>
      <c r="ES324" s="89"/>
      <c r="ET324" s="89"/>
      <c r="EU324" s="89">
        <v>318352.05684960005</v>
      </c>
      <c r="EV324" s="89">
        <v>-98283.876438000065</v>
      </c>
      <c r="EW324" s="88">
        <v>1458721.3115865802</v>
      </c>
      <c r="EX324" s="89">
        <f t="shared" si="20"/>
        <v>915164.01862319</v>
      </c>
      <c r="EY324" s="89">
        <v>870426.34897068003</v>
      </c>
      <c r="EZ324" s="89">
        <v>44737.669652510005</v>
      </c>
      <c r="FA324" s="89">
        <v>892518.64921822003</v>
      </c>
      <c r="FB324" s="89">
        <v>-348961.35625482991</v>
      </c>
      <c r="FC324" s="88"/>
      <c r="FD324" s="89"/>
      <c r="FE324" s="89"/>
      <c r="FF324" s="89"/>
      <c r="FG324" s="89"/>
      <c r="FH324" s="89"/>
      <c r="FI324" s="88"/>
      <c r="FJ324" s="89"/>
      <c r="FK324" s="89"/>
      <c r="FL324" s="89"/>
      <c r="FM324" s="89"/>
      <c r="FN324" s="89"/>
      <c r="FO324" s="88"/>
      <c r="FP324" s="89"/>
      <c r="FQ324" s="89"/>
      <c r="FR324" s="89"/>
      <c r="FS324" s="89"/>
      <c r="FT324" s="89"/>
      <c r="FU324" s="88"/>
      <c r="FV324" s="89"/>
      <c r="FW324" s="89"/>
      <c r="FX324" s="89"/>
      <c r="FY324" s="89"/>
      <c r="FZ324" s="89"/>
      <c r="GA324" s="88"/>
      <c r="GB324" s="89"/>
      <c r="GC324" s="89"/>
      <c r="GD324" s="89"/>
      <c r="GE324" s="89"/>
      <c r="GF324" s="89"/>
      <c r="GG324" s="88"/>
      <c r="GH324" s="89"/>
      <c r="GI324" s="89"/>
      <c r="GJ324" s="89"/>
      <c r="GK324" s="89"/>
      <c r="GL324" s="89"/>
      <c r="GM324" s="88"/>
      <c r="GN324" s="89"/>
      <c r="GO324" s="89"/>
      <c r="GP324" s="89"/>
      <c r="GQ324" s="89"/>
      <c r="GR324" s="89"/>
    </row>
    <row r="325" spans="1:200">
      <c r="A325" s="135"/>
      <c r="B325" s="128" t="s">
        <v>498</v>
      </c>
      <c r="C325" s="88"/>
      <c r="D325" s="89"/>
      <c r="E325" s="89"/>
      <c r="F325" s="89"/>
      <c r="G325" s="89"/>
      <c r="H325" s="89"/>
      <c r="I325" s="88"/>
      <c r="J325" s="89"/>
      <c r="K325" s="89"/>
      <c r="L325" s="89"/>
      <c r="M325" s="89"/>
      <c r="N325" s="89"/>
      <c r="O325" s="88"/>
      <c r="P325" s="89"/>
      <c r="Q325" s="89"/>
      <c r="R325" s="89"/>
      <c r="S325" s="89"/>
      <c r="T325" s="89"/>
      <c r="U325" s="88"/>
      <c r="V325" s="89"/>
      <c r="W325" s="89"/>
      <c r="X325" s="89"/>
      <c r="Y325" s="89"/>
      <c r="Z325" s="89"/>
      <c r="AA325" s="88"/>
      <c r="AB325" s="89"/>
      <c r="AC325" s="89"/>
      <c r="AD325" s="89"/>
      <c r="AE325" s="89"/>
      <c r="AF325" s="89"/>
      <c r="AG325" s="88"/>
      <c r="AH325" s="89"/>
      <c r="AI325" s="89"/>
      <c r="AJ325" s="89"/>
      <c r="AK325" s="89"/>
      <c r="AL325" s="89"/>
      <c r="AM325" s="88"/>
      <c r="AN325" s="89"/>
      <c r="AO325" s="89"/>
      <c r="AP325" s="89"/>
      <c r="AQ325" s="89"/>
      <c r="AR325" s="89"/>
      <c r="AS325" s="88"/>
      <c r="AT325" s="89"/>
      <c r="AU325" s="89"/>
      <c r="AV325" s="89"/>
      <c r="AW325" s="89"/>
      <c r="AX325" s="89"/>
      <c r="AY325" s="88"/>
      <c r="AZ325" s="89"/>
      <c r="BA325" s="89"/>
      <c r="BB325" s="89"/>
      <c r="BC325" s="89"/>
      <c r="BD325" s="89"/>
      <c r="BE325" s="88"/>
      <c r="BF325" s="89"/>
      <c r="BG325" s="89"/>
      <c r="BH325" s="89"/>
      <c r="BI325" s="89"/>
      <c r="BJ325" s="89"/>
      <c r="BK325" s="88"/>
      <c r="BL325" s="89"/>
      <c r="BM325" s="89"/>
      <c r="BN325" s="89"/>
      <c r="BO325" s="89"/>
      <c r="BP325" s="89"/>
      <c r="BQ325" s="88"/>
      <c r="BR325" s="89"/>
      <c r="BS325" s="89"/>
      <c r="BT325" s="89"/>
      <c r="BU325" s="89"/>
      <c r="BV325" s="89"/>
      <c r="BW325" s="88"/>
      <c r="BX325" s="89"/>
      <c r="BY325" s="89"/>
      <c r="BZ325" s="89"/>
      <c r="CA325" s="89"/>
      <c r="CB325" s="89"/>
      <c r="CC325" s="88"/>
      <c r="CD325" s="89"/>
      <c r="CE325" s="89"/>
      <c r="CF325" s="89"/>
      <c r="CG325" s="89"/>
      <c r="CH325" s="89"/>
      <c r="CI325" s="88"/>
      <c r="CJ325" s="89"/>
      <c r="CK325" s="89"/>
      <c r="CL325" s="89"/>
      <c r="CM325" s="89"/>
      <c r="CN325" s="89"/>
      <c r="CO325" s="88"/>
      <c r="CP325" s="89"/>
      <c r="CQ325" s="89"/>
      <c r="CR325" s="89"/>
      <c r="CS325" s="89"/>
      <c r="CT325" s="89"/>
      <c r="CU325" s="88"/>
      <c r="CV325" s="89"/>
      <c r="CW325" s="89"/>
      <c r="CX325" s="89"/>
      <c r="CY325" s="89"/>
      <c r="CZ325" s="89"/>
      <c r="DA325" s="88"/>
      <c r="DB325" s="89"/>
      <c r="DC325" s="89"/>
      <c r="DD325" s="89"/>
      <c r="DE325" s="89"/>
      <c r="DF325" s="89"/>
      <c r="DG325" s="88"/>
      <c r="DH325" s="89"/>
      <c r="DI325" s="89"/>
      <c r="DJ325" s="89"/>
      <c r="DK325" s="89"/>
      <c r="DL325" s="89"/>
      <c r="DM325" s="88"/>
      <c r="DN325" s="89"/>
      <c r="DO325" s="89"/>
      <c r="DP325" s="89"/>
      <c r="DQ325" s="89"/>
      <c r="DR325" s="89"/>
      <c r="DS325" s="88"/>
      <c r="DT325" s="89"/>
      <c r="DU325" s="89"/>
      <c r="DV325" s="89"/>
      <c r="DW325" s="89"/>
      <c r="DX325" s="89"/>
      <c r="DY325" s="88"/>
      <c r="DZ325" s="89"/>
      <c r="EA325" s="89"/>
      <c r="EB325" s="89"/>
      <c r="EC325" s="89"/>
      <c r="ED325" s="89"/>
      <c r="EE325" s="88"/>
      <c r="EF325" s="89"/>
      <c r="EG325" s="89"/>
      <c r="EH325" s="89"/>
      <c r="EI325" s="89"/>
      <c r="EJ325" s="89"/>
      <c r="EK325" s="88"/>
      <c r="EL325" s="89"/>
      <c r="EM325" s="89"/>
      <c r="EN325" s="89"/>
      <c r="EO325" s="89"/>
      <c r="EP325" s="89"/>
      <c r="EQ325" s="88"/>
      <c r="ER325" s="89"/>
      <c r="ES325" s="89"/>
      <c r="ET325" s="89"/>
      <c r="EU325" s="89"/>
      <c r="EV325" s="89"/>
      <c r="EW325" s="88"/>
      <c r="EX325" s="89"/>
      <c r="EY325" s="89"/>
      <c r="EZ325" s="89"/>
      <c r="FA325" s="89"/>
      <c r="FB325" s="89"/>
      <c r="FC325" s="88"/>
      <c r="FD325" s="89"/>
      <c r="FE325" s="89"/>
      <c r="FF325" s="89"/>
      <c r="FG325" s="89"/>
      <c r="FH325" s="89"/>
      <c r="FI325" s="88"/>
      <c r="FJ325" s="89"/>
      <c r="FK325" s="89"/>
      <c r="FL325" s="89"/>
      <c r="FM325" s="89"/>
      <c r="FN325" s="89"/>
      <c r="FO325" s="88"/>
      <c r="FP325" s="89"/>
      <c r="FQ325" s="89"/>
      <c r="FR325" s="89"/>
      <c r="FS325" s="89"/>
      <c r="FT325" s="89"/>
      <c r="FU325" s="88"/>
      <c r="FV325" s="89"/>
      <c r="FW325" s="89"/>
      <c r="FX325" s="89"/>
      <c r="FY325" s="89"/>
      <c r="FZ325" s="89"/>
      <c r="GA325" s="88"/>
      <c r="GB325" s="89"/>
      <c r="GC325" s="89"/>
      <c r="GD325" s="89"/>
      <c r="GE325" s="89"/>
      <c r="GF325" s="89"/>
      <c r="GG325" s="88"/>
      <c r="GH325" s="89"/>
      <c r="GI325" s="89"/>
      <c r="GJ325" s="89"/>
      <c r="GK325" s="89"/>
      <c r="GL325" s="89"/>
      <c r="GM325" s="88"/>
      <c r="GN325" s="89"/>
      <c r="GO325" s="89"/>
      <c r="GP325" s="89"/>
      <c r="GQ325" s="89"/>
      <c r="GR325" s="89"/>
    </row>
    <row r="326" spans="1:200">
      <c r="A326" s="135"/>
      <c r="B326" s="128" t="s">
        <v>499</v>
      </c>
      <c r="C326" s="88"/>
      <c r="D326" s="89"/>
      <c r="E326" s="89"/>
      <c r="F326" s="89"/>
      <c r="G326" s="89"/>
      <c r="H326" s="89"/>
      <c r="I326" s="88"/>
      <c r="J326" s="89"/>
      <c r="K326" s="89"/>
      <c r="L326" s="89"/>
      <c r="M326" s="89"/>
      <c r="N326" s="89"/>
      <c r="O326" s="88"/>
      <c r="P326" s="89"/>
      <c r="Q326" s="89"/>
      <c r="R326" s="89"/>
      <c r="S326" s="89"/>
      <c r="T326" s="89"/>
      <c r="U326" s="88"/>
      <c r="V326" s="89"/>
      <c r="W326" s="89"/>
      <c r="X326" s="89"/>
      <c r="Y326" s="89"/>
      <c r="Z326" s="89"/>
      <c r="AA326" s="88"/>
      <c r="AB326" s="89"/>
      <c r="AC326" s="89"/>
      <c r="AD326" s="89"/>
      <c r="AE326" s="89"/>
      <c r="AF326" s="89"/>
      <c r="AG326" s="88"/>
      <c r="AH326" s="89"/>
      <c r="AI326" s="89"/>
      <c r="AJ326" s="89"/>
      <c r="AK326" s="89"/>
      <c r="AL326" s="89"/>
      <c r="AM326" s="88"/>
      <c r="AN326" s="89"/>
      <c r="AO326" s="89"/>
      <c r="AP326" s="89"/>
      <c r="AQ326" s="89"/>
      <c r="AR326" s="89"/>
      <c r="AS326" s="88"/>
      <c r="AT326" s="89"/>
      <c r="AU326" s="89"/>
      <c r="AV326" s="89"/>
      <c r="AW326" s="89"/>
      <c r="AX326" s="89"/>
      <c r="AY326" s="88"/>
      <c r="AZ326" s="89"/>
      <c r="BA326" s="89"/>
      <c r="BB326" s="89"/>
      <c r="BC326" s="89"/>
      <c r="BD326" s="89"/>
      <c r="BE326" s="88"/>
      <c r="BF326" s="89"/>
      <c r="BG326" s="89"/>
      <c r="BH326" s="89"/>
      <c r="BI326" s="89"/>
      <c r="BJ326" s="89"/>
      <c r="BK326" s="88"/>
      <c r="BL326" s="89"/>
      <c r="BM326" s="89"/>
      <c r="BN326" s="89"/>
      <c r="BO326" s="89"/>
      <c r="BP326" s="89"/>
      <c r="BQ326" s="88"/>
      <c r="BR326" s="89"/>
      <c r="BS326" s="89"/>
      <c r="BT326" s="89"/>
      <c r="BU326" s="89"/>
      <c r="BV326" s="89"/>
      <c r="BW326" s="88"/>
      <c r="BX326" s="89"/>
      <c r="BY326" s="89"/>
      <c r="BZ326" s="89"/>
      <c r="CA326" s="89"/>
      <c r="CB326" s="89"/>
      <c r="CC326" s="88"/>
      <c r="CD326" s="89"/>
      <c r="CE326" s="89"/>
      <c r="CF326" s="89"/>
      <c r="CG326" s="89"/>
      <c r="CH326" s="89"/>
      <c r="CI326" s="88"/>
      <c r="CJ326" s="89"/>
      <c r="CK326" s="89"/>
      <c r="CL326" s="89"/>
      <c r="CM326" s="89"/>
      <c r="CN326" s="89"/>
      <c r="CO326" s="88"/>
      <c r="CP326" s="89"/>
      <c r="CQ326" s="89"/>
      <c r="CR326" s="89"/>
      <c r="CS326" s="89"/>
      <c r="CT326" s="89"/>
      <c r="CU326" s="88"/>
      <c r="CV326" s="89"/>
      <c r="CW326" s="89"/>
      <c r="CX326" s="89"/>
      <c r="CY326" s="89"/>
      <c r="CZ326" s="89"/>
      <c r="DA326" s="88"/>
      <c r="DB326" s="89"/>
      <c r="DC326" s="89"/>
      <c r="DD326" s="89"/>
      <c r="DE326" s="89"/>
      <c r="DF326" s="89"/>
      <c r="DG326" s="88"/>
      <c r="DH326" s="89"/>
      <c r="DI326" s="89"/>
      <c r="DJ326" s="89"/>
      <c r="DK326" s="89"/>
      <c r="DL326" s="89"/>
      <c r="DM326" s="88"/>
      <c r="DN326" s="89"/>
      <c r="DO326" s="89"/>
      <c r="DP326" s="89"/>
      <c r="DQ326" s="89"/>
      <c r="DR326" s="89"/>
      <c r="DS326" s="88"/>
      <c r="DT326" s="89"/>
      <c r="DU326" s="89"/>
      <c r="DV326" s="89"/>
      <c r="DW326" s="89"/>
      <c r="DX326" s="89"/>
      <c r="DY326" s="88"/>
      <c r="DZ326" s="89"/>
      <c r="EA326" s="89"/>
      <c r="EB326" s="89"/>
      <c r="EC326" s="89"/>
      <c r="ED326" s="89"/>
      <c r="EE326" s="88"/>
      <c r="EF326" s="89"/>
      <c r="EG326" s="89"/>
      <c r="EH326" s="89"/>
      <c r="EI326" s="89"/>
      <c r="EJ326" s="89"/>
      <c r="EK326" s="88"/>
      <c r="EL326" s="89"/>
      <c r="EM326" s="89"/>
      <c r="EN326" s="89"/>
      <c r="EO326" s="89"/>
      <c r="EP326" s="89"/>
      <c r="EQ326" s="88"/>
      <c r="ER326" s="89"/>
      <c r="ES326" s="89"/>
      <c r="ET326" s="89"/>
      <c r="EU326" s="89"/>
      <c r="EV326" s="89"/>
      <c r="EW326" s="88"/>
      <c r="EX326" s="89"/>
      <c r="EY326" s="89"/>
      <c r="EZ326" s="89"/>
      <c r="FA326" s="89"/>
      <c r="FB326" s="89"/>
      <c r="FC326" s="88"/>
      <c r="FD326" s="89"/>
      <c r="FE326" s="89"/>
      <c r="FF326" s="89"/>
      <c r="FG326" s="89"/>
      <c r="FH326" s="89"/>
      <c r="FI326" s="88"/>
      <c r="FJ326" s="89"/>
      <c r="FK326" s="89"/>
      <c r="FL326" s="89"/>
      <c r="FM326" s="89"/>
      <c r="FN326" s="89"/>
      <c r="FO326" s="88"/>
      <c r="FP326" s="89"/>
      <c r="FQ326" s="89"/>
      <c r="FR326" s="89"/>
      <c r="FS326" s="89"/>
      <c r="FT326" s="89"/>
      <c r="FU326" s="88"/>
      <c r="FV326" s="89"/>
      <c r="FW326" s="89"/>
      <c r="FX326" s="89"/>
      <c r="FY326" s="89"/>
      <c r="FZ326" s="89"/>
      <c r="GA326" s="88"/>
      <c r="GB326" s="89"/>
      <c r="GC326" s="89"/>
      <c r="GD326" s="89"/>
      <c r="GE326" s="89"/>
      <c r="GF326" s="89"/>
      <c r="GG326" s="88"/>
      <c r="GH326" s="89"/>
      <c r="GI326" s="89"/>
      <c r="GJ326" s="89"/>
      <c r="GK326" s="89"/>
      <c r="GL326" s="89"/>
      <c r="GM326" s="88"/>
      <c r="GN326" s="89"/>
      <c r="GO326" s="89"/>
      <c r="GP326" s="89"/>
      <c r="GQ326" s="89"/>
      <c r="GR326" s="89"/>
    </row>
    <row r="327" spans="1:200">
      <c r="A327" s="135"/>
      <c r="B327" s="126" t="s">
        <v>500</v>
      </c>
      <c r="C327" s="88"/>
      <c r="D327" s="89"/>
      <c r="E327" s="89"/>
      <c r="F327" s="89"/>
      <c r="G327" s="89"/>
      <c r="H327" s="89"/>
      <c r="I327" s="88"/>
      <c r="J327" s="89"/>
      <c r="K327" s="89"/>
      <c r="L327" s="89"/>
      <c r="M327" s="89"/>
      <c r="N327" s="89"/>
      <c r="O327" s="88"/>
      <c r="P327" s="89"/>
      <c r="Q327" s="89"/>
      <c r="R327" s="89"/>
      <c r="S327" s="89"/>
      <c r="T327" s="89"/>
      <c r="U327" s="88"/>
      <c r="V327" s="89"/>
      <c r="W327" s="89"/>
      <c r="X327" s="89"/>
      <c r="Y327" s="89"/>
      <c r="Z327" s="89"/>
      <c r="AA327" s="88"/>
      <c r="AB327" s="89"/>
      <c r="AC327" s="89"/>
      <c r="AD327" s="89"/>
      <c r="AE327" s="89"/>
      <c r="AF327" s="89"/>
      <c r="AG327" s="88"/>
      <c r="AH327" s="89"/>
      <c r="AI327" s="89"/>
      <c r="AJ327" s="89"/>
      <c r="AK327" s="89"/>
      <c r="AL327" s="89"/>
      <c r="AM327" s="88"/>
      <c r="AN327" s="89"/>
      <c r="AO327" s="89"/>
      <c r="AP327" s="89"/>
      <c r="AQ327" s="89"/>
      <c r="AR327" s="89"/>
      <c r="AS327" s="88"/>
      <c r="AT327" s="89"/>
      <c r="AU327" s="89"/>
      <c r="AV327" s="89"/>
      <c r="AW327" s="89"/>
      <c r="AX327" s="89"/>
      <c r="AY327" s="88"/>
      <c r="AZ327" s="89"/>
      <c r="BA327" s="89"/>
      <c r="BB327" s="89"/>
      <c r="BC327" s="89"/>
      <c r="BD327" s="89"/>
      <c r="BE327" s="88"/>
      <c r="BF327" s="89"/>
      <c r="BG327" s="89"/>
      <c r="BH327" s="89"/>
      <c r="BI327" s="89"/>
      <c r="BJ327" s="89"/>
      <c r="BK327" s="88"/>
      <c r="BL327" s="89"/>
      <c r="BM327" s="89"/>
      <c r="BN327" s="89"/>
      <c r="BO327" s="89"/>
      <c r="BP327" s="89"/>
      <c r="BQ327" s="88"/>
      <c r="BR327" s="89"/>
      <c r="BS327" s="89"/>
      <c r="BT327" s="89"/>
      <c r="BU327" s="89"/>
      <c r="BV327" s="89"/>
      <c r="BW327" s="88"/>
      <c r="BX327" s="89"/>
      <c r="BY327" s="89"/>
      <c r="BZ327" s="89"/>
      <c r="CA327" s="89"/>
      <c r="CB327" s="89"/>
      <c r="CC327" s="88"/>
      <c r="CD327" s="89"/>
      <c r="CE327" s="89"/>
      <c r="CF327" s="89"/>
      <c r="CG327" s="89"/>
      <c r="CH327" s="89"/>
      <c r="CI327" s="88"/>
      <c r="CJ327" s="89"/>
      <c r="CK327" s="89"/>
      <c r="CL327" s="89"/>
      <c r="CM327" s="89"/>
      <c r="CN327" s="89"/>
      <c r="CO327" s="88"/>
      <c r="CP327" s="89"/>
      <c r="CQ327" s="89"/>
      <c r="CR327" s="89"/>
      <c r="CS327" s="89"/>
      <c r="CT327" s="89"/>
      <c r="CU327" s="88"/>
      <c r="CV327" s="89"/>
      <c r="CW327" s="89"/>
      <c r="CX327" s="89"/>
      <c r="CY327" s="89"/>
      <c r="CZ327" s="89"/>
      <c r="DA327" s="88"/>
      <c r="DB327" s="89"/>
      <c r="DC327" s="89"/>
      <c r="DD327" s="89"/>
      <c r="DE327" s="89"/>
      <c r="DF327" s="89"/>
      <c r="DG327" s="88"/>
      <c r="DH327" s="89"/>
      <c r="DI327" s="89"/>
      <c r="DJ327" s="89"/>
      <c r="DK327" s="89"/>
      <c r="DL327" s="89"/>
      <c r="DM327" s="88"/>
      <c r="DN327" s="89"/>
      <c r="DO327" s="89"/>
      <c r="DP327" s="89"/>
      <c r="DQ327" s="89"/>
      <c r="DR327" s="89"/>
      <c r="DS327" s="88"/>
      <c r="DT327" s="89"/>
      <c r="DU327" s="89"/>
      <c r="DV327" s="89"/>
      <c r="DW327" s="89"/>
      <c r="DX327" s="89"/>
      <c r="DY327" s="88"/>
      <c r="DZ327" s="89"/>
      <c r="EA327" s="89"/>
      <c r="EB327" s="89"/>
      <c r="EC327" s="89"/>
      <c r="ED327" s="89"/>
      <c r="EE327" s="88"/>
      <c r="EF327" s="89"/>
      <c r="EG327" s="89"/>
      <c r="EH327" s="89"/>
      <c r="EI327" s="89"/>
      <c r="EJ327" s="89"/>
      <c r="EK327" s="88"/>
      <c r="EL327" s="89"/>
      <c r="EM327" s="89"/>
      <c r="EN327" s="89"/>
      <c r="EO327" s="89"/>
      <c r="EP327" s="89"/>
      <c r="EQ327" s="88"/>
      <c r="ER327" s="89"/>
      <c r="ES327" s="89"/>
      <c r="ET327" s="89"/>
      <c r="EU327" s="89"/>
      <c r="EV327" s="89"/>
      <c r="EW327" s="88"/>
      <c r="EX327" s="89"/>
      <c r="EY327" s="89"/>
      <c r="EZ327" s="89"/>
      <c r="FA327" s="89"/>
      <c r="FB327" s="89"/>
      <c r="FC327" s="88"/>
      <c r="FD327" s="89"/>
      <c r="FE327" s="89"/>
      <c r="FF327" s="89"/>
      <c r="FG327" s="89"/>
      <c r="FH327" s="89"/>
      <c r="FI327" s="88"/>
      <c r="FJ327" s="89"/>
      <c r="FK327" s="89"/>
      <c r="FL327" s="89"/>
      <c r="FM327" s="89"/>
      <c r="FN327" s="89"/>
      <c r="FO327" s="88"/>
      <c r="FP327" s="89"/>
      <c r="FQ327" s="89"/>
      <c r="FR327" s="89"/>
      <c r="FS327" s="89"/>
      <c r="FT327" s="89"/>
      <c r="FU327" s="88"/>
      <c r="FV327" s="89"/>
      <c r="FW327" s="89"/>
      <c r="FX327" s="89"/>
      <c r="FY327" s="89"/>
      <c r="FZ327" s="89"/>
      <c r="GA327" s="88"/>
      <c r="GB327" s="89"/>
      <c r="GC327" s="89"/>
      <c r="GD327" s="89"/>
      <c r="GE327" s="89"/>
      <c r="GF327" s="89"/>
      <c r="GG327" s="88"/>
      <c r="GH327" s="89"/>
      <c r="GI327" s="89"/>
      <c r="GJ327" s="89"/>
      <c r="GK327" s="89"/>
      <c r="GL327" s="89"/>
      <c r="GM327" s="88"/>
      <c r="GN327" s="89"/>
      <c r="GO327" s="89"/>
      <c r="GP327" s="89"/>
      <c r="GQ327" s="89"/>
      <c r="GR327" s="89"/>
    </row>
    <row r="328" spans="1:200">
      <c r="A328" s="135"/>
      <c r="B328" s="128"/>
      <c r="C328" s="88"/>
      <c r="D328" s="89"/>
      <c r="E328" s="89"/>
      <c r="F328" s="89"/>
      <c r="G328" s="89"/>
      <c r="H328" s="89"/>
      <c r="I328" s="88"/>
      <c r="J328" s="89"/>
      <c r="K328" s="89"/>
      <c r="L328" s="89"/>
      <c r="M328" s="89"/>
      <c r="N328" s="89"/>
      <c r="O328" s="88"/>
      <c r="P328" s="89"/>
      <c r="Q328" s="89"/>
      <c r="R328" s="89"/>
      <c r="S328" s="89"/>
      <c r="T328" s="89"/>
      <c r="U328" s="88"/>
      <c r="V328" s="89"/>
      <c r="W328" s="89"/>
      <c r="X328" s="89"/>
      <c r="Y328" s="89"/>
      <c r="Z328" s="89"/>
      <c r="AA328" s="88"/>
      <c r="AB328" s="89"/>
      <c r="AC328" s="89"/>
      <c r="AD328" s="89"/>
      <c r="AE328" s="89"/>
      <c r="AF328" s="89"/>
      <c r="AG328" s="88"/>
      <c r="AH328" s="89"/>
      <c r="AI328" s="89"/>
      <c r="AJ328" s="89"/>
      <c r="AK328" s="89"/>
      <c r="AL328" s="89"/>
      <c r="AM328" s="88"/>
      <c r="AN328" s="89"/>
      <c r="AO328" s="89"/>
      <c r="AP328" s="89"/>
      <c r="AQ328" s="89"/>
      <c r="AR328" s="89"/>
      <c r="AS328" s="88"/>
      <c r="AT328" s="89"/>
      <c r="AU328" s="89"/>
      <c r="AV328" s="89"/>
      <c r="AW328" s="89"/>
      <c r="AX328" s="89"/>
      <c r="AY328" s="88"/>
      <c r="AZ328" s="89"/>
      <c r="BA328" s="89"/>
      <c r="BB328" s="89"/>
      <c r="BC328" s="89"/>
      <c r="BD328" s="89"/>
      <c r="BE328" s="88"/>
      <c r="BF328" s="89"/>
      <c r="BG328" s="89"/>
      <c r="BH328" s="89"/>
      <c r="BI328" s="89"/>
      <c r="BJ328" s="89"/>
      <c r="BK328" s="88"/>
      <c r="BL328" s="89"/>
      <c r="BM328" s="89"/>
      <c r="BN328" s="89"/>
      <c r="BO328" s="89"/>
      <c r="BP328" s="89"/>
      <c r="BQ328" s="88"/>
      <c r="BR328" s="89"/>
      <c r="BS328" s="89"/>
      <c r="BT328" s="89"/>
      <c r="BU328" s="89"/>
      <c r="BV328" s="89"/>
      <c r="BW328" s="88"/>
      <c r="BX328" s="89"/>
      <c r="BY328" s="89"/>
      <c r="BZ328" s="89"/>
      <c r="CA328" s="89"/>
      <c r="CB328" s="89"/>
      <c r="CC328" s="88"/>
      <c r="CD328" s="89"/>
      <c r="CE328" s="89"/>
      <c r="CF328" s="89"/>
      <c r="CG328" s="89"/>
      <c r="CH328" s="89"/>
      <c r="CI328" s="88"/>
      <c r="CJ328" s="89"/>
      <c r="CK328" s="89"/>
      <c r="CL328" s="89"/>
      <c r="CM328" s="89"/>
      <c r="CN328" s="89"/>
      <c r="CO328" s="88"/>
      <c r="CP328" s="89"/>
      <c r="CQ328" s="89"/>
      <c r="CR328" s="89"/>
      <c r="CS328" s="89"/>
      <c r="CT328" s="89"/>
      <c r="CU328" s="88"/>
      <c r="CV328" s="89"/>
      <c r="CW328" s="89"/>
      <c r="CX328" s="89"/>
      <c r="CY328" s="89"/>
      <c r="CZ328" s="89"/>
      <c r="DA328" s="88"/>
      <c r="DB328" s="89"/>
      <c r="DC328" s="89"/>
      <c r="DD328" s="89"/>
      <c r="DE328" s="89"/>
      <c r="DF328" s="89"/>
      <c r="DG328" s="88"/>
      <c r="DH328" s="89"/>
      <c r="DI328" s="89"/>
      <c r="DJ328" s="89"/>
      <c r="DK328" s="89"/>
      <c r="DL328" s="89"/>
      <c r="DM328" s="88"/>
      <c r="DN328" s="89"/>
      <c r="DO328" s="89"/>
      <c r="DP328" s="89"/>
      <c r="DQ328" s="89"/>
      <c r="DR328" s="89"/>
      <c r="DS328" s="88"/>
      <c r="DT328" s="89"/>
      <c r="DU328" s="89"/>
      <c r="DV328" s="89"/>
      <c r="DW328" s="89"/>
      <c r="DX328" s="89"/>
      <c r="DY328" s="88"/>
      <c r="DZ328" s="89"/>
      <c r="EA328" s="89"/>
      <c r="EB328" s="89"/>
      <c r="EC328" s="89"/>
      <c r="ED328" s="89"/>
      <c r="EE328" s="88"/>
      <c r="EF328" s="89"/>
      <c r="EG328" s="89"/>
      <c r="EH328" s="89"/>
      <c r="EI328" s="89"/>
      <c r="EJ328" s="89"/>
      <c r="EK328" s="88"/>
      <c r="EL328" s="89"/>
      <c r="EM328" s="89"/>
      <c r="EN328" s="89"/>
      <c r="EO328" s="89"/>
      <c r="EP328" s="89"/>
      <c r="EQ328" s="88"/>
      <c r="ER328" s="89"/>
      <c r="ES328" s="89"/>
      <c r="ET328" s="89"/>
      <c r="EU328" s="89"/>
      <c r="EV328" s="89"/>
      <c r="EW328" s="88"/>
      <c r="EX328" s="89"/>
      <c r="EY328" s="89"/>
      <c r="EZ328" s="89"/>
      <c r="FA328" s="89"/>
      <c r="FB328" s="89"/>
      <c r="FC328" s="88"/>
      <c r="FD328" s="89"/>
      <c r="FE328" s="89"/>
      <c r="FF328" s="89"/>
      <c r="FG328" s="89"/>
      <c r="FH328" s="89"/>
      <c r="FI328" s="88"/>
      <c r="FJ328" s="89"/>
      <c r="FK328" s="89"/>
      <c r="FL328" s="89"/>
      <c r="FM328" s="89"/>
      <c r="FN328" s="89"/>
      <c r="FO328" s="88"/>
      <c r="FP328" s="89"/>
      <c r="FQ328" s="89"/>
      <c r="FR328" s="89"/>
      <c r="FS328" s="89"/>
      <c r="FT328" s="89"/>
      <c r="FU328" s="88"/>
      <c r="FV328" s="89"/>
      <c r="FW328" s="89"/>
      <c r="FX328" s="89"/>
      <c r="FY328" s="89"/>
      <c r="FZ328" s="89"/>
      <c r="GA328" s="88"/>
      <c r="GB328" s="89"/>
      <c r="GC328" s="89"/>
      <c r="GD328" s="89"/>
      <c r="GE328" s="89"/>
      <c r="GF328" s="89"/>
      <c r="GG328" s="88"/>
      <c r="GH328" s="89"/>
      <c r="GI328" s="89"/>
      <c r="GJ328" s="89"/>
      <c r="GK328" s="89"/>
      <c r="GL328" s="89"/>
      <c r="GM328" s="88"/>
      <c r="GN328" s="89"/>
      <c r="GO328" s="89"/>
      <c r="GP328" s="89"/>
      <c r="GQ328" s="89"/>
      <c r="GR328" s="89"/>
    </row>
    <row r="329" spans="1:200">
      <c r="BQ329" s="128"/>
      <c r="BW329" s="128"/>
      <c r="CC329" s="128"/>
    </row>
  </sheetData>
  <mergeCells count="33">
    <mergeCell ref="BQ1:BV1"/>
    <mergeCell ref="C1:H1"/>
    <mergeCell ref="I1:N1"/>
    <mergeCell ref="O1:T1"/>
    <mergeCell ref="U1:Z1"/>
    <mergeCell ref="AA1:AF1"/>
    <mergeCell ref="AG1:AL1"/>
    <mergeCell ref="AM1:AR1"/>
    <mergeCell ref="AS1:AX1"/>
    <mergeCell ref="AY1:BD1"/>
    <mergeCell ref="BE1:BJ1"/>
    <mergeCell ref="BK1:BP1"/>
    <mergeCell ref="EK1:EP1"/>
    <mergeCell ref="BW1:CB1"/>
    <mergeCell ref="CC1:CH1"/>
    <mergeCell ref="CI1:CN1"/>
    <mergeCell ref="CO1:CT1"/>
    <mergeCell ref="CU1:CZ1"/>
    <mergeCell ref="DA1:DF1"/>
    <mergeCell ref="DG1:DL1"/>
    <mergeCell ref="DM1:DR1"/>
    <mergeCell ref="DS1:DX1"/>
    <mergeCell ref="DY1:ED1"/>
    <mergeCell ref="EE1:EJ1"/>
    <mergeCell ref="GA1:GF1"/>
    <mergeCell ref="GG1:GL1"/>
    <mergeCell ref="GM1:GR1"/>
    <mergeCell ref="EQ1:EV1"/>
    <mergeCell ref="EW1:FB1"/>
    <mergeCell ref="FC1:FH1"/>
    <mergeCell ref="FI1:FN1"/>
    <mergeCell ref="FO1:FT1"/>
    <mergeCell ref="FU1:FZ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280"/>
  <sheetViews>
    <sheetView workbookViewId="0">
      <pane xSplit="1" ySplit="3" topLeftCell="B235" activePane="bottomRight" state="frozen"/>
      <selection pane="topRight" activeCell="B1" sqref="B1"/>
      <selection pane="bottomLeft" activeCell="A4" sqref="A4"/>
      <selection pane="bottomRight" activeCell="AD3" sqref="AD3"/>
    </sheetView>
  </sheetViews>
  <sheetFormatPr defaultRowHeight="11.25"/>
  <cols>
    <col min="1" max="1" width="13.42578125" style="141" bestFit="1" customWidth="1"/>
    <col min="2" max="2" width="8" style="139" customWidth="1"/>
    <col min="3" max="3" width="7.7109375" style="139" bestFit="1" customWidth="1"/>
    <col min="4" max="4" width="7.42578125" style="139" bestFit="1" customWidth="1"/>
    <col min="5" max="5" width="7.7109375" style="139" bestFit="1" customWidth="1"/>
    <col min="6" max="6" width="6.140625" style="139" customWidth="1"/>
    <col min="7" max="7" width="5.85546875" style="139" customWidth="1"/>
    <col min="8" max="9" width="6" style="139" customWidth="1"/>
    <col min="10" max="10" width="7.140625" style="139" bestFit="1" customWidth="1"/>
    <col min="11" max="11" width="8.42578125" style="139" bestFit="1" customWidth="1"/>
    <col min="12" max="12" width="4.5703125" style="139" bestFit="1" customWidth="1"/>
    <col min="13" max="13" width="7.140625" style="139" bestFit="1" customWidth="1"/>
    <col min="14" max="14" width="6.7109375" style="139" bestFit="1" customWidth="1"/>
    <col min="15" max="15" width="8" style="139" customWidth="1"/>
    <col min="16" max="16" width="7" style="139" bestFit="1" customWidth="1"/>
    <col min="17" max="17" width="8" style="139" customWidth="1"/>
    <col min="18" max="18" width="6.42578125" style="139" bestFit="1" customWidth="1"/>
    <col min="19" max="20" width="8" style="139" customWidth="1"/>
    <col min="21" max="21" width="6.5703125" style="139" bestFit="1" customWidth="1"/>
    <col min="22" max="22" width="5.85546875" style="139" bestFit="1" customWidth="1"/>
    <col min="23" max="23" width="8" style="139" customWidth="1"/>
    <col min="24" max="24" width="6.42578125" style="139" bestFit="1" customWidth="1"/>
    <col min="25" max="25" width="7.5703125" style="139" bestFit="1" customWidth="1"/>
    <col min="26" max="26" width="6" style="139" customWidth="1"/>
    <col min="27" max="27" width="7" style="139" customWidth="1"/>
    <col min="28" max="30" width="8" style="139" customWidth="1"/>
    <col min="31" max="31" width="7.42578125" style="139" bestFit="1" customWidth="1"/>
    <col min="32" max="32" width="8" style="139" customWidth="1"/>
    <col min="33" max="33" width="6.85546875" style="139" bestFit="1" customWidth="1"/>
    <col min="34" max="34" width="8" style="139" customWidth="1"/>
    <col min="35" max="36" width="9.140625" style="139"/>
    <col min="37" max="37" width="9.140625" style="140"/>
    <col min="38" max="16384" width="9.140625" style="139"/>
  </cols>
  <sheetData>
    <row r="1" spans="1:34">
      <c r="A1" s="138" t="s">
        <v>504</v>
      </c>
    </row>
    <row r="2" spans="1:34">
      <c r="A2" s="141" t="s">
        <v>505</v>
      </c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  <c r="AB2" s="142"/>
    </row>
    <row r="3" spans="1:34">
      <c r="A3" s="143"/>
      <c r="B3" s="139" t="s">
        <v>1</v>
      </c>
      <c r="C3" s="139" t="s">
        <v>2</v>
      </c>
      <c r="D3" s="139" t="s">
        <v>3</v>
      </c>
      <c r="E3" s="139" t="s">
        <v>4</v>
      </c>
      <c r="F3" s="139" t="s">
        <v>5</v>
      </c>
      <c r="G3" s="139" t="s">
        <v>6</v>
      </c>
      <c r="H3" s="139" t="s">
        <v>7</v>
      </c>
      <c r="I3" s="139" t="s">
        <v>8</v>
      </c>
      <c r="J3" s="139" t="s">
        <v>9</v>
      </c>
      <c r="K3" s="139" t="s">
        <v>10</v>
      </c>
      <c r="L3" s="139" t="s">
        <v>11</v>
      </c>
      <c r="M3" s="139" t="s">
        <v>12</v>
      </c>
      <c r="N3" s="144" t="s">
        <v>13</v>
      </c>
      <c r="O3" s="139" t="s">
        <v>14</v>
      </c>
      <c r="P3" s="139" t="s">
        <v>15</v>
      </c>
      <c r="Q3" s="139" t="s">
        <v>16</v>
      </c>
      <c r="R3" s="139" t="s">
        <v>17</v>
      </c>
      <c r="S3" s="139" t="s">
        <v>18</v>
      </c>
      <c r="T3" s="139" t="s">
        <v>19</v>
      </c>
      <c r="U3" s="139" t="s">
        <v>20</v>
      </c>
      <c r="V3" s="144" t="s">
        <v>21</v>
      </c>
      <c r="W3" s="139" t="s">
        <v>22</v>
      </c>
      <c r="X3" s="139" t="s">
        <v>23</v>
      </c>
      <c r="Y3" s="139" t="s">
        <v>24</v>
      </c>
      <c r="Z3" s="139" t="s">
        <v>25</v>
      </c>
      <c r="AA3" s="139" t="s">
        <v>506</v>
      </c>
      <c r="AB3" s="139" t="s">
        <v>27</v>
      </c>
      <c r="AC3" s="139" t="s">
        <v>28</v>
      </c>
      <c r="AD3" s="139" t="s">
        <v>29</v>
      </c>
      <c r="AE3" s="139" t="s">
        <v>30</v>
      </c>
      <c r="AF3" s="139" t="s">
        <v>31</v>
      </c>
      <c r="AG3" s="139" t="s">
        <v>32</v>
      </c>
      <c r="AH3" s="139" t="s">
        <v>33</v>
      </c>
    </row>
    <row r="4" spans="1:34">
      <c r="A4" s="141" t="s">
        <v>130</v>
      </c>
      <c r="N4" s="145"/>
      <c r="Z4" s="139">
        <v>9.31</v>
      </c>
    </row>
    <row r="5" spans="1:34">
      <c r="A5" s="141" t="s">
        <v>131</v>
      </c>
      <c r="N5" s="145"/>
      <c r="Z5" s="139">
        <v>9.9600000000000009</v>
      </c>
    </row>
    <row r="6" spans="1:34">
      <c r="A6" s="141" t="s">
        <v>132</v>
      </c>
      <c r="N6" s="145"/>
      <c r="Z6" s="139">
        <v>9.67</v>
      </c>
    </row>
    <row r="7" spans="1:34">
      <c r="A7" s="141" t="s">
        <v>133</v>
      </c>
      <c r="N7" s="145"/>
      <c r="Z7" s="139">
        <v>8.69</v>
      </c>
    </row>
    <row r="8" spans="1:34">
      <c r="A8" s="141" t="s">
        <v>134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>
        <v>8.8000000000000007</v>
      </c>
      <c r="AA8" s="145"/>
      <c r="AB8" s="145"/>
      <c r="AC8" s="145"/>
      <c r="AD8" s="145"/>
      <c r="AE8" s="145"/>
      <c r="AF8" s="145"/>
      <c r="AG8" s="145"/>
      <c r="AH8" s="145"/>
    </row>
    <row r="9" spans="1:34">
      <c r="A9" s="141" t="s">
        <v>135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>
        <v>8.6199999999999992</v>
      </c>
      <c r="AA9" s="145"/>
      <c r="AB9" s="145"/>
      <c r="AC9" s="145"/>
      <c r="AD9" s="145"/>
      <c r="AE9" s="145"/>
      <c r="AF9" s="145"/>
      <c r="AG9" s="145"/>
      <c r="AH9" s="145"/>
    </row>
    <row r="10" spans="1:34">
      <c r="A10" s="141" t="s">
        <v>136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>
        <v>8.07</v>
      </c>
      <c r="AA10" s="145"/>
      <c r="AB10" s="145"/>
      <c r="AC10" s="145"/>
      <c r="AD10" s="145"/>
      <c r="AE10" s="145"/>
      <c r="AF10" s="145"/>
      <c r="AG10" s="145"/>
      <c r="AH10" s="145"/>
    </row>
    <row r="11" spans="1:34">
      <c r="A11" s="141" t="s">
        <v>137</v>
      </c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>
        <v>8.33</v>
      </c>
      <c r="AA11" s="145"/>
      <c r="AB11" s="145"/>
      <c r="AC11" s="145"/>
      <c r="AD11" s="145"/>
      <c r="AE11" s="145"/>
      <c r="AF11" s="145"/>
      <c r="AG11" s="145"/>
      <c r="AH11" s="145"/>
    </row>
    <row r="12" spans="1:34">
      <c r="A12" s="141" t="s">
        <v>138</v>
      </c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>
        <v>8.6999999999999993</v>
      </c>
      <c r="AA12" s="145"/>
      <c r="AB12" s="145"/>
      <c r="AC12" s="145"/>
      <c r="AD12" s="145"/>
      <c r="AE12" s="145"/>
      <c r="AF12" s="145"/>
      <c r="AG12" s="145"/>
      <c r="AH12" s="145"/>
    </row>
    <row r="13" spans="1:34">
      <c r="A13" s="141" t="s">
        <v>139</v>
      </c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>
        <v>7.37</v>
      </c>
      <c r="AA13" s="145"/>
      <c r="AB13" s="145"/>
      <c r="AC13" s="145"/>
      <c r="AD13" s="145"/>
      <c r="AE13" s="145"/>
      <c r="AF13" s="145"/>
      <c r="AG13" s="145"/>
      <c r="AH13" s="145"/>
    </row>
    <row r="14" spans="1:34">
      <c r="A14" s="141" t="s">
        <v>140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>
        <v>7.68</v>
      </c>
      <c r="AA14" s="145"/>
      <c r="AB14" s="145"/>
      <c r="AC14" s="145"/>
      <c r="AD14" s="145"/>
      <c r="AE14" s="145"/>
      <c r="AF14" s="145"/>
      <c r="AG14" s="145"/>
      <c r="AH14" s="145"/>
    </row>
    <row r="15" spans="1:34">
      <c r="A15" s="141" t="s">
        <v>141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>
        <v>7.43</v>
      </c>
      <c r="AA15" s="145"/>
      <c r="AB15" s="145"/>
      <c r="AC15" s="145"/>
      <c r="AD15" s="145"/>
      <c r="AE15" s="145"/>
      <c r="AF15" s="145"/>
      <c r="AG15" s="145"/>
      <c r="AH15" s="145"/>
    </row>
    <row r="16" spans="1:34">
      <c r="A16" s="141" t="s">
        <v>142</v>
      </c>
      <c r="B16" s="145"/>
      <c r="C16" s="145"/>
      <c r="D16" s="145"/>
      <c r="E16" s="145"/>
      <c r="F16" s="145"/>
      <c r="G16" s="145"/>
      <c r="H16" s="145"/>
      <c r="I16" s="145"/>
      <c r="J16" s="145">
        <v>5.2058733091330138</v>
      </c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>
        <v>6.91</v>
      </c>
      <c r="AA16" s="145"/>
      <c r="AB16" s="145"/>
      <c r="AC16" s="145"/>
      <c r="AD16" s="145"/>
      <c r="AE16" s="145"/>
      <c r="AF16" s="145"/>
      <c r="AG16" s="145"/>
      <c r="AH16" s="145"/>
    </row>
    <row r="17" spans="1:34">
      <c r="A17" s="141" t="s">
        <v>143</v>
      </c>
      <c r="B17" s="145"/>
      <c r="C17" s="145"/>
      <c r="D17" s="145"/>
      <c r="E17" s="145"/>
      <c r="F17" s="145"/>
      <c r="G17" s="145">
        <v>5.0883011802410003</v>
      </c>
      <c r="H17" s="145"/>
      <c r="I17" s="145"/>
      <c r="J17" s="145">
        <v>5.7638857777878947</v>
      </c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>
        <v>7.68</v>
      </c>
      <c r="AA17" s="145"/>
      <c r="AB17" s="145"/>
      <c r="AC17" s="145"/>
      <c r="AD17" s="145"/>
      <c r="AE17" s="145"/>
      <c r="AF17" s="145"/>
      <c r="AG17" s="145"/>
      <c r="AH17" s="145"/>
    </row>
    <row r="18" spans="1:34">
      <c r="A18" s="141" t="s">
        <v>144</v>
      </c>
      <c r="B18" s="145"/>
      <c r="C18" s="145"/>
      <c r="D18" s="145"/>
      <c r="E18" s="145"/>
      <c r="F18" s="145"/>
      <c r="G18" s="145">
        <v>5.0662990993539401</v>
      </c>
      <c r="H18" s="145"/>
      <c r="I18" s="145"/>
      <c r="J18" s="145">
        <v>6.0007586459753286</v>
      </c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>
        <v>7.7</v>
      </c>
      <c r="AA18" s="145"/>
      <c r="AB18" s="145"/>
      <c r="AC18" s="145"/>
      <c r="AD18" s="145"/>
      <c r="AE18" s="145"/>
      <c r="AF18" s="145"/>
      <c r="AG18" s="145"/>
      <c r="AH18" s="145"/>
    </row>
    <row r="19" spans="1:34">
      <c r="A19" s="141" t="s">
        <v>145</v>
      </c>
      <c r="B19" s="145"/>
      <c r="C19" s="145"/>
      <c r="D19" s="145"/>
      <c r="E19" s="145"/>
      <c r="F19" s="145"/>
      <c r="G19" s="145">
        <v>5.2969192602822197</v>
      </c>
      <c r="H19" s="145"/>
      <c r="I19" s="145"/>
      <c r="J19" s="145">
        <v>5.6663749059943056</v>
      </c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>
        <v>6.61</v>
      </c>
      <c r="AA19" s="145"/>
      <c r="AB19" s="145"/>
      <c r="AC19" s="145"/>
      <c r="AD19" s="145"/>
      <c r="AE19" s="145"/>
      <c r="AF19" s="145"/>
      <c r="AG19" s="145"/>
      <c r="AH19" s="145"/>
    </row>
    <row r="20" spans="1:34">
      <c r="A20" s="141" t="s">
        <v>146</v>
      </c>
      <c r="B20" s="145"/>
      <c r="C20" s="145"/>
      <c r="D20" s="145"/>
      <c r="E20" s="145"/>
      <c r="F20" s="145"/>
      <c r="G20" s="145">
        <v>5.2595806752676104</v>
      </c>
      <c r="H20" s="145"/>
      <c r="I20" s="145"/>
      <c r="J20" s="145">
        <v>5.9213981941949143</v>
      </c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>
        <v>7.05</v>
      </c>
      <c r="AA20" s="145"/>
      <c r="AB20" s="145"/>
      <c r="AC20" s="145"/>
      <c r="AD20" s="145"/>
      <c r="AE20" s="145"/>
      <c r="AF20" s="145"/>
      <c r="AG20" s="145"/>
      <c r="AH20" s="145"/>
    </row>
    <row r="21" spans="1:34">
      <c r="A21" s="141" t="s">
        <v>147</v>
      </c>
      <c r="B21" s="145"/>
      <c r="C21" s="145"/>
      <c r="D21" s="145"/>
      <c r="E21" s="145"/>
      <c r="F21" s="145"/>
      <c r="G21" s="145"/>
      <c r="H21" s="145"/>
      <c r="I21" s="145"/>
      <c r="J21" s="145">
        <v>5.8067543140788107</v>
      </c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>
        <v>6.87</v>
      </c>
      <c r="AA21" s="145"/>
      <c r="AB21" s="145"/>
      <c r="AC21" s="145"/>
      <c r="AD21" s="145"/>
      <c r="AE21" s="145"/>
      <c r="AF21" s="145"/>
      <c r="AG21" s="145"/>
      <c r="AH21" s="145"/>
    </row>
    <row r="22" spans="1:34">
      <c r="A22" s="141" t="s">
        <v>148</v>
      </c>
      <c r="B22" s="145"/>
      <c r="C22" s="145"/>
      <c r="D22" s="145"/>
      <c r="E22" s="145"/>
      <c r="F22" s="145"/>
      <c r="G22" s="145"/>
      <c r="H22" s="145"/>
      <c r="I22" s="145"/>
      <c r="J22" s="145">
        <v>5.5417999478996167</v>
      </c>
      <c r="K22" s="145">
        <v>10.747394268814066</v>
      </c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>
        <v>6.1</v>
      </c>
      <c r="AA22" s="145"/>
      <c r="AB22" s="145"/>
      <c r="AC22" s="145"/>
      <c r="AD22" s="145"/>
      <c r="AE22" s="145"/>
      <c r="AF22" s="145"/>
      <c r="AG22" s="145"/>
      <c r="AH22" s="145"/>
    </row>
    <row r="23" spans="1:34">
      <c r="A23" s="141" t="s">
        <v>149</v>
      </c>
      <c r="B23" s="145"/>
      <c r="C23" s="145"/>
      <c r="D23" s="145"/>
      <c r="E23" s="145"/>
      <c r="F23" s="145"/>
      <c r="G23" s="145"/>
      <c r="H23" s="145"/>
      <c r="I23" s="145"/>
      <c r="J23" s="145">
        <v>6.1957256336783288</v>
      </c>
      <c r="K23" s="145">
        <v>10.498206403282365</v>
      </c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>
        <v>6.24</v>
      </c>
      <c r="AA23" s="145"/>
      <c r="AB23" s="145"/>
      <c r="AC23" s="145"/>
      <c r="AD23" s="145"/>
      <c r="AE23" s="145"/>
      <c r="AF23" s="145"/>
      <c r="AG23" s="145"/>
      <c r="AH23" s="145"/>
    </row>
    <row r="24" spans="1:34">
      <c r="A24" s="141" t="s">
        <v>150</v>
      </c>
      <c r="B24" s="145"/>
      <c r="C24" s="145"/>
      <c r="D24" s="145"/>
      <c r="E24" s="145"/>
      <c r="F24" s="145"/>
      <c r="G24" s="145"/>
      <c r="H24" s="145"/>
      <c r="I24" s="145"/>
      <c r="J24" s="145">
        <v>6.1446889940984999</v>
      </c>
      <c r="K24" s="145">
        <v>11.308151535077009</v>
      </c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>
        <v>6.17</v>
      </c>
      <c r="AA24" s="145"/>
      <c r="AB24" s="145"/>
      <c r="AC24" s="145"/>
      <c r="AD24" s="145"/>
      <c r="AE24" s="145"/>
      <c r="AF24" s="145"/>
      <c r="AG24" s="145"/>
      <c r="AH24" s="145"/>
    </row>
    <row r="25" spans="1:34">
      <c r="A25" s="141" t="s">
        <v>151</v>
      </c>
      <c r="B25" s="145"/>
      <c r="C25" s="145"/>
      <c r="D25" s="145"/>
      <c r="E25" s="145"/>
      <c r="F25" s="145"/>
      <c r="G25" s="145"/>
      <c r="H25" s="145"/>
      <c r="I25" s="145"/>
      <c r="J25" s="145">
        <v>5.8971515842047992</v>
      </c>
      <c r="K25" s="145">
        <v>10.84269720223122</v>
      </c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>
        <v>5.59</v>
      </c>
      <c r="AA25" s="145"/>
      <c r="AB25" s="145"/>
      <c r="AC25" s="145"/>
      <c r="AD25" s="145"/>
      <c r="AE25" s="145"/>
      <c r="AF25" s="145"/>
      <c r="AG25" s="145"/>
      <c r="AH25" s="145"/>
    </row>
    <row r="26" spans="1:34">
      <c r="A26" s="141" t="s">
        <v>152</v>
      </c>
      <c r="B26" s="145"/>
      <c r="C26" s="145"/>
      <c r="D26" s="145"/>
      <c r="E26" s="145"/>
      <c r="F26" s="145"/>
      <c r="G26" s="145"/>
      <c r="H26" s="145"/>
      <c r="I26" s="145"/>
      <c r="J26" s="145">
        <v>6.0304055117470128</v>
      </c>
      <c r="K26" s="145">
        <v>11.083112084170018</v>
      </c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>
        <v>5.84</v>
      </c>
      <c r="AA26" s="145"/>
      <c r="AB26" s="145"/>
      <c r="AC26" s="145"/>
      <c r="AD26" s="145"/>
      <c r="AE26" s="145"/>
      <c r="AF26" s="145"/>
      <c r="AG26" s="145"/>
      <c r="AH26" s="145"/>
    </row>
    <row r="27" spans="1:34">
      <c r="A27" s="146" t="s">
        <v>153</v>
      </c>
      <c r="B27" s="147"/>
      <c r="C27" s="147"/>
      <c r="D27" s="147"/>
      <c r="E27" s="147"/>
      <c r="F27" s="147"/>
      <c r="G27" s="147"/>
      <c r="H27" s="147"/>
      <c r="I27" s="147"/>
      <c r="J27" s="147">
        <v>6.1039249244002853</v>
      </c>
      <c r="K27" s="147">
        <v>10.764969326866625</v>
      </c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>
        <v>5.45</v>
      </c>
      <c r="AA27" s="147"/>
      <c r="AB27" s="147"/>
      <c r="AC27" s="147"/>
      <c r="AD27" s="147"/>
      <c r="AE27" s="147"/>
      <c r="AF27" s="147"/>
      <c r="AG27" s="147"/>
      <c r="AH27" s="147"/>
    </row>
    <row r="28" spans="1:34">
      <c r="A28" s="148" t="s">
        <v>154</v>
      </c>
      <c r="B28" s="149"/>
      <c r="C28" s="149"/>
      <c r="D28" s="149"/>
      <c r="E28" s="149"/>
      <c r="F28" s="149"/>
      <c r="G28" s="149"/>
      <c r="H28" s="149"/>
      <c r="I28" s="149"/>
      <c r="J28" s="149">
        <v>5.7298768623185881</v>
      </c>
      <c r="K28" s="149">
        <v>10.03778043</v>
      </c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>
        <v>4.82</v>
      </c>
      <c r="AA28" s="149"/>
      <c r="AB28" s="149"/>
      <c r="AC28" s="149"/>
      <c r="AD28" s="149"/>
      <c r="AE28" s="149"/>
      <c r="AF28" s="149"/>
      <c r="AG28" s="149"/>
      <c r="AH28" s="149"/>
    </row>
    <row r="29" spans="1:34">
      <c r="A29" s="141" t="s">
        <v>155</v>
      </c>
      <c r="B29" s="145"/>
      <c r="C29" s="145"/>
      <c r="D29" s="145"/>
      <c r="E29" s="145"/>
      <c r="F29" s="145"/>
      <c r="G29" s="145"/>
      <c r="H29" s="145"/>
      <c r="I29" s="145"/>
      <c r="J29" s="145">
        <v>6.2248394821543744</v>
      </c>
      <c r="K29" s="145">
        <v>10.126104253946034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>
        <v>5.3</v>
      </c>
      <c r="AA29" s="145"/>
      <c r="AB29" s="145"/>
      <c r="AC29" s="145"/>
      <c r="AD29" s="145"/>
      <c r="AE29" s="145"/>
      <c r="AF29" s="145"/>
      <c r="AG29" s="145"/>
      <c r="AH29" s="145"/>
    </row>
    <row r="30" spans="1:34">
      <c r="A30" s="141" t="s">
        <v>156</v>
      </c>
      <c r="B30" s="145"/>
      <c r="C30" s="145"/>
      <c r="D30" s="145"/>
      <c r="E30" s="145"/>
      <c r="F30" s="145"/>
      <c r="G30" s="145"/>
      <c r="H30" s="145"/>
      <c r="I30" s="145"/>
      <c r="J30" s="145">
        <v>6.4320904617131749</v>
      </c>
      <c r="K30" s="145">
        <v>10.276308924312866</v>
      </c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>
        <v>5.53</v>
      </c>
      <c r="AA30" s="145"/>
      <c r="AB30" s="145"/>
      <c r="AC30" s="145"/>
      <c r="AD30" s="145"/>
      <c r="AE30" s="145"/>
      <c r="AF30" s="145"/>
      <c r="AG30" s="145"/>
      <c r="AH30" s="145"/>
    </row>
    <row r="31" spans="1:34">
      <c r="A31" s="141" t="s">
        <v>157</v>
      </c>
      <c r="B31" s="145"/>
      <c r="C31" s="145"/>
      <c r="D31" s="145"/>
      <c r="E31" s="145"/>
      <c r="F31" s="145"/>
      <c r="G31" s="145"/>
      <c r="H31" s="145"/>
      <c r="I31" s="145"/>
      <c r="J31" s="145">
        <v>6.376034346423892</v>
      </c>
      <c r="K31" s="145">
        <v>10.476621552189087</v>
      </c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>
        <v>5.07</v>
      </c>
      <c r="AA31" s="145"/>
      <c r="AB31" s="145"/>
      <c r="AC31" s="145"/>
      <c r="AD31" s="145"/>
      <c r="AE31" s="145"/>
      <c r="AF31" s="145"/>
      <c r="AG31" s="145"/>
      <c r="AH31" s="145"/>
    </row>
    <row r="32" spans="1:34">
      <c r="A32" s="141" t="s">
        <v>158</v>
      </c>
      <c r="B32" s="145"/>
      <c r="C32" s="145"/>
      <c r="D32" s="145"/>
      <c r="E32" s="145"/>
      <c r="F32" s="145"/>
      <c r="G32" s="145"/>
      <c r="H32" s="145"/>
      <c r="I32" s="145"/>
      <c r="J32" s="145">
        <v>6.7370847696946079</v>
      </c>
      <c r="K32" s="145">
        <v>11.724410296512765</v>
      </c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>
        <v>5.46</v>
      </c>
      <c r="AA32" s="145"/>
      <c r="AB32" s="145"/>
      <c r="AC32" s="145"/>
      <c r="AD32" s="145"/>
      <c r="AE32" s="145"/>
      <c r="AF32" s="145"/>
      <c r="AG32" s="145"/>
      <c r="AH32" s="145"/>
    </row>
    <row r="33" spans="1:34">
      <c r="A33" s="141" t="s">
        <v>159</v>
      </c>
      <c r="B33" s="145"/>
      <c r="C33" s="145"/>
      <c r="D33" s="145"/>
      <c r="E33" s="145"/>
      <c r="F33" s="145"/>
      <c r="G33" s="145"/>
      <c r="H33" s="145"/>
      <c r="I33" s="145"/>
      <c r="J33" s="145">
        <v>6.6987628435091189</v>
      </c>
      <c r="K33" s="145">
        <v>12.139420658139819</v>
      </c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>
        <v>5.49</v>
      </c>
      <c r="AA33" s="145"/>
      <c r="AB33" s="145"/>
      <c r="AC33" s="145"/>
      <c r="AD33" s="145"/>
      <c r="AE33" s="145"/>
      <c r="AF33" s="145"/>
      <c r="AG33" s="145"/>
      <c r="AH33" s="145"/>
    </row>
    <row r="34" spans="1:34">
      <c r="A34" s="141" t="s">
        <v>160</v>
      </c>
      <c r="B34" s="145"/>
      <c r="C34" s="145"/>
      <c r="D34" s="145"/>
      <c r="E34" s="145"/>
      <c r="F34" s="145"/>
      <c r="G34" s="145"/>
      <c r="H34" s="145"/>
      <c r="I34" s="145"/>
      <c r="J34" s="145">
        <v>6.5790176933450297</v>
      </c>
      <c r="K34" s="145">
        <v>10.765460591994682</v>
      </c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>
        <v>4.99</v>
      </c>
      <c r="AA34" s="145"/>
      <c r="AB34" s="145"/>
      <c r="AC34" s="145"/>
      <c r="AD34" s="145"/>
      <c r="AE34" s="145"/>
      <c r="AF34" s="145"/>
      <c r="AG34" s="145"/>
      <c r="AH34" s="145"/>
    </row>
    <row r="35" spans="1:34">
      <c r="A35" s="141" t="s">
        <v>161</v>
      </c>
      <c r="B35" s="145"/>
      <c r="C35" s="145"/>
      <c r="D35" s="145"/>
      <c r="E35" s="145"/>
      <c r="F35" s="145"/>
      <c r="G35" s="145"/>
      <c r="H35" s="145"/>
      <c r="I35" s="145"/>
      <c r="J35" s="145">
        <v>6.9115157351051089</v>
      </c>
      <c r="K35" s="145">
        <v>10.457483125583355</v>
      </c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>
        <v>5.49</v>
      </c>
      <c r="AA35" s="145"/>
      <c r="AB35" s="145"/>
      <c r="AC35" s="145"/>
      <c r="AD35" s="145"/>
      <c r="AE35" s="145"/>
      <c r="AF35" s="145"/>
      <c r="AG35" s="145"/>
      <c r="AH35" s="145"/>
    </row>
    <row r="36" spans="1:34">
      <c r="A36" s="141" t="s">
        <v>162</v>
      </c>
      <c r="B36" s="145"/>
      <c r="C36" s="145"/>
      <c r="D36" s="145"/>
      <c r="E36" s="145"/>
      <c r="F36" s="145"/>
      <c r="G36" s="145"/>
      <c r="H36" s="145"/>
      <c r="I36" s="145"/>
      <c r="J36" s="145">
        <v>7.1889187394757901</v>
      </c>
      <c r="K36" s="145">
        <v>9.9855564221604141</v>
      </c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>
        <v>5.63</v>
      </c>
      <c r="AA36" s="145"/>
      <c r="AB36" s="145"/>
      <c r="AC36" s="145"/>
      <c r="AD36" s="145"/>
      <c r="AE36" s="145"/>
      <c r="AF36" s="145"/>
      <c r="AG36" s="145"/>
      <c r="AH36" s="145"/>
    </row>
    <row r="37" spans="1:34">
      <c r="A37" s="141" t="s">
        <v>163</v>
      </c>
      <c r="B37" s="145"/>
      <c r="C37" s="145"/>
      <c r="D37" s="145"/>
      <c r="E37" s="145"/>
      <c r="F37" s="145"/>
      <c r="G37" s="145"/>
      <c r="H37" s="145"/>
      <c r="I37" s="145"/>
      <c r="J37" s="145">
        <v>7.1352853100931481</v>
      </c>
      <c r="K37" s="145">
        <v>8.7690059511582525</v>
      </c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>
        <v>5.44</v>
      </c>
      <c r="AA37" s="145"/>
      <c r="AB37" s="145"/>
      <c r="AC37" s="145"/>
      <c r="AD37" s="145"/>
      <c r="AE37" s="145"/>
      <c r="AF37" s="145"/>
      <c r="AG37" s="145"/>
      <c r="AH37" s="145"/>
    </row>
    <row r="38" spans="1:34">
      <c r="A38" s="141" t="s">
        <v>164</v>
      </c>
      <c r="B38" s="145"/>
      <c r="C38" s="145"/>
      <c r="D38" s="145"/>
      <c r="E38" s="145"/>
      <c r="F38" s="145"/>
      <c r="G38" s="145"/>
      <c r="H38" s="145"/>
      <c r="I38" s="145"/>
      <c r="J38" s="145">
        <v>7.4850808425154822</v>
      </c>
      <c r="K38" s="145">
        <v>8.4240698630233979</v>
      </c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>
        <v>5.74</v>
      </c>
      <c r="AA38" s="145"/>
      <c r="AB38" s="145"/>
      <c r="AC38" s="145"/>
      <c r="AD38" s="145"/>
      <c r="AE38" s="145"/>
      <c r="AF38" s="145"/>
      <c r="AG38" s="145"/>
      <c r="AH38" s="145"/>
    </row>
    <row r="39" spans="1:34">
      <c r="A39" s="146" t="s">
        <v>165</v>
      </c>
      <c r="B39" s="147"/>
      <c r="C39" s="147"/>
      <c r="D39" s="147"/>
      <c r="E39" s="147"/>
      <c r="F39" s="147"/>
      <c r="G39" s="147"/>
      <c r="H39" s="147"/>
      <c r="I39" s="147"/>
      <c r="J39" s="147">
        <v>7.6441899495467007</v>
      </c>
      <c r="K39" s="147">
        <v>8.1795349347968038</v>
      </c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>
        <v>5.69</v>
      </c>
      <c r="AA39" s="147"/>
      <c r="AB39" s="147"/>
      <c r="AC39" s="147"/>
      <c r="AD39" s="147"/>
      <c r="AE39" s="147"/>
      <c r="AF39" s="147"/>
      <c r="AG39" s="147"/>
      <c r="AH39" s="147"/>
    </row>
    <row r="40" spans="1:34">
      <c r="A40" s="148" t="s">
        <v>166</v>
      </c>
      <c r="B40" s="149"/>
      <c r="C40" s="149"/>
      <c r="D40" s="149"/>
      <c r="E40" s="149"/>
      <c r="F40" s="149"/>
      <c r="G40" s="149"/>
      <c r="H40" s="149"/>
      <c r="I40" s="149"/>
      <c r="J40" s="149">
        <v>6.7308879349182922</v>
      </c>
      <c r="K40" s="149">
        <v>7.9256784805991822</v>
      </c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>
        <v>5.22</v>
      </c>
      <c r="AA40" s="149"/>
      <c r="AB40" s="149"/>
      <c r="AC40" s="149"/>
      <c r="AD40" s="149"/>
      <c r="AE40" s="149"/>
      <c r="AF40" s="149"/>
      <c r="AG40" s="149"/>
      <c r="AH40" s="149"/>
    </row>
    <row r="41" spans="1:34">
      <c r="A41" s="141" t="s">
        <v>167</v>
      </c>
      <c r="B41" s="145"/>
      <c r="C41" s="145"/>
      <c r="D41" s="145"/>
      <c r="E41" s="145"/>
      <c r="F41" s="145"/>
      <c r="G41" s="145">
        <v>9.2340775634094001</v>
      </c>
      <c r="H41" s="145"/>
      <c r="I41" s="145"/>
      <c r="J41" s="145">
        <v>7.3639395737934139</v>
      </c>
      <c r="K41" s="145">
        <v>7.7450774081120946</v>
      </c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>
        <v>5.87</v>
      </c>
      <c r="AA41" s="145"/>
      <c r="AB41" s="145"/>
      <c r="AC41" s="145"/>
      <c r="AD41" s="145"/>
      <c r="AE41" s="145"/>
      <c r="AF41" s="145"/>
      <c r="AG41" s="145"/>
      <c r="AH41" s="145"/>
    </row>
    <row r="42" spans="1:34">
      <c r="A42" s="141" t="s">
        <v>168</v>
      </c>
      <c r="B42" s="145"/>
      <c r="C42" s="145"/>
      <c r="D42" s="145"/>
      <c r="E42" s="145"/>
      <c r="F42" s="145"/>
      <c r="G42" s="145">
        <v>7.0242633655263731</v>
      </c>
      <c r="H42" s="145"/>
      <c r="I42" s="145"/>
      <c r="J42" s="145">
        <v>7.42106498932921</v>
      </c>
      <c r="K42" s="145">
        <v>7.1861885294403658</v>
      </c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>
        <v>5.91</v>
      </c>
      <c r="AA42" s="145"/>
      <c r="AB42" s="145"/>
      <c r="AC42" s="145"/>
      <c r="AD42" s="145"/>
      <c r="AE42" s="145"/>
      <c r="AF42" s="145"/>
      <c r="AG42" s="145"/>
      <c r="AH42" s="145"/>
    </row>
    <row r="43" spans="1:34">
      <c r="A43" s="141" t="s">
        <v>169</v>
      </c>
      <c r="B43" s="145"/>
      <c r="C43" s="145"/>
      <c r="D43" s="145"/>
      <c r="E43" s="145"/>
      <c r="F43" s="145"/>
      <c r="G43" s="145">
        <v>6.7949212467755222</v>
      </c>
      <c r="H43" s="145"/>
      <c r="I43" s="145"/>
      <c r="J43" s="145">
        <v>7.6413397163550236</v>
      </c>
      <c r="K43" s="145">
        <v>7.7037310956353497</v>
      </c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>
        <v>5.67</v>
      </c>
      <c r="AA43" s="145"/>
      <c r="AB43" s="145"/>
      <c r="AC43" s="145"/>
      <c r="AD43" s="145"/>
      <c r="AE43" s="145"/>
      <c r="AF43" s="145"/>
      <c r="AG43" s="145"/>
      <c r="AH43" s="145"/>
    </row>
    <row r="44" spans="1:34">
      <c r="A44" s="141" t="s">
        <v>170</v>
      </c>
      <c r="B44" s="145"/>
      <c r="C44" s="145"/>
      <c r="D44" s="145"/>
      <c r="E44" s="145"/>
      <c r="F44" s="145"/>
      <c r="G44" s="145">
        <v>6.5652972516124555</v>
      </c>
      <c r="H44" s="145"/>
      <c r="I44" s="145"/>
      <c r="J44" s="145">
        <v>7.5551097713996525</v>
      </c>
      <c r="K44" s="145">
        <v>6.7878705690969179</v>
      </c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>
        <v>5.97</v>
      </c>
      <c r="AA44" s="145"/>
      <c r="AB44" s="145"/>
      <c r="AC44" s="145"/>
      <c r="AD44" s="145"/>
      <c r="AE44" s="145"/>
      <c r="AF44" s="145"/>
      <c r="AG44" s="145"/>
      <c r="AH44" s="145"/>
    </row>
    <row r="45" spans="1:34">
      <c r="A45" s="141" t="s">
        <v>171</v>
      </c>
      <c r="B45" s="145"/>
      <c r="C45" s="145"/>
      <c r="D45" s="145"/>
      <c r="E45" s="145"/>
      <c r="F45" s="145"/>
      <c r="G45" s="145">
        <v>6.8321928335213542</v>
      </c>
      <c r="H45" s="145"/>
      <c r="I45" s="145"/>
      <c r="J45" s="145">
        <v>7.5240287090622386</v>
      </c>
      <c r="K45" s="145">
        <v>6.6895533546548549</v>
      </c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>
        <v>6.09</v>
      </c>
      <c r="AA45" s="145"/>
      <c r="AB45" s="145"/>
      <c r="AC45" s="145"/>
      <c r="AD45" s="145"/>
      <c r="AE45" s="145"/>
      <c r="AF45" s="145"/>
      <c r="AG45" s="145"/>
      <c r="AH45" s="145"/>
    </row>
    <row r="46" spans="1:34">
      <c r="A46" s="141" t="s">
        <v>172</v>
      </c>
      <c r="B46" s="145"/>
      <c r="C46" s="145"/>
      <c r="D46" s="145"/>
      <c r="E46" s="145"/>
      <c r="F46" s="145"/>
      <c r="G46" s="145">
        <v>5.3168192567785901</v>
      </c>
      <c r="H46" s="145"/>
      <c r="I46" s="145"/>
      <c r="J46" s="145">
        <v>7.2705683040498776</v>
      </c>
      <c r="K46" s="145">
        <v>5.9776292138753888</v>
      </c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>
        <v>5.5</v>
      </c>
      <c r="AA46" s="145"/>
      <c r="AB46" s="145"/>
      <c r="AC46" s="145"/>
      <c r="AD46" s="145"/>
      <c r="AE46" s="145"/>
      <c r="AF46" s="145"/>
      <c r="AG46" s="145"/>
      <c r="AH46" s="145"/>
    </row>
    <row r="47" spans="1:34">
      <c r="A47" s="141" t="s">
        <v>173</v>
      </c>
      <c r="B47" s="145"/>
      <c r="C47" s="145"/>
      <c r="D47" s="145"/>
      <c r="E47" s="145"/>
      <c r="F47" s="145"/>
      <c r="G47" s="145">
        <v>6.1750185170016785</v>
      </c>
      <c r="H47" s="145"/>
      <c r="I47" s="145"/>
      <c r="J47" s="145">
        <v>7.3805259315025911</v>
      </c>
      <c r="K47" s="145">
        <v>5.2474372176103614</v>
      </c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>
        <v>5.83</v>
      </c>
      <c r="AA47" s="145"/>
      <c r="AB47" s="145"/>
      <c r="AC47" s="145"/>
      <c r="AD47" s="145"/>
      <c r="AE47" s="145"/>
      <c r="AF47" s="145"/>
      <c r="AG47" s="145"/>
      <c r="AH47" s="145"/>
    </row>
    <row r="48" spans="1:34">
      <c r="A48" s="141" t="s">
        <v>174</v>
      </c>
      <c r="B48" s="145"/>
      <c r="C48" s="145"/>
      <c r="D48" s="145"/>
      <c r="E48" s="145"/>
      <c r="F48" s="145"/>
      <c r="G48" s="145">
        <v>6.3325720682128956</v>
      </c>
      <c r="H48" s="145"/>
      <c r="I48" s="145"/>
      <c r="J48" s="145">
        <v>7.5451411216792703</v>
      </c>
      <c r="K48" s="145">
        <v>6.6230142149852096</v>
      </c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>
        <v>6.06</v>
      </c>
      <c r="AA48" s="145"/>
      <c r="AB48" s="145"/>
      <c r="AC48" s="145"/>
      <c r="AD48" s="145"/>
      <c r="AE48" s="145"/>
      <c r="AF48" s="145"/>
      <c r="AG48" s="145"/>
      <c r="AH48" s="145"/>
    </row>
    <row r="49" spans="1:34">
      <c r="A49" s="141" t="s">
        <v>175</v>
      </c>
      <c r="B49" s="145"/>
      <c r="C49" s="145"/>
      <c r="D49" s="145"/>
      <c r="E49" s="145"/>
      <c r="F49" s="145"/>
      <c r="G49" s="145">
        <v>6.5757106189102617</v>
      </c>
      <c r="H49" s="145"/>
      <c r="I49" s="145"/>
      <c r="J49" s="145">
        <v>7.3092912725757548</v>
      </c>
      <c r="K49" s="145">
        <v>6.4405240913841197</v>
      </c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>
        <v>5.69</v>
      </c>
      <c r="AA49" s="145"/>
      <c r="AB49" s="145"/>
      <c r="AC49" s="145"/>
      <c r="AD49" s="145"/>
      <c r="AE49" s="145"/>
      <c r="AF49" s="145"/>
      <c r="AG49" s="145"/>
      <c r="AH49" s="145"/>
    </row>
    <row r="50" spans="1:34">
      <c r="A50" s="141" t="s">
        <v>176</v>
      </c>
      <c r="B50" s="145"/>
      <c r="C50" s="145"/>
      <c r="D50" s="145"/>
      <c r="E50" s="145"/>
      <c r="F50" s="145"/>
      <c r="G50" s="145">
        <v>6.0141814260620325</v>
      </c>
      <c r="H50" s="145"/>
      <c r="I50" s="145"/>
      <c r="J50" s="145">
        <v>7.1978088905459234</v>
      </c>
      <c r="K50" s="145">
        <v>5.5313249196125609</v>
      </c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>
        <v>5.82</v>
      </c>
      <c r="AA50" s="145"/>
      <c r="AB50" s="145"/>
      <c r="AC50" s="145"/>
      <c r="AD50" s="145"/>
      <c r="AE50" s="145"/>
      <c r="AF50" s="145"/>
      <c r="AG50" s="145"/>
      <c r="AH50" s="145"/>
    </row>
    <row r="51" spans="1:34">
      <c r="A51" s="141" t="s">
        <v>177</v>
      </c>
      <c r="B51" s="145"/>
      <c r="C51" s="145"/>
      <c r="D51" s="145"/>
      <c r="E51" s="145"/>
      <c r="F51" s="145"/>
      <c r="G51" s="145">
        <v>6.191892671600292</v>
      </c>
      <c r="H51" s="145"/>
      <c r="I51" s="145"/>
      <c r="J51" s="145">
        <v>7.3199863345927305</v>
      </c>
      <c r="K51" s="145">
        <v>5.5149331618263213</v>
      </c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>
        <v>5.85</v>
      </c>
      <c r="AA51" s="145"/>
      <c r="AB51" s="145"/>
      <c r="AC51" s="145"/>
      <c r="AD51" s="145"/>
      <c r="AE51" s="145"/>
      <c r="AF51" s="145"/>
      <c r="AG51" s="145"/>
      <c r="AH51" s="145"/>
    </row>
    <row r="52" spans="1:34" ht="12" thickBot="1">
      <c r="A52" s="150" t="s">
        <v>178</v>
      </c>
      <c r="B52" s="151"/>
      <c r="C52" s="151"/>
      <c r="D52" s="151"/>
      <c r="E52" s="151"/>
      <c r="F52" s="151"/>
      <c r="G52" s="151">
        <v>4.4122566783819988</v>
      </c>
      <c r="H52" s="151"/>
      <c r="I52" s="151"/>
      <c r="J52" s="151">
        <v>6.6663973983826956</v>
      </c>
      <c r="K52" s="151">
        <v>5.172891020687195</v>
      </c>
      <c r="L52" s="151"/>
      <c r="M52" s="151"/>
      <c r="N52" s="151"/>
      <c r="O52" s="151"/>
      <c r="P52" s="151"/>
      <c r="Q52" s="151"/>
      <c r="R52" s="151"/>
      <c r="S52" s="151"/>
      <c r="T52" s="151"/>
      <c r="U52" s="151">
        <v>27.2</v>
      </c>
      <c r="V52" s="151"/>
      <c r="W52" s="151"/>
      <c r="X52" s="151"/>
      <c r="Y52" s="151"/>
      <c r="Z52" s="151">
        <v>5.07</v>
      </c>
      <c r="AA52" s="151"/>
      <c r="AB52" s="151"/>
      <c r="AC52" s="151"/>
      <c r="AD52" s="151"/>
      <c r="AE52" s="151"/>
      <c r="AF52" s="151"/>
      <c r="AG52" s="151"/>
      <c r="AH52" s="151"/>
    </row>
    <row r="53" spans="1:34">
      <c r="A53" s="141" t="s">
        <v>179</v>
      </c>
      <c r="B53" s="145"/>
      <c r="C53" s="145"/>
      <c r="D53" s="145"/>
      <c r="E53" s="145"/>
      <c r="F53" s="145"/>
      <c r="G53" s="145">
        <v>5.2013943373232099</v>
      </c>
      <c r="H53" s="145"/>
      <c r="I53" s="145"/>
      <c r="J53" s="145">
        <v>7.141986799711507</v>
      </c>
      <c r="K53" s="145">
        <v>5.3882006263671922</v>
      </c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>
        <v>5.72</v>
      </c>
      <c r="AA53" s="145"/>
      <c r="AB53" s="145"/>
      <c r="AC53" s="145"/>
      <c r="AD53" s="145"/>
      <c r="AE53" s="145"/>
      <c r="AF53" s="145"/>
      <c r="AG53" s="145"/>
      <c r="AH53" s="145"/>
    </row>
    <row r="54" spans="1:34">
      <c r="A54" s="141" t="s">
        <v>180</v>
      </c>
      <c r="B54" s="145"/>
      <c r="C54" s="145"/>
      <c r="D54" s="145"/>
      <c r="E54" s="145"/>
      <c r="F54" s="145"/>
      <c r="G54" s="145">
        <v>5.9291632215238854</v>
      </c>
      <c r="H54" s="145"/>
      <c r="I54" s="145"/>
      <c r="J54" s="145">
        <v>7.3960975586026949</v>
      </c>
      <c r="K54" s="145">
        <v>5.3478230796075508</v>
      </c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>
        <v>5.87</v>
      </c>
      <c r="AA54" s="145"/>
      <c r="AB54" s="145"/>
      <c r="AC54" s="145"/>
      <c r="AD54" s="145"/>
      <c r="AE54" s="145"/>
      <c r="AF54" s="145"/>
      <c r="AG54" s="145"/>
      <c r="AH54" s="145"/>
    </row>
    <row r="55" spans="1:34">
      <c r="A55" s="141" t="s">
        <v>181</v>
      </c>
      <c r="B55" s="145"/>
      <c r="C55" s="145"/>
      <c r="D55" s="145"/>
      <c r="E55" s="145"/>
      <c r="F55" s="145"/>
      <c r="G55" s="145">
        <v>5.5351393293451085</v>
      </c>
      <c r="H55" s="145"/>
      <c r="I55" s="145"/>
      <c r="J55" s="145">
        <v>7.8004083926275394</v>
      </c>
      <c r="K55" s="145">
        <v>5.0041243811537841</v>
      </c>
      <c r="L55" s="145"/>
      <c r="M55" s="145"/>
      <c r="N55" s="145"/>
      <c r="O55" s="145"/>
      <c r="P55" s="145"/>
      <c r="Q55" s="145"/>
      <c r="R55" s="145"/>
      <c r="S55" s="145"/>
      <c r="T55" s="145"/>
      <c r="U55" s="145">
        <v>24.6</v>
      </c>
      <c r="V55" s="145"/>
      <c r="W55" s="145"/>
      <c r="X55" s="145"/>
      <c r="Y55" s="145"/>
      <c r="Z55" s="145">
        <v>5.96</v>
      </c>
      <c r="AA55" s="145"/>
      <c r="AB55" s="145"/>
      <c r="AC55" s="145"/>
      <c r="AD55" s="145"/>
      <c r="AE55" s="145"/>
      <c r="AF55" s="145"/>
      <c r="AG55" s="145"/>
      <c r="AH55" s="145"/>
    </row>
    <row r="56" spans="1:34">
      <c r="A56" s="141" t="s">
        <v>182</v>
      </c>
      <c r="B56" s="145"/>
      <c r="C56" s="145"/>
      <c r="D56" s="145"/>
      <c r="E56" s="145"/>
      <c r="F56" s="145"/>
      <c r="G56" s="145">
        <v>5.6366947922832535</v>
      </c>
      <c r="H56" s="145"/>
      <c r="I56" s="145"/>
      <c r="J56" s="145">
        <v>7.9396170643680612</v>
      </c>
      <c r="K56" s="145">
        <v>4.8615742457521858</v>
      </c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>
        <v>6.38</v>
      </c>
      <c r="AA56" s="145"/>
      <c r="AB56" s="145"/>
      <c r="AC56" s="145"/>
      <c r="AD56" s="145"/>
      <c r="AE56" s="145"/>
      <c r="AF56" s="145"/>
      <c r="AG56" s="145"/>
      <c r="AH56" s="145"/>
    </row>
    <row r="57" spans="1:34">
      <c r="A57" s="141" t="s">
        <v>183</v>
      </c>
      <c r="B57" s="145"/>
      <c r="C57" s="145"/>
      <c r="D57" s="145"/>
      <c r="E57" s="145"/>
      <c r="F57" s="145"/>
      <c r="G57" s="145">
        <v>5.7222655850729032</v>
      </c>
      <c r="H57" s="145"/>
      <c r="I57" s="145"/>
      <c r="J57" s="145">
        <v>7.9498881919223026</v>
      </c>
      <c r="K57" s="145">
        <v>4.9345172816185254</v>
      </c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>
        <v>6.44</v>
      </c>
      <c r="AA57" s="145"/>
      <c r="AB57" s="145"/>
      <c r="AC57" s="145"/>
      <c r="AD57" s="145"/>
      <c r="AE57" s="145"/>
      <c r="AF57" s="145"/>
      <c r="AG57" s="145"/>
      <c r="AH57" s="145"/>
    </row>
    <row r="58" spans="1:34">
      <c r="A58" s="141" t="s">
        <v>184</v>
      </c>
      <c r="B58" s="145"/>
      <c r="C58" s="145"/>
      <c r="D58" s="145"/>
      <c r="E58" s="145"/>
      <c r="F58" s="145"/>
      <c r="G58" s="145">
        <v>5.3721684981600673</v>
      </c>
      <c r="H58" s="145"/>
      <c r="I58" s="145"/>
      <c r="J58" s="145">
        <v>8.2260911247288817</v>
      </c>
      <c r="K58" s="145">
        <v>4.8350697823571362</v>
      </c>
      <c r="L58" s="145"/>
      <c r="M58" s="145"/>
      <c r="N58" s="145"/>
      <c r="O58" s="145"/>
      <c r="P58" s="145"/>
      <c r="Q58" s="145"/>
      <c r="R58" s="145"/>
      <c r="S58" s="145"/>
      <c r="T58" s="145"/>
      <c r="U58" s="145">
        <v>27.3</v>
      </c>
      <c r="V58" s="145"/>
      <c r="W58" s="145"/>
      <c r="X58" s="145"/>
      <c r="Y58" s="145"/>
      <c r="Z58" s="145">
        <v>6.09</v>
      </c>
      <c r="AA58" s="145"/>
      <c r="AB58" s="145"/>
      <c r="AC58" s="145"/>
      <c r="AD58" s="145"/>
      <c r="AE58" s="145"/>
      <c r="AF58" s="145"/>
      <c r="AG58" s="145"/>
      <c r="AH58" s="145"/>
    </row>
    <row r="59" spans="1:34">
      <c r="A59" s="141" t="s">
        <v>185</v>
      </c>
      <c r="B59" s="145"/>
      <c r="C59" s="145"/>
      <c r="D59" s="145"/>
      <c r="E59" s="145"/>
      <c r="F59" s="145"/>
      <c r="G59" s="145">
        <v>5.6284472126174911</v>
      </c>
      <c r="H59" s="145"/>
      <c r="I59" s="145"/>
      <c r="J59" s="145">
        <v>8.4560925437520158</v>
      </c>
      <c r="K59" s="145">
        <v>4.3737910275319622</v>
      </c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>
        <v>6.45</v>
      </c>
      <c r="AA59" s="145"/>
      <c r="AB59" s="145"/>
      <c r="AC59" s="145"/>
      <c r="AD59" s="145"/>
      <c r="AE59" s="145"/>
      <c r="AF59" s="145"/>
      <c r="AG59" s="145"/>
      <c r="AH59" s="145"/>
    </row>
    <row r="60" spans="1:34">
      <c r="A60" s="141" t="s">
        <v>186</v>
      </c>
      <c r="B60" s="145"/>
      <c r="C60" s="145"/>
      <c r="D60" s="145"/>
      <c r="E60" s="145"/>
      <c r="F60" s="145"/>
      <c r="G60" s="145">
        <v>5.788799080418559</v>
      </c>
      <c r="H60" s="145"/>
      <c r="I60" s="145"/>
      <c r="J60" s="145">
        <v>8.9790813548894715</v>
      </c>
      <c r="K60" s="145">
        <v>4.3530073351450094</v>
      </c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>
        <v>6.72</v>
      </c>
      <c r="AA60" s="145"/>
      <c r="AB60" s="145"/>
      <c r="AC60" s="145"/>
      <c r="AD60" s="145"/>
      <c r="AE60" s="145"/>
      <c r="AF60" s="145"/>
      <c r="AG60" s="145"/>
      <c r="AH60" s="145"/>
    </row>
    <row r="61" spans="1:34">
      <c r="A61" s="141" t="s">
        <v>187</v>
      </c>
      <c r="B61" s="145"/>
      <c r="C61" s="145"/>
      <c r="D61" s="145"/>
      <c r="E61" s="145"/>
      <c r="F61" s="145"/>
      <c r="G61" s="145">
        <v>6.032752235261559</v>
      </c>
      <c r="H61" s="145"/>
      <c r="I61" s="145"/>
      <c r="J61" s="145">
        <v>9.2851453039245051</v>
      </c>
      <c r="K61" s="145">
        <v>4.2085676395981935</v>
      </c>
      <c r="L61" s="145"/>
      <c r="M61" s="145"/>
      <c r="N61" s="145"/>
      <c r="O61" s="145"/>
      <c r="P61" s="145"/>
      <c r="Q61" s="145"/>
      <c r="R61" s="145"/>
      <c r="S61" s="145"/>
      <c r="T61" s="145"/>
      <c r="U61" s="145">
        <v>22.4</v>
      </c>
      <c r="V61" s="145"/>
      <c r="W61" s="145"/>
      <c r="X61" s="145"/>
      <c r="Y61" s="145"/>
      <c r="Z61" s="145">
        <v>6.67</v>
      </c>
      <c r="AA61" s="145"/>
      <c r="AB61" s="145"/>
      <c r="AC61" s="145"/>
      <c r="AD61" s="145"/>
      <c r="AE61" s="145"/>
      <c r="AF61" s="145"/>
      <c r="AG61" s="145"/>
      <c r="AH61" s="145"/>
    </row>
    <row r="62" spans="1:34">
      <c r="A62" s="141" t="s">
        <v>188</v>
      </c>
      <c r="B62" s="145"/>
      <c r="C62" s="145"/>
      <c r="D62" s="145"/>
      <c r="E62" s="145"/>
      <c r="F62" s="145"/>
      <c r="G62" s="145">
        <v>5.6611647313667959</v>
      </c>
      <c r="H62" s="145"/>
      <c r="I62" s="145"/>
      <c r="J62" s="145">
        <v>10.361982962569716</v>
      </c>
      <c r="K62" s="145">
        <v>4.1550649625500631</v>
      </c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>
        <v>6.99</v>
      </c>
      <c r="AA62" s="145"/>
      <c r="AB62" s="145"/>
      <c r="AC62" s="145"/>
      <c r="AD62" s="145"/>
      <c r="AE62" s="145"/>
      <c r="AF62" s="145"/>
      <c r="AG62" s="145"/>
      <c r="AH62" s="145"/>
    </row>
    <row r="63" spans="1:34">
      <c r="A63" s="141" t="s">
        <v>189</v>
      </c>
      <c r="B63" s="145"/>
      <c r="C63" s="145"/>
      <c r="D63" s="145"/>
      <c r="E63" s="145"/>
      <c r="F63" s="145"/>
      <c r="G63" s="145">
        <v>5.9782333018372675</v>
      </c>
      <c r="H63" s="145"/>
      <c r="I63" s="145"/>
      <c r="J63" s="145">
        <v>11.139786741351333</v>
      </c>
      <c r="K63" s="145">
        <v>4.3551464457299103</v>
      </c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>
        <v>7.33</v>
      </c>
      <c r="AA63" s="145"/>
      <c r="AB63" s="145"/>
      <c r="AC63" s="145"/>
      <c r="AD63" s="145"/>
      <c r="AE63" s="145"/>
      <c r="AF63" s="145"/>
      <c r="AG63" s="145"/>
      <c r="AH63" s="145"/>
    </row>
    <row r="64" spans="1:34" ht="12" thickBot="1">
      <c r="A64" s="150" t="s">
        <v>190</v>
      </c>
      <c r="B64" s="151"/>
      <c r="C64" s="151"/>
      <c r="D64" s="151"/>
      <c r="E64" s="151"/>
      <c r="F64" s="151"/>
      <c r="G64" s="151">
        <v>4.602663093829408</v>
      </c>
      <c r="H64" s="151"/>
      <c r="I64" s="151"/>
      <c r="J64" s="151">
        <v>10.798132999275728</v>
      </c>
      <c r="K64" s="151">
        <v>4.6698667575216017</v>
      </c>
      <c r="L64" s="151"/>
      <c r="M64" s="151"/>
      <c r="N64" s="151"/>
      <c r="O64" s="151"/>
      <c r="P64" s="151"/>
      <c r="Q64" s="151"/>
      <c r="R64" s="151"/>
      <c r="S64" s="151"/>
      <c r="T64" s="151">
        <v>4.440867918667819</v>
      </c>
      <c r="U64" s="151">
        <v>22.9</v>
      </c>
      <c r="V64" s="151"/>
      <c r="W64" s="151"/>
      <c r="X64" s="151"/>
      <c r="Y64" s="151"/>
      <c r="Z64" s="151">
        <v>7.02</v>
      </c>
      <c r="AA64" s="151"/>
      <c r="AB64" s="151"/>
      <c r="AC64" s="151"/>
      <c r="AD64" s="151"/>
      <c r="AE64" s="151"/>
      <c r="AF64" s="151"/>
      <c r="AG64" s="151">
        <v>12.98835705045278</v>
      </c>
      <c r="AH64" s="151"/>
    </row>
    <row r="65" spans="1:34">
      <c r="A65" s="141" t="s">
        <v>191</v>
      </c>
      <c r="B65" s="145"/>
      <c r="C65" s="145"/>
      <c r="D65" s="145"/>
      <c r="E65" s="145"/>
      <c r="F65" s="145"/>
      <c r="G65" s="145">
        <v>5.9802925706413017</v>
      </c>
      <c r="H65" s="145"/>
      <c r="I65" s="145">
        <v>1.528920341422803</v>
      </c>
      <c r="J65" s="145">
        <v>12.259738636546809</v>
      </c>
      <c r="K65" s="145">
        <v>4.1027667846143583</v>
      </c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>
        <v>8.35</v>
      </c>
      <c r="AA65" s="145"/>
      <c r="AB65" s="145"/>
      <c r="AC65" s="145"/>
      <c r="AD65" s="145"/>
      <c r="AE65" s="145"/>
      <c r="AF65" s="145"/>
      <c r="AG65" s="145">
        <v>14.392167056580885</v>
      </c>
      <c r="AH65" s="145"/>
    </row>
    <row r="66" spans="1:34">
      <c r="A66" s="141" t="s">
        <v>192</v>
      </c>
      <c r="B66" s="145"/>
      <c r="C66" s="145"/>
      <c r="D66" s="145"/>
      <c r="E66" s="145"/>
      <c r="F66" s="145"/>
      <c r="G66" s="145">
        <v>6.719171272183269</v>
      </c>
      <c r="H66" s="145"/>
      <c r="I66" s="145">
        <v>1.608511408735938</v>
      </c>
      <c r="J66" s="145">
        <v>13.121126490363949</v>
      </c>
      <c r="K66" s="145">
        <v>4.0509245602271289</v>
      </c>
      <c r="L66" s="145"/>
      <c r="M66" s="145"/>
      <c r="N66" s="145"/>
      <c r="O66" s="145"/>
      <c r="P66" s="145"/>
      <c r="Q66" s="145"/>
      <c r="R66" s="145"/>
      <c r="S66" s="145"/>
      <c r="T66" s="145">
        <v>5.544542426685271</v>
      </c>
      <c r="U66" s="145"/>
      <c r="V66" s="145"/>
      <c r="W66" s="145"/>
      <c r="X66" s="145"/>
      <c r="Y66" s="145"/>
      <c r="Z66" s="145">
        <v>9.2200000000000006</v>
      </c>
      <c r="AA66" s="145"/>
      <c r="AB66" s="145"/>
      <c r="AC66" s="145"/>
      <c r="AD66" s="145"/>
      <c r="AE66" s="145"/>
      <c r="AF66" s="145"/>
      <c r="AG66" s="145">
        <v>15.042336270952134</v>
      </c>
      <c r="AH66" s="145"/>
    </row>
    <row r="67" spans="1:34">
      <c r="A67" s="141" t="s">
        <v>193</v>
      </c>
      <c r="B67" s="145"/>
      <c r="C67" s="145"/>
      <c r="D67" s="145"/>
      <c r="E67" s="145"/>
      <c r="F67" s="145"/>
      <c r="G67" s="145">
        <v>6.8148372020873218</v>
      </c>
      <c r="H67" s="145"/>
      <c r="I67" s="145">
        <v>1.6976961937662829</v>
      </c>
      <c r="J67" s="145">
        <v>13.875984209423335</v>
      </c>
      <c r="K67" s="145">
        <v>5.4056662160791253</v>
      </c>
      <c r="L67" s="145"/>
      <c r="M67" s="145"/>
      <c r="N67" s="145"/>
      <c r="O67" s="145"/>
      <c r="P67" s="145"/>
      <c r="Q67" s="145"/>
      <c r="R67" s="145"/>
      <c r="S67" s="145"/>
      <c r="T67" s="145">
        <v>6.2073889185884434</v>
      </c>
      <c r="U67" s="145">
        <v>22.2</v>
      </c>
      <c r="V67" s="145"/>
      <c r="W67" s="145"/>
      <c r="X67" s="145"/>
      <c r="Y67" s="145">
        <v>12.57126508377363</v>
      </c>
      <c r="Z67" s="145">
        <v>9.41</v>
      </c>
      <c r="AA67" s="145"/>
      <c r="AB67" s="145"/>
      <c r="AC67" s="145"/>
      <c r="AD67" s="145"/>
      <c r="AE67" s="145"/>
      <c r="AF67" s="145"/>
      <c r="AG67" s="145">
        <v>13.778705636743215</v>
      </c>
      <c r="AH67" s="145"/>
    </row>
    <row r="68" spans="1:34">
      <c r="A68" s="141" t="s">
        <v>194</v>
      </c>
      <c r="B68" s="145"/>
      <c r="C68" s="145"/>
      <c r="D68" s="145"/>
      <c r="E68" s="145"/>
      <c r="F68" s="145"/>
      <c r="G68" s="145">
        <v>7.8667286562587968</v>
      </c>
      <c r="H68" s="145"/>
      <c r="I68" s="145">
        <v>1.7966361324262574</v>
      </c>
      <c r="J68" s="145">
        <v>14.85247830058313</v>
      </c>
      <c r="K68" s="145">
        <v>5.2351136693841251</v>
      </c>
      <c r="L68" s="145"/>
      <c r="M68" s="145"/>
      <c r="N68" s="145"/>
      <c r="O68" s="145"/>
      <c r="P68" s="145"/>
      <c r="Q68" s="145"/>
      <c r="R68" s="145"/>
      <c r="S68" s="145"/>
      <c r="T68" s="145">
        <v>6.9268866842860337</v>
      </c>
      <c r="U68" s="145"/>
      <c r="V68" s="145"/>
      <c r="W68" s="145"/>
      <c r="X68" s="145"/>
      <c r="Y68" s="145"/>
      <c r="Z68" s="145">
        <v>9.85</v>
      </c>
      <c r="AA68" s="145"/>
      <c r="AB68" s="145"/>
      <c r="AC68" s="145"/>
      <c r="AD68" s="145"/>
      <c r="AE68" s="145"/>
      <c r="AF68" s="145"/>
      <c r="AG68" s="145">
        <v>13.31759356418328</v>
      </c>
      <c r="AH68" s="145"/>
    </row>
    <row r="69" spans="1:34">
      <c r="A69" s="141" t="s">
        <v>195</v>
      </c>
      <c r="B69" s="145"/>
      <c r="C69" s="145"/>
      <c r="D69" s="145"/>
      <c r="E69" s="145"/>
      <c r="F69" s="145"/>
      <c r="G69" s="145">
        <v>7.6679893214290793</v>
      </c>
      <c r="H69" s="145"/>
      <c r="I69" s="145">
        <v>1.7336696541940966</v>
      </c>
      <c r="J69" s="145">
        <v>14.400519073280154</v>
      </c>
      <c r="K69" s="145">
        <v>5.3347150100928431</v>
      </c>
      <c r="L69" s="145"/>
      <c r="M69" s="145"/>
      <c r="N69" s="145"/>
      <c r="O69" s="145"/>
      <c r="P69" s="145"/>
      <c r="Q69" s="145"/>
      <c r="R69" s="145"/>
      <c r="S69" s="145"/>
      <c r="T69" s="145">
        <v>7.0728278083198024</v>
      </c>
      <c r="U69" s="145"/>
      <c r="V69" s="145"/>
      <c r="W69" s="145"/>
      <c r="X69" s="145"/>
      <c r="Y69" s="145"/>
      <c r="Z69" s="145">
        <v>10.29</v>
      </c>
      <c r="AA69" s="145"/>
      <c r="AB69" s="145"/>
      <c r="AC69" s="145"/>
      <c r="AD69" s="145"/>
      <c r="AE69" s="145"/>
      <c r="AF69" s="145"/>
      <c r="AG69" s="145">
        <v>13.449834811337158</v>
      </c>
      <c r="AH69" s="145"/>
    </row>
    <row r="70" spans="1:34">
      <c r="A70" s="141" t="s">
        <v>196</v>
      </c>
      <c r="B70" s="145"/>
      <c r="C70" s="145"/>
      <c r="D70" s="145"/>
      <c r="E70" s="145"/>
      <c r="F70" s="145"/>
      <c r="G70" s="145">
        <v>6.8846941229388099</v>
      </c>
      <c r="H70" s="145"/>
      <c r="I70" s="145">
        <v>1.7358575816329047</v>
      </c>
      <c r="J70" s="145">
        <v>13.784404563776857</v>
      </c>
      <c r="K70" s="145">
        <v>5.1287537917677541</v>
      </c>
      <c r="L70" s="145"/>
      <c r="M70" s="145"/>
      <c r="N70" s="145"/>
      <c r="O70" s="145"/>
      <c r="P70" s="145"/>
      <c r="Q70" s="145"/>
      <c r="R70" s="145"/>
      <c r="S70" s="145"/>
      <c r="T70" s="145">
        <v>7.0542394952977689</v>
      </c>
      <c r="U70" s="145">
        <v>13.1</v>
      </c>
      <c r="V70" s="145"/>
      <c r="W70" s="145"/>
      <c r="X70" s="145"/>
      <c r="Y70" s="145">
        <v>12.933419744327878</v>
      </c>
      <c r="Z70" s="145">
        <v>10.32</v>
      </c>
      <c r="AA70" s="145"/>
      <c r="AB70" s="145"/>
      <c r="AC70" s="145"/>
      <c r="AD70" s="145"/>
      <c r="AE70" s="145"/>
      <c r="AF70" s="145"/>
      <c r="AG70" s="145">
        <v>13.356582388840454</v>
      </c>
      <c r="AH70" s="145"/>
    </row>
    <row r="71" spans="1:34">
      <c r="A71" s="141" t="s">
        <v>197</v>
      </c>
      <c r="B71" s="145"/>
      <c r="C71" s="145"/>
      <c r="D71" s="145"/>
      <c r="E71" s="145"/>
      <c r="F71" s="145"/>
      <c r="G71" s="145">
        <v>7.3770590665813538</v>
      </c>
      <c r="H71" s="145"/>
      <c r="I71" s="145">
        <v>1.7181390242821373</v>
      </c>
      <c r="J71" s="145">
        <v>13.595323779789512</v>
      </c>
      <c r="K71" s="145">
        <v>3.9789568852302981</v>
      </c>
      <c r="L71" s="145"/>
      <c r="M71" s="145"/>
      <c r="N71" s="145"/>
      <c r="O71" s="145"/>
      <c r="P71" s="145"/>
      <c r="Q71" s="145"/>
      <c r="R71" s="145"/>
      <c r="S71" s="145"/>
      <c r="T71" s="145">
        <v>7.3628937395958713</v>
      </c>
      <c r="U71" s="145"/>
      <c r="V71" s="145"/>
      <c r="W71" s="145"/>
      <c r="X71" s="145"/>
      <c r="Y71" s="145"/>
      <c r="Z71" s="145">
        <v>10.09</v>
      </c>
      <c r="AA71" s="145"/>
      <c r="AB71" s="145"/>
      <c r="AC71" s="145"/>
      <c r="AD71" s="145"/>
      <c r="AE71" s="145"/>
      <c r="AF71" s="145"/>
      <c r="AG71" s="145">
        <v>13.680525164113785</v>
      </c>
      <c r="AH71" s="145"/>
    </row>
    <row r="72" spans="1:34">
      <c r="A72" s="141" t="s">
        <v>198</v>
      </c>
      <c r="B72" s="145"/>
      <c r="C72" s="145"/>
      <c r="D72" s="145"/>
      <c r="E72" s="145"/>
      <c r="F72" s="145"/>
      <c r="G72" s="145">
        <v>7.6433682886069647</v>
      </c>
      <c r="H72" s="145"/>
      <c r="I72" s="145">
        <v>1.7055643276710581</v>
      </c>
      <c r="J72" s="145">
        <v>13.653795585913677</v>
      </c>
      <c r="K72" s="145">
        <v>3.9097058662972786</v>
      </c>
      <c r="L72" s="145"/>
      <c r="M72" s="145"/>
      <c r="N72" s="145"/>
      <c r="O72" s="145"/>
      <c r="P72" s="145"/>
      <c r="Q72" s="145"/>
      <c r="R72" s="145"/>
      <c r="S72" s="145"/>
      <c r="T72" s="145">
        <v>7.3161576753453197</v>
      </c>
      <c r="U72" s="145"/>
      <c r="V72" s="145"/>
      <c r="W72" s="145"/>
      <c r="X72" s="145"/>
      <c r="Y72" s="145"/>
      <c r="Z72" s="145">
        <v>10.78</v>
      </c>
      <c r="AA72" s="145"/>
      <c r="AB72" s="145"/>
      <c r="AC72" s="145"/>
      <c r="AD72" s="145"/>
      <c r="AE72" s="145"/>
      <c r="AF72" s="145"/>
      <c r="AG72" s="145">
        <v>15.235844928677695</v>
      </c>
      <c r="AH72" s="145"/>
    </row>
    <row r="73" spans="1:34">
      <c r="A73" s="141" t="s">
        <v>199</v>
      </c>
      <c r="B73" s="145"/>
      <c r="C73" s="145"/>
      <c r="D73" s="145"/>
      <c r="E73" s="145"/>
      <c r="F73" s="145"/>
      <c r="G73" s="145">
        <v>7.6203244966823096</v>
      </c>
      <c r="H73" s="145"/>
      <c r="I73" s="145">
        <v>1.7060903640463447</v>
      </c>
      <c r="J73" s="145">
        <v>13.483666903534358</v>
      </c>
      <c r="K73" s="145">
        <v>3.6275522461633631</v>
      </c>
      <c r="L73" s="145"/>
      <c r="M73" s="145"/>
      <c r="N73" s="145"/>
      <c r="O73" s="145"/>
      <c r="P73" s="145"/>
      <c r="Q73" s="145"/>
      <c r="R73" s="145"/>
      <c r="S73" s="145"/>
      <c r="T73" s="145">
        <v>7.1229085283628466</v>
      </c>
      <c r="U73" s="145">
        <v>13.6</v>
      </c>
      <c r="V73" s="145"/>
      <c r="W73" s="145"/>
      <c r="X73" s="145"/>
      <c r="Y73" s="145">
        <v>14.550640294519646</v>
      </c>
      <c r="Z73" s="145">
        <v>8.67</v>
      </c>
      <c r="AA73" s="145"/>
      <c r="AB73" s="145"/>
      <c r="AC73" s="145"/>
      <c r="AD73" s="145"/>
      <c r="AE73" s="145"/>
      <c r="AF73" s="145"/>
      <c r="AG73" s="145">
        <v>15.647794373046198</v>
      </c>
      <c r="AH73" s="145"/>
    </row>
    <row r="74" spans="1:34">
      <c r="A74" s="141" t="s">
        <v>200</v>
      </c>
      <c r="B74" s="145"/>
      <c r="C74" s="145"/>
      <c r="D74" s="145"/>
      <c r="E74" s="145"/>
      <c r="F74" s="145"/>
      <c r="G74" s="145">
        <v>7.4800288776540924</v>
      </c>
      <c r="H74" s="145"/>
      <c r="I74" s="145">
        <v>1.6851457177572742</v>
      </c>
      <c r="J74" s="145">
        <v>14.463295501701037</v>
      </c>
      <c r="K74" s="145">
        <v>3.8628496499592311</v>
      </c>
      <c r="L74" s="145"/>
      <c r="M74" s="145"/>
      <c r="N74" s="145"/>
      <c r="O74" s="145"/>
      <c r="P74" s="145"/>
      <c r="Q74" s="145"/>
      <c r="R74" s="145"/>
      <c r="S74" s="145"/>
      <c r="T74" s="145">
        <v>7.4685170980490785</v>
      </c>
      <c r="U74" s="145"/>
      <c r="V74" s="145"/>
      <c r="W74" s="145"/>
      <c r="X74" s="145"/>
      <c r="Y74" s="145"/>
      <c r="Z74" s="145">
        <v>8.94</v>
      </c>
      <c r="AA74" s="145"/>
      <c r="AB74" s="145"/>
      <c r="AC74" s="145"/>
      <c r="AD74" s="145"/>
      <c r="AE74" s="145"/>
      <c r="AF74" s="145"/>
      <c r="AG74" s="145">
        <v>16.051075499185878</v>
      </c>
      <c r="AH74" s="145"/>
    </row>
    <row r="75" spans="1:34">
      <c r="A75" s="141" t="s">
        <v>201</v>
      </c>
      <c r="B75" s="145"/>
      <c r="C75" s="145"/>
      <c r="D75" s="145"/>
      <c r="E75" s="145"/>
      <c r="F75" s="145"/>
      <c r="G75" s="145">
        <v>7.8809920696700706</v>
      </c>
      <c r="H75" s="145"/>
      <c r="I75" s="145">
        <v>1.6939732791587139</v>
      </c>
      <c r="J75" s="145">
        <v>16.337404356015593</v>
      </c>
      <c r="K75" s="145">
        <v>3.4661543224981641</v>
      </c>
      <c r="L75" s="145"/>
      <c r="M75" s="145"/>
      <c r="N75" s="145"/>
      <c r="O75" s="145"/>
      <c r="P75" s="145"/>
      <c r="Q75" s="145"/>
      <c r="R75" s="145"/>
      <c r="S75" s="145"/>
      <c r="T75" s="145">
        <v>7.2587080871851946</v>
      </c>
      <c r="U75" s="145"/>
      <c r="V75" s="145"/>
      <c r="W75" s="145"/>
      <c r="X75" s="145"/>
      <c r="Y75" s="145"/>
      <c r="Z75" s="145">
        <v>9.16</v>
      </c>
      <c r="AA75" s="145"/>
      <c r="AB75" s="145"/>
      <c r="AC75" s="145"/>
      <c r="AD75" s="145"/>
      <c r="AE75" s="145"/>
      <c r="AF75" s="145"/>
      <c r="AG75" s="145">
        <v>15.997377479101788</v>
      </c>
      <c r="AH75" s="145"/>
    </row>
    <row r="76" spans="1:34" ht="12" thickBot="1">
      <c r="A76" s="150" t="s">
        <v>202</v>
      </c>
      <c r="B76" s="151"/>
      <c r="C76" s="151"/>
      <c r="D76" s="151"/>
      <c r="E76" s="151"/>
      <c r="F76" s="151"/>
      <c r="G76" s="151">
        <v>6.5698308612880352</v>
      </c>
      <c r="H76" s="151"/>
      <c r="I76" s="151">
        <v>1.6652726551170296</v>
      </c>
      <c r="J76" s="151">
        <v>13.579903083682526</v>
      </c>
      <c r="K76" s="151">
        <v>2.88077622719829</v>
      </c>
      <c r="L76" s="151"/>
      <c r="M76" s="151"/>
      <c r="N76" s="151">
        <v>41.078004686976897</v>
      </c>
      <c r="O76" s="151"/>
      <c r="P76" s="151"/>
      <c r="Q76" s="151"/>
      <c r="R76" s="151"/>
      <c r="S76" s="151"/>
      <c r="T76" s="151">
        <v>5.6865221041042666</v>
      </c>
      <c r="U76" s="151">
        <v>12.8</v>
      </c>
      <c r="V76" s="151"/>
      <c r="W76" s="151"/>
      <c r="X76" s="151"/>
      <c r="Y76" s="151">
        <v>14.771348303293749</v>
      </c>
      <c r="Z76" s="151">
        <v>8.33</v>
      </c>
      <c r="AA76" s="151"/>
      <c r="AB76" s="151"/>
      <c r="AC76" s="151"/>
      <c r="AD76" s="151"/>
      <c r="AE76" s="151"/>
      <c r="AF76" s="151"/>
      <c r="AG76" s="151">
        <v>16.237591800500365</v>
      </c>
      <c r="AH76" s="151"/>
    </row>
    <row r="77" spans="1:34">
      <c r="A77" s="141" t="s">
        <v>203</v>
      </c>
      <c r="B77" s="145"/>
      <c r="C77" s="145"/>
      <c r="D77" s="145"/>
      <c r="E77" s="145"/>
      <c r="F77" s="145"/>
      <c r="G77" s="145">
        <v>6.3254531684193553</v>
      </c>
      <c r="H77" s="145"/>
      <c r="I77" s="145">
        <v>1.7714619147745847</v>
      </c>
      <c r="J77" s="145">
        <v>13.109341861091913</v>
      </c>
      <c r="K77" s="145">
        <v>2.9669680901933044</v>
      </c>
      <c r="L77" s="145"/>
      <c r="M77" s="145"/>
      <c r="N77" s="145"/>
      <c r="O77" s="145"/>
      <c r="P77" s="145"/>
      <c r="Q77" s="145"/>
      <c r="R77" s="145"/>
      <c r="S77" s="145"/>
      <c r="T77" s="145">
        <v>6.2538711977470633</v>
      </c>
      <c r="U77" s="145"/>
      <c r="V77" s="145"/>
      <c r="W77" s="145"/>
      <c r="X77" s="145"/>
      <c r="Y77" s="145"/>
      <c r="Z77" s="145">
        <v>9.36</v>
      </c>
      <c r="AA77" s="145"/>
      <c r="AB77" s="145"/>
      <c r="AC77" s="145"/>
      <c r="AD77" s="145"/>
      <c r="AE77" s="145"/>
      <c r="AF77" s="145"/>
      <c r="AG77" s="145">
        <v>17.574678215818022</v>
      </c>
      <c r="AH77" s="145"/>
    </row>
    <row r="78" spans="1:34">
      <c r="A78" s="141" t="s">
        <v>204</v>
      </c>
      <c r="B78" s="145"/>
      <c r="C78" s="145"/>
      <c r="D78" s="145"/>
      <c r="E78" s="145"/>
      <c r="F78" s="145"/>
      <c r="G78" s="145">
        <v>7.1234480355406982</v>
      </c>
      <c r="H78" s="145"/>
      <c r="I78" s="145">
        <v>1.8028862576307554</v>
      </c>
      <c r="J78" s="145">
        <v>12.895633285800567</v>
      </c>
      <c r="K78" s="145">
        <v>2.9940097378135713</v>
      </c>
      <c r="L78" s="145"/>
      <c r="M78" s="145"/>
      <c r="N78" s="145"/>
      <c r="O78" s="145"/>
      <c r="P78" s="145"/>
      <c r="Q78" s="145"/>
      <c r="R78" s="145"/>
      <c r="S78" s="145"/>
      <c r="T78" s="145">
        <v>6.5638804313204915</v>
      </c>
      <c r="U78" s="145"/>
      <c r="V78" s="145"/>
      <c r="W78" s="145"/>
      <c r="X78" s="145"/>
      <c r="Y78" s="145"/>
      <c r="Z78" s="145">
        <v>9.9499999999999993</v>
      </c>
      <c r="AA78" s="145"/>
      <c r="AB78" s="145"/>
      <c r="AC78" s="145"/>
      <c r="AD78" s="145"/>
      <c r="AE78" s="145"/>
      <c r="AF78" s="145"/>
      <c r="AG78" s="145">
        <v>17.054200761565262</v>
      </c>
      <c r="AH78" s="145"/>
    </row>
    <row r="79" spans="1:34">
      <c r="A79" s="141" t="s">
        <v>205</v>
      </c>
      <c r="B79" s="145"/>
      <c r="C79" s="145"/>
      <c r="D79" s="145"/>
      <c r="E79" s="145"/>
      <c r="F79" s="145"/>
      <c r="G79" s="145">
        <v>7.3895008676206659</v>
      </c>
      <c r="H79" s="145">
        <v>10.1</v>
      </c>
      <c r="I79" s="145">
        <v>1.7935312816131397</v>
      </c>
      <c r="J79" s="145">
        <v>12.212466934629147</v>
      </c>
      <c r="K79" s="145">
        <v>2.9950071284083659</v>
      </c>
      <c r="L79" s="145"/>
      <c r="M79" s="145"/>
      <c r="N79" s="145">
        <v>48.212090035381799</v>
      </c>
      <c r="O79" s="145"/>
      <c r="P79" s="145"/>
      <c r="Q79" s="145"/>
      <c r="R79" s="145"/>
      <c r="S79" s="145"/>
      <c r="T79" s="145">
        <v>6.911841047993482</v>
      </c>
      <c r="U79" s="145">
        <v>12.2</v>
      </c>
      <c r="V79" s="145"/>
      <c r="W79" s="145"/>
      <c r="X79" s="145"/>
      <c r="Y79" s="145">
        <v>17.491051906690132</v>
      </c>
      <c r="Z79" s="145">
        <v>9.81</v>
      </c>
      <c r="AA79" s="145"/>
      <c r="AB79" s="145"/>
      <c r="AC79" s="145"/>
      <c r="AD79" s="145"/>
      <c r="AE79" s="145"/>
      <c r="AF79" s="145"/>
      <c r="AG79" s="145">
        <v>17.392010392984737</v>
      </c>
      <c r="AH79" s="152">
        <v>5.964022087514028</v>
      </c>
    </row>
    <row r="80" spans="1:34">
      <c r="A80" s="141" t="s">
        <v>206</v>
      </c>
      <c r="B80" s="145"/>
      <c r="C80" s="145"/>
      <c r="D80" s="145"/>
      <c r="E80" s="145"/>
      <c r="F80" s="145"/>
      <c r="G80" s="145">
        <v>7.6831881257660344</v>
      </c>
      <c r="H80" s="145">
        <v>10.199999999999999</v>
      </c>
      <c r="I80" s="145">
        <v>1.8074905185768251</v>
      </c>
      <c r="J80" s="145">
        <v>11.668891449750269</v>
      </c>
      <c r="K80" s="145">
        <v>3.1145374534051125</v>
      </c>
      <c r="L80" s="145"/>
      <c r="M80" s="145"/>
      <c r="N80" s="145"/>
      <c r="O80" s="145"/>
      <c r="P80" s="145"/>
      <c r="Q80" s="145"/>
      <c r="R80" s="145"/>
      <c r="S80" s="145"/>
      <c r="T80" s="145">
        <v>7.705446666770456</v>
      </c>
      <c r="U80" s="145"/>
      <c r="V80" s="145"/>
      <c r="W80" s="145"/>
      <c r="X80" s="145"/>
      <c r="Y80" s="145"/>
      <c r="Z80" s="145">
        <v>10.210000000000001</v>
      </c>
      <c r="AA80" s="145"/>
      <c r="AB80" s="145"/>
      <c r="AC80" s="145"/>
      <c r="AD80" s="145"/>
      <c r="AE80" s="145"/>
      <c r="AF80" s="145"/>
      <c r="AG80" s="145">
        <v>17.906693711967545</v>
      </c>
      <c r="AH80" s="145"/>
    </row>
    <row r="81" spans="1:34">
      <c r="A81" s="141" t="s">
        <v>207</v>
      </c>
      <c r="B81" s="145"/>
      <c r="C81" s="145"/>
      <c r="D81" s="145"/>
      <c r="E81" s="145"/>
      <c r="F81" s="145"/>
      <c r="G81" s="145">
        <v>8.4138927422047782</v>
      </c>
      <c r="H81" s="145">
        <v>9.9</v>
      </c>
      <c r="I81" s="145">
        <v>1.8435681771440777</v>
      </c>
      <c r="J81" s="145">
        <v>11.250572077635507</v>
      </c>
      <c r="K81" s="145">
        <v>3.2100395618100594</v>
      </c>
      <c r="L81" s="145"/>
      <c r="M81" s="145"/>
      <c r="N81" s="145"/>
      <c r="O81" s="145"/>
      <c r="P81" s="145"/>
      <c r="Q81" s="145"/>
      <c r="R81" s="145"/>
      <c r="S81" s="145"/>
      <c r="T81" s="145">
        <v>7.8627541887678429</v>
      </c>
      <c r="U81" s="145"/>
      <c r="V81" s="145"/>
      <c r="W81" s="145"/>
      <c r="X81" s="145"/>
      <c r="Y81" s="145"/>
      <c r="Z81" s="145">
        <v>10.28</v>
      </c>
      <c r="AA81" s="145"/>
      <c r="AB81" s="145"/>
      <c r="AC81" s="145"/>
      <c r="AD81" s="145"/>
      <c r="AE81" s="145"/>
      <c r="AF81" s="145"/>
      <c r="AG81" s="145">
        <v>18.181818181818183</v>
      </c>
      <c r="AH81" s="145"/>
    </row>
    <row r="82" spans="1:34">
      <c r="A82" s="141" t="s">
        <v>208</v>
      </c>
      <c r="B82" s="145"/>
      <c r="C82" s="145"/>
      <c r="D82" s="145"/>
      <c r="E82" s="145"/>
      <c r="F82" s="145"/>
      <c r="G82" s="145">
        <v>7.717191272094297</v>
      </c>
      <c r="H82" s="145">
        <v>9.9</v>
      </c>
      <c r="I82" s="145">
        <v>1.8928615928440158</v>
      </c>
      <c r="J82" s="145">
        <v>10.60041983148208</v>
      </c>
      <c r="K82" s="145">
        <v>3.2479749208263522</v>
      </c>
      <c r="L82" s="145"/>
      <c r="M82" s="145"/>
      <c r="N82" s="145">
        <v>49.580026795836339</v>
      </c>
      <c r="O82" s="145"/>
      <c r="P82" s="145"/>
      <c r="Q82" s="145"/>
      <c r="R82" s="145"/>
      <c r="S82" s="145"/>
      <c r="T82" s="145">
        <v>7.0277856697261445</v>
      </c>
      <c r="U82" s="145">
        <v>11.7</v>
      </c>
      <c r="V82" s="145"/>
      <c r="W82" s="145"/>
      <c r="X82" s="145"/>
      <c r="Y82" s="145">
        <v>18.229827715547192</v>
      </c>
      <c r="Z82" s="145">
        <v>10.050000000000001</v>
      </c>
      <c r="AA82" s="145"/>
      <c r="AB82" s="145"/>
      <c r="AC82" s="145"/>
      <c r="AD82" s="145"/>
      <c r="AE82" s="145"/>
      <c r="AF82" s="145"/>
      <c r="AG82" s="145">
        <v>21.308033911990311</v>
      </c>
      <c r="AH82" s="152">
        <v>5.4248938084691849</v>
      </c>
    </row>
    <row r="83" spans="1:34">
      <c r="A83" s="141" t="s">
        <v>209</v>
      </c>
      <c r="B83" s="145"/>
      <c r="C83" s="145"/>
      <c r="D83" s="145"/>
      <c r="E83" s="145"/>
      <c r="F83" s="145"/>
      <c r="G83" s="145">
        <v>8.2698706189032869</v>
      </c>
      <c r="H83" s="145">
        <v>10</v>
      </c>
      <c r="I83" s="145">
        <v>1.8910564447299407</v>
      </c>
      <c r="J83" s="145">
        <v>11.623378926242465</v>
      </c>
      <c r="K83" s="145">
        <v>3.4413585959480151</v>
      </c>
      <c r="L83" s="145"/>
      <c r="M83" s="145"/>
      <c r="N83" s="145"/>
      <c r="O83" s="145"/>
      <c r="P83" s="145"/>
      <c r="Q83" s="145"/>
      <c r="R83" s="145"/>
      <c r="S83" s="145"/>
      <c r="T83" s="145">
        <v>7.559403991965417</v>
      </c>
      <c r="U83" s="145"/>
      <c r="V83" s="145"/>
      <c r="W83" s="145"/>
      <c r="X83" s="145"/>
      <c r="Y83" s="145"/>
      <c r="Z83" s="145">
        <v>10.49</v>
      </c>
      <c r="AA83" s="145"/>
      <c r="AB83" s="145"/>
      <c r="AC83" s="145"/>
      <c r="AD83" s="145"/>
      <c r="AE83" s="145"/>
      <c r="AF83" s="145"/>
      <c r="AG83" s="145">
        <v>21.846427704506837</v>
      </c>
      <c r="AH83" s="145"/>
    </row>
    <row r="84" spans="1:34">
      <c r="A84" s="141" t="s">
        <v>210</v>
      </c>
      <c r="B84" s="145"/>
      <c r="C84" s="145"/>
      <c r="D84" s="145"/>
      <c r="E84" s="145"/>
      <c r="F84" s="145"/>
      <c r="G84" s="145">
        <v>9.2998451947052931</v>
      </c>
      <c r="H84" s="145">
        <v>9.6999999999999993</v>
      </c>
      <c r="I84" s="145">
        <v>1.8454491262160071</v>
      </c>
      <c r="J84" s="145">
        <v>12.048161143567913</v>
      </c>
      <c r="K84" s="145">
        <v>3.6413520030041986</v>
      </c>
      <c r="L84" s="145"/>
      <c r="M84" s="145"/>
      <c r="N84" s="145"/>
      <c r="O84" s="145"/>
      <c r="P84" s="145"/>
      <c r="Q84" s="145"/>
      <c r="R84" s="145"/>
      <c r="S84" s="145"/>
      <c r="T84" s="145">
        <v>7.7736607476568729</v>
      </c>
      <c r="U84" s="145"/>
      <c r="V84" s="145"/>
      <c r="W84" s="145"/>
      <c r="X84" s="145"/>
      <c r="Y84" s="145"/>
      <c r="Z84" s="145">
        <v>10.47</v>
      </c>
      <c r="AA84" s="145"/>
      <c r="AB84" s="145"/>
      <c r="AC84" s="145"/>
      <c r="AD84" s="145"/>
      <c r="AE84" s="145"/>
      <c r="AF84" s="145"/>
      <c r="AG84" s="145">
        <v>23.974483204134366</v>
      </c>
      <c r="AH84" s="145"/>
    </row>
    <row r="85" spans="1:34">
      <c r="A85" s="141" t="s">
        <v>211</v>
      </c>
      <c r="B85" s="145"/>
      <c r="C85" s="145"/>
      <c r="D85" s="145"/>
      <c r="E85" s="145"/>
      <c r="F85" s="145"/>
      <c r="G85" s="145">
        <v>10.019565683563323</v>
      </c>
      <c r="H85" s="145">
        <v>7.4</v>
      </c>
      <c r="I85" s="145">
        <v>1.8919249266532128</v>
      </c>
      <c r="J85" s="145">
        <v>12.348516274613351</v>
      </c>
      <c r="K85" s="145">
        <v>3.6470842796734351</v>
      </c>
      <c r="L85" s="145"/>
      <c r="M85" s="145"/>
      <c r="N85" s="145">
        <v>51.528747510901617</v>
      </c>
      <c r="O85" s="145"/>
      <c r="P85" s="145"/>
      <c r="Q85" s="145"/>
      <c r="R85" s="145"/>
      <c r="S85" s="145"/>
      <c r="T85" s="145">
        <v>8.1740688885576045</v>
      </c>
      <c r="U85" s="145">
        <v>11.4</v>
      </c>
      <c r="V85" s="145"/>
      <c r="W85" s="145"/>
      <c r="X85" s="145"/>
      <c r="Y85" s="145">
        <v>18.890452908222422</v>
      </c>
      <c r="Z85" s="145">
        <v>10.34</v>
      </c>
      <c r="AA85" s="145"/>
      <c r="AB85" s="145"/>
      <c r="AC85" s="145"/>
      <c r="AD85" s="145"/>
      <c r="AE85" s="145"/>
      <c r="AF85" s="145"/>
      <c r="AG85" s="145">
        <v>21.487736228387615</v>
      </c>
      <c r="AH85" s="152">
        <v>5.5697115511168906</v>
      </c>
    </row>
    <row r="86" spans="1:34">
      <c r="A86" s="141" t="s">
        <v>212</v>
      </c>
      <c r="B86" s="145"/>
      <c r="C86" s="145"/>
      <c r="D86" s="145"/>
      <c r="E86" s="145"/>
      <c r="F86" s="145"/>
      <c r="G86" s="145">
        <v>10.905972141846688</v>
      </c>
      <c r="H86" s="145">
        <v>6.7</v>
      </c>
      <c r="I86" s="145">
        <v>1.872787199061918</v>
      </c>
      <c r="J86" s="145">
        <v>11.576686451635302</v>
      </c>
      <c r="K86" s="145">
        <v>3.5820189385961139</v>
      </c>
      <c r="L86" s="145"/>
      <c r="M86" s="145"/>
      <c r="N86" s="145"/>
      <c r="O86" s="145"/>
      <c r="P86" s="145"/>
      <c r="Q86" s="145"/>
      <c r="R86" s="145"/>
      <c r="S86" s="145"/>
      <c r="T86" s="145">
        <v>7.6986062105999036</v>
      </c>
      <c r="U86" s="145"/>
      <c r="V86" s="145"/>
      <c r="W86" s="145"/>
      <c r="X86" s="145"/>
      <c r="Y86" s="145"/>
      <c r="Z86" s="145">
        <v>10.07</v>
      </c>
      <c r="AA86" s="145"/>
      <c r="AB86" s="145"/>
      <c r="AC86" s="145"/>
      <c r="AD86" s="145"/>
      <c r="AE86" s="145"/>
      <c r="AF86" s="145"/>
      <c r="AG86" s="145">
        <v>20.623888799094878</v>
      </c>
      <c r="AH86" s="145"/>
    </row>
    <row r="87" spans="1:34">
      <c r="A87" s="141" t="s">
        <v>213</v>
      </c>
      <c r="B87" s="145"/>
      <c r="C87" s="145"/>
      <c r="D87" s="145"/>
      <c r="E87" s="145"/>
      <c r="F87" s="145"/>
      <c r="G87" s="145">
        <v>11.531218443034426</v>
      </c>
      <c r="H87" s="145">
        <v>6.7</v>
      </c>
      <c r="I87" s="145">
        <v>1.8520198840823219</v>
      </c>
      <c r="J87" s="145">
        <v>11.553458672131645</v>
      </c>
      <c r="K87" s="145">
        <v>3.4786369878670675</v>
      </c>
      <c r="L87" s="145"/>
      <c r="M87" s="145"/>
      <c r="N87" s="145"/>
      <c r="O87" s="145"/>
      <c r="P87" s="145"/>
      <c r="Q87" s="145"/>
      <c r="R87" s="145"/>
      <c r="S87" s="145"/>
      <c r="T87" s="145">
        <v>7.9765140837764674</v>
      </c>
      <c r="U87" s="145"/>
      <c r="V87" s="145"/>
      <c r="W87" s="145"/>
      <c r="X87" s="145"/>
      <c r="Y87" s="145"/>
      <c r="Z87" s="145">
        <v>9.94</v>
      </c>
      <c r="AA87" s="145"/>
      <c r="AB87" s="145"/>
      <c r="AC87" s="145"/>
      <c r="AD87" s="145"/>
      <c r="AE87" s="145"/>
      <c r="AF87" s="145"/>
      <c r="AG87" s="145">
        <v>21.024734982332156</v>
      </c>
      <c r="AH87" s="145"/>
    </row>
    <row r="88" spans="1:34" ht="12" thickBot="1">
      <c r="A88" s="150" t="s">
        <v>214</v>
      </c>
      <c r="B88" s="151"/>
      <c r="C88" s="151"/>
      <c r="D88" s="151"/>
      <c r="E88" s="151"/>
      <c r="F88" s="151"/>
      <c r="G88" s="151">
        <v>10.293456970488952</v>
      </c>
      <c r="H88" s="151">
        <v>6.7</v>
      </c>
      <c r="I88" s="151">
        <v>1.734299113162411</v>
      </c>
      <c r="J88" s="151">
        <v>11.002897879039606</v>
      </c>
      <c r="K88" s="151">
        <v>3.5905575711776883</v>
      </c>
      <c r="L88" s="151"/>
      <c r="M88" s="151"/>
      <c r="N88" s="151">
        <v>48.526950117174415</v>
      </c>
      <c r="O88" s="151"/>
      <c r="P88" s="151"/>
      <c r="Q88" s="151"/>
      <c r="R88" s="151"/>
      <c r="S88" s="151"/>
      <c r="T88" s="151">
        <v>6.5780021676452529</v>
      </c>
      <c r="U88" s="151">
        <v>9.6</v>
      </c>
      <c r="V88" s="151">
        <v>8.9633958421545881</v>
      </c>
      <c r="W88" s="151"/>
      <c r="X88" s="151"/>
      <c r="Y88" s="151">
        <v>16.198998995509221</v>
      </c>
      <c r="Z88" s="151">
        <v>9.69</v>
      </c>
      <c r="AA88" s="151">
        <v>2.6357503374442923</v>
      </c>
      <c r="AB88" s="151"/>
      <c r="AC88" s="151"/>
      <c r="AD88" s="151"/>
      <c r="AE88" s="151"/>
      <c r="AF88" s="151"/>
      <c r="AG88" s="151">
        <v>22.100564305567254</v>
      </c>
      <c r="AH88" s="153">
        <v>5.3491181455625281</v>
      </c>
    </row>
    <row r="89" spans="1:34">
      <c r="A89" s="141" t="s">
        <v>215</v>
      </c>
      <c r="B89" s="145"/>
      <c r="C89" s="145"/>
      <c r="D89" s="145"/>
      <c r="E89" s="145"/>
      <c r="F89" s="145"/>
      <c r="G89" s="145">
        <v>10.654970637101995</v>
      </c>
      <c r="H89" s="145">
        <v>6.6</v>
      </c>
      <c r="I89" s="145">
        <v>1.8006678595293677</v>
      </c>
      <c r="J89" s="145">
        <v>11.50879112591438</v>
      </c>
      <c r="K89" s="145">
        <v>3.6816865981363729</v>
      </c>
      <c r="L89" s="145"/>
      <c r="M89" s="145"/>
      <c r="N89" s="145"/>
      <c r="O89" s="145"/>
      <c r="P89" s="145"/>
      <c r="Q89" s="145"/>
      <c r="R89" s="145"/>
      <c r="S89" s="145"/>
      <c r="T89" s="154">
        <v>6.4274785018438392</v>
      </c>
      <c r="U89" s="154"/>
      <c r="V89" s="145">
        <v>9.0714588818045971</v>
      </c>
      <c r="W89" s="145"/>
      <c r="X89" s="145"/>
      <c r="Y89" s="145"/>
      <c r="Z89" s="145">
        <v>10.54</v>
      </c>
      <c r="AA89" s="145">
        <v>2.9510061699408214</v>
      </c>
      <c r="AB89" s="145"/>
      <c r="AC89" s="145"/>
      <c r="AD89" s="145"/>
      <c r="AE89" s="145"/>
      <c r="AF89" s="145"/>
      <c r="AG89" s="145">
        <v>22.564445932373619</v>
      </c>
      <c r="AH89" s="145"/>
    </row>
    <row r="90" spans="1:34">
      <c r="A90" s="141" t="s">
        <v>216</v>
      </c>
      <c r="B90" s="145"/>
      <c r="C90" s="145"/>
      <c r="D90" s="145"/>
      <c r="E90" s="145"/>
      <c r="F90" s="145"/>
      <c r="G90" s="145">
        <v>12.05193574106962</v>
      </c>
      <c r="H90" s="145">
        <v>6.5</v>
      </c>
      <c r="I90" s="145">
        <v>1.8219078996486104</v>
      </c>
      <c r="J90" s="145">
        <v>11.455721112783483</v>
      </c>
      <c r="K90" s="145">
        <v>3.4644967589914679</v>
      </c>
      <c r="L90" s="145"/>
      <c r="M90" s="145"/>
      <c r="N90" s="145"/>
      <c r="O90" s="145"/>
      <c r="P90" s="145"/>
      <c r="Q90" s="145"/>
      <c r="R90" s="145"/>
      <c r="S90" s="145"/>
      <c r="T90" s="154">
        <v>6.6188306328107256</v>
      </c>
      <c r="U90" s="154"/>
      <c r="V90" s="145">
        <v>9.1709383015007813</v>
      </c>
      <c r="W90" s="145"/>
      <c r="X90" s="145"/>
      <c r="Y90" s="145"/>
      <c r="Z90" s="145">
        <v>10.33</v>
      </c>
      <c r="AA90" s="145">
        <v>3.3250336288648583</v>
      </c>
      <c r="AB90" s="145"/>
      <c r="AC90" s="145"/>
      <c r="AD90" s="145"/>
      <c r="AE90" s="145"/>
      <c r="AF90" s="145"/>
      <c r="AG90" s="145">
        <v>23.62907937567816</v>
      </c>
      <c r="AH90" s="145"/>
    </row>
    <row r="91" spans="1:34">
      <c r="A91" s="141" t="s">
        <v>217</v>
      </c>
      <c r="B91" s="145"/>
      <c r="C91" s="145"/>
      <c r="D91" s="145"/>
      <c r="E91" s="145"/>
      <c r="F91" s="145"/>
      <c r="G91" s="145">
        <v>12.697407527319694</v>
      </c>
      <c r="H91" s="145">
        <v>6.5</v>
      </c>
      <c r="I91" s="145">
        <v>1.8330537912277116</v>
      </c>
      <c r="J91" s="145">
        <v>11.402916432739159</v>
      </c>
      <c r="K91" s="145">
        <v>3.411215708382425</v>
      </c>
      <c r="L91" s="145"/>
      <c r="M91" s="145"/>
      <c r="N91" s="145">
        <v>45.082217583872115</v>
      </c>
      <c r="O91" s="145">
        <v>5.5258750175434468</v>
      </c>
      <c r="P91" s="145"/>
      <c r="Q91" s="145"/>
      <c r="R91" s="145"/>
      <c r="S91" s="145"/>
      <c r="T91" s="154">
        <v>6.8558817281529461</v>
      </c>
      <c r="U91" s="154">
        <v>9</v>
      </c>
      <c r="V91" s="145">
        <v>8.5083290081205387</v>
      </c>
      <c r="W91" s="145"/>
      <c r="X91" s="145"/>
      <c r="Y91" s="145">
        <v>17.83584447949266</v>
      </c>
      <c r="Z91" s="145">
        <v>10.31</v>
      </c>
      <c r="AA91" s="145">
        <v>2.832145579860025</v>
      </c>
      <c r="AB91" s="145"/>
      <c r="AC91" s="145"/>
      <c r="AD91" s="145"/>
      <c r="AE91" s="145"/>
      <c r="AF91" s="145"/>
      <c r="AG91" s="145">
        <v>23.684210526315788</v>
      </c>
      <c r="AH91" s="152">
        <v>5.7572086487445411</v>
      </c>
    </row>
    <row r="92" spans="1:34">
      <c r="A92" s="141" t="s">
        <v>218</v>
      </c>
      <c r="B92" s="145"/>
      <c r="C92" s="145"/>
      <c r="D92" s="145"/>
      <c r="E92" s="145"/>
      <c r="F92" s="145"/>
      <c r="G92" s="145">
        <v>13.380936605346347</v>
      </c>
      <c r="H92" s="145">
        <v>6.6</v>
      </c>
      <c r="I92" s="145">
        <v>1.87952095716224</v>
      </c>
      <c r="J92" s="145">
        <v>11.31655341420568</v>
      </c>
      <c r="K92" s="145">
        <v>2.9942554447300527</v>
      </c>
      <c r="L92" s="145"/>
      <c r="M92" s="145"/>
      <c r="N92" s="145"/>
      <c r="O92" s="145"/>
      <c r="P92" s="145"/>
      <c r="Q92" s="145"/>
      <c r="R92" s="145"/>
      <c r="S92" s="145"/>
      <c r="T92" s="154">
        <v>7.0403592454436561</v>
      </c>
      <c r="U92" s="154"/>
      <c r="V92" s="145">
        <v>8.5185484654467594</v>
      </c>
      <c r="W92" s="145"/>
      <c r="X92" s="145"/>
      <c r="Y92" s="145"/>
      <c r="Z92" s="145">
        <v>10.48</v>
      </c>
      <c r="AA92" s="145">
        <v>3.2333216675931129</v>
      </c>
      <c r="AB92" s="145"/>
      <c r="AC92" s="145"/>
      <c r="AD92" s="145"/>
      <c r="AE92" s="145"/>
      <c r="AF92" s="145"/>
      <c r="AG92" s="145">
        <v>24.336920599949156</v>
      </c>
      <c r="AH92" s="145"/>
    </row>
    <row r="93" spans="1:34">
      <c r="A93" s="141" t="s">
        <v>219</v>
      </c>
      <c r="B93" s="145"/>
      <c r="C93" s="145"/>
      <c r="D93" s="145"/>
      <c r="E93" s="145"/>
      <c r="F93" s="145"/>
      <c r="G93" s="145">
        <v>14.045241801327723</v>
      </c>
      <c r="H93" s="145">
        <v>6.6</v>
      </c>
      <c r="I93" s="145">
        <v>1.8553361345674777</v>
      </c>
      <c r="J93" s="145">
        <v>11.048519000497755</v>
      </c>
      <c r="K93" s="145">
        <v>2.9343313431997409</v>
      </c>
      <c r="L93" s="145"/>
      <c r="M93" s="145"/>
      <c r="N93" s="145"/>
      <c r="O93" s="145"/>
      <c r="P93" s="145"/>
      <c r="Q93" s="145"/>
      <c r="R93" s="145"/>
      <c r="S93" s="145"/>
      <c r="T93" s="154">
        <v>7.360433152350855</v>
      </c>
      <c r="U93" s="154"/>
      <c r="V93" s="145">
        <v>8.413031005703413</v>
      </c>
      <c r="W93" s="145"/>
      <c r="X93" s="145"/>
      <c r="Y93" s="145"/>
      <c r="Z93" s="145">
        <v>10.220000000000001</v>
      </c>
      <c r="AA93" s="145">
        <v>3.9886694171376247</v>
      </c>
      <c r="AB93" s="145"/>
      <c r="AC93" s="145"/>
      <c r="AD93" s="145"/>
      <c r="AE93" s="145"/>
      <c r="AF93" s="145"/>
      <c r="AG93" s="145">
        <v>25.034211426616487</v>
      </c>
      <c r="AH93" s="145"/>
    </row>
    <row r="94" spans="1:34">
      <c r="A94" s="141" t="s">
        <v>220</v>
      </c>
      <c r="B94" s="145"/>
      <c r="C94" s="145"/>
      <c r="D94" s="145"/>
      <c r="E94" s="145"/>
      <c r="F94" s="145"/>
      <c r="G94" s="145">
        <v>13.990161449354069</v>
      </c>
      <c r="H94" s="145">
        <v>4.7</v>
      </c>
      <c r="I94" s="145">
        <v>1.8420818124284846</v>
      </c>
      <c r="J94" s="145">
        <v>10.709935271989696</v>
      </c>
      <c r="K94" s="145">
        <v>2.7232832519146108</v>
      </c>
      <c r="L94" s="145"/>
      <c r="M94" s="145"/>
      <c r="N94" s="145">
        <v>41.835984731738549</v>
      </c>
      <c r="O94" s="145">
        <v>5.2304941309298743</v>
      </c>
      <c r="P94" s="145"/>
      <c r="Q94" s="145"/>
      <c r="R94" s="145"/>
      <c r="S94" s="145"/>
      <c r="T94" s="154">
        <v>6.5277691021824653</v>
      </c>
      <c r="U94" s="154">
        <v>8.8000000000000007</v>
      </c>
      <c r="V94" s="145">
        <v>8.0468194063691119</v>
      </c>
      <c r="W94" s="145"/>
      <c r="X94" s="145"/>
      <c r="Y94" s="145">
        <v>17.193547091493404</v>
      </c>
      <c r="Z94" s="145">
        <v>9.8800000000000008</v>
      </c>
      <c r="AA94" s="145">
        <v>2.8210282647177096</v>
      </c>
      <c r="AB94" s="145"/>
      <c r="AC94" s="145"/>
      <c r="AD94" s="145"/>
      <c r="AE94" s="145"/>
      <c r="AF94" s="145"/>
      <c r="AG94" s="145">
        <v>24.68033982665408</v>
      </c>
      <c r="AH94" s="152">
        <v>6.2247982874867445</v>
      </c>
    </row>
    <row r="95" spans="1:34">
      <c r="A95" s="141" t="s">
        <v>221</v>
      </c>
      <c r="B95" s="145"/>
      <c r="C95" s="145"/>
      <c r="D95" s="145"/>
      <c r="E95" s="145"/>
      <c r="F95" s="145"/>
      <c r="G95" s="145">
        <v>14.634530030470586</v>
      </c>
      <c r="H95" s="145">
        <v>4.2</v>
      </c>
      <c r="I95" s="145">
        <v>1.8400113675995109</v>
      </c>
      <c r="J95" s="145">
        <v>10.817707718248462</v>
      </c>
      <c r="K95" s="145">
        <v>2.8363588389141823</v>
      </c>
      <c r="L95" s="145"/>
      <c r="M95" s="145"/>
      <c r="N95" s="145"/>
      <c r="O95" s="145"/>
      <c r="P95" s="145"/>
      <c r="Q95" s="145"/>
      <c r="R95" s="145"/>
      <c r="S95" s="145"/>
      <c r="T95" s="154">
        <v>7.0576907426264244</v>
      </c>
      <c r="U95" s="154"/>
      <c r="V95" s="145">
        <v>7.9613829606749951</v>
      </c>
      <c r="W95" s="145"/>
      <c r="X95" s="145"/>
      <c r="Y95" s="145"/>
      <c r="Z95" s="145">
        <v>9.99</v>
      </c>
      <c r="AA95" s="145">
        <v>3.2424739746232465</v>
      </c>
      <c r="AB95" s="145"/>
      <c r="AC95" s="145"/>
      <c r="AD95" s="145"/>
      <c r="AE95" s="145"/>
      <c r="AF95" s="145"/>
      <c r="AG95" s="145">
        <v>24.310344827586206</v>
      </c>
      <c r="AH95" s="145"/>
    </row>
    <row r="96" spans="1:34">
      <c r="A96" s="141" t="s">
        <v>222</v>
      </c>
      <c r="B96" s="145"/>
      <c r="C96" s="145"/>
      <c r="D96" s="145"/>
      <c r="E96" s="145"/>
      <c r="F96" s="145"/>
      <c r="G96" s="145">
        <v>15.701714849097446</v>
      </c>
      <c r="H96" s="145">
        <v>4.2</v>
      </c>
      <c r="I96" s="145">
        <v>1.8365449086737022</v>
      </c>
      <c r="J96" s="145">
        <v>10.812361531012266</v>
      </c>
      <c r="K96" s="145">
        <v>2.6642874320622183</v>
      </c>
      <c r="L96" s="145"/>
      <c r="M96" s="145"/>
      <c r="N96" s="145"/>
      <c r="O96" s="145"/>
      <c r="P96" s="145"/>
      <c r="Q96" s="145"/>
      <c r="R96" s="145"/>
      <c r="S96" s="145"/>
      <c r="T96" s="145">
        <v>7.14876253857914</v>
      </c>
      <c r="U96" s="145"/>
      <c r="V96" s="145">
        <v>7.8802908628315347</v>
      </c>
      <c r="W96" s="145"/>
      <c r="X96" s="145"/>
      <c r="Y96" s="145"/>
      <c r="Z96" s="145">
        <v>10.039999999999999</v>
      </c>
      <c r="AA96" s="145">
        <v>2.967100354858633</v>
      </c>
      <c r="AB96" s="145"/>
      <c r="AC96" s="145"/>
      <c r="AD96" s="145"/>
      <c r="AE96" s="145"/>
      <c r="AF96" s="145"/>
      <c r="AG96" s="145">
        <v>25.545326366426142</v>
      </c>
    </row>
    <row r="97" spans="1:34">
      <c r="A97" s="141" t="s">
        <v>223</v>
      </c>
      <c r="B97" s="145"/>
      <c r="C97" s="145"/>
      <c r="D97" s="145"/>
      <c r="E97" s="145"/>
      <c r="F97" s="145"/>
      <c r="G97" s="145">
        <v>15.924853942591929</v>
      </c>
      <c r="H97" s="145">
        <v>4.2</v>
      </c>
      <c r="I97" s="145">
        <v>1.8189670027071951</v>
      </c>
      <c r="J97" s="145">
        <v>10.711485650810777</v>
      </c>
      <c r="K97" s="145">
        <v>2.6790722308824129</v>
      </c>
      <c r="L97" s="145"/>
      <c r="M97" s="145"/>
      <c r="N97" s="145">
        <v>41.602107220328477</v>
      </c>
      <c r="O97" s="145">
        <v>5.1840793851269291</v>
      </c>
      <c r="P97" s="145"/>
      <c r="Q97" s="145"/>
      <c r="R97" s="145"/>
      <c r="S97" s="145"/>
      <c r="T97" s="145">
        <v>6.846381524875861</v>
      </c>
      <c r="U97" s="145">
        <v>8.1</v>
      </c>
      <c r="V97" s="145">
        <v>7.8693854495892142</v>
      </c>
      <c r="W97" s="145"/>
      <c r="X97" s="145"/>
      <c r="Y97" s="145">
        <v>17.455437917116875</v>
      </c>
      <c r="Z97" s="145">
        <v>9.9</v>
      </c>
      <c r="AA97" s="145">
        <v>2.6292530959274458</v>
      </c>
      <c r="AB97" s="145"/>
      <c r="AC97" s="145"/>
      <c r="AD97" s="145"/>
      <c r="AE97" s="145"/>
      <c r="AF97" s="145"/>
      <c r="AG97" s="145">
        <v>25.775081040644999</v>
      </c>
      <c r="AH97" s="152">
        <v>5.7604350500101678</v>
      </c>
    </row>
    <row r="98" spans="1:34">
      <c r="A98" s="141" t="s">
        <v>224</v>
      </c>
      <c r="B98" s="145"/>
      <c r="C98" s="145"/>
      <c r="D98" s="145"/>
      <c r="E98" s="145"/>
      <c r="F98" s="145"/>
      <c r="G98" s="145">
        <v>16.061094569990804</v>
      </c>
      <c r="H98" s="145">
        <v>4.4000000000000004</v>
      </c>
      <c r="I98" s="145">
        <v>1.7430730359727431</v>
      </c>
      <c r="J98" s="145">
        <v>10.559239344222188</v>
      </c>
      <c r="K98" s="145">
        <v>2.7039561886583607</v>
      </c>
      <c r="L98" s="145"/>
      <c r="M98" s="145"/>
      <c r="N98" s="145"/>
      <c r="O98" s="145"/>
      <c r="P98" s="145"/>
      <c r="Q98" s="145"/>
      <c r="R98" s="145"/>
      <c r="S98" s="145"/>
      <c r="T98" s="145">
        <v>6.9732584856763982</v>
      </c>
      <c r="U98" s="145"/>
      <c r="V98" s="145">
        <v>8.0041850779265218</v>
      </c>
      <c r="W98" s="145"/>
      <c r="X98" s="145"/>
      <c r="Y98" s="145"/>
      <c r="Z98" s="145">
        <v>9.6199999999999992</v>
      </c>
      <c r="AA98" s="145">
        <v>2.6740500410161339</v>
      </c>
      <c r="AB98" s="145"/>
      <c r="AC98" s="145"/>
      <c r="AD98" s="145"/>
      <c r="AE98" s="145"/>
      <c r="AF98" s="145"/>
      <c r="AG98" s="145">
        <v>25.812973883740518</v>
      </c>
      <c r="AH98" s="145"/>
    </row>
    <row r="99" spans="1:34">
      <c r="A99" s="141" t="s">
        <v>225</v>
      </c>
      <c r="B99" s="145"/>
      <c r="C99" s="145"/>
      <c r="D99" s="145"/>
      <c r="E99" s="145"/>
      <c r="F99" s="145"/>
      <c r="G99" s="145">
        <v>16.413366919324439</v>
      </c>
      <c r="H99" s="145">
        <v>4.4000000000000004</v>
      </c>
      <c r="I99" s="145">
        <v>1.6697199371978937</v>
      </c>
      <c r="J99" s="145">
        <v>10.415833271187624</v>
      </c>
      <c r="K99" s="145">
        <v>2.73112953</v>
      </c>
      <c r="L99" s="145"/>
      <c r="M99" s="145"/>
      <c r="N99" s="145"/>
      <c r="O99" s="145"/>
      <c r="P99" s="145"/>
      <c r="Q99" s="145"/>
      <c r="R99" s="145"/>
      <c r="S99" s="145"/>
      <c r="T99" s="145">
        <v>6.7157941740944791</v>
      </c>
      <c r="U99" s="145"/>
      <c r="V99" s="145">
        <v>7.1041809589462286</v>
      </c>
      <c r="W99" s="145"/>
      <c r="X99" s="145"/>
      <c r="Y99" s="145"/>
      <c r="Z99" s="145">
        <v>9.74</v>
      </c>
      <c r="AA99" s="145">
        <v>2.6449093248928501</v>
      </c>
      <c r="AB99" s="145"/>
      <c r="AC99" s="145"/>
      <c r="AD99" s="145"/>
      <c r="AE99" s="145"/>
      <c r="AF99" s="145"/>
      <c r="AG99" s="145">
        <v>24.915851899342844</v>
      </c>
      <c r="AH99" s="145"/>
    </row>
    <row r="100" spans="1:34" ht="12" thickBot="1">
      <c r="A100" s="150" t="s">
        <v>226</v>
      </c>
      <c r="B100" s="151"/>
      <c r="C100" s="151"/>
      <c r="D100" s="151"/>
      <c r="E100" s="151"/>
      <c r="F100" s="151"/>
      <c r="G100" s="151">
        <v>14.37261035982203</v>
      </c>
      <c r="H100" s="151">
        <v>4.7</v>
      </c>
      <c r="I100" s="151">
        <v>1.6191587775469209</v>
      </c>
      <c r="J100" s="151">
        <v>9.7243198340780843</v>
      </c>
      <c r="K100" s="151">
        <v>2.403010365156105</v>
      </c>
      <c r="L100" s="151"/>
      <c r="M100" s="151"/>
      <c r="N100" s="151">
        <v>40.558223415186525</v>
      </c>
      <c r="O100" s="151">
        <v>4.3510304263288599</v>
      </c>
      <c r="P100" s="151"/>
      <c r="Q100" s="151"/>
      <c r="R100" s="151"/>
      <c r="S100" s="151"/>
      <c r="T100" s="151">
        <v>5.8337694330692722</v>
      </c>
      <c r="U100" s="151"/>
      <c r="V100" s="151">
        <v>4.8503501160724261</v>
      </c>
      <c r="W100" s="151">
        <v>3.3452681385853009</v>
      </c>
      <c r="X100" s="151">
        <v>5.1133897083503435</v>
      </c>
      <c r="Y100" s="151">
        <v>16.225351294010732</v>
      </c>
      <c r="Z100" s="151">
        <v>9.01</v>
      </c>
      <c r="AA100" s="151">
        <v>2.352081887270737</v>
      </c>
      <c r="AB100" s="151"/>
      <c r="AC100" s="151"/>
      <c r="AD100" s="151"/>
      <c r="AE100" s="151"/>
      <c r="AF100" s="151"/>
      <c r="AG100" s="151">
        <v>23.308144416456759</v>
      </c>
      <c r="AH100" s="155">
        <v>4.7838574948017216</v>
      </c>
    </row>
    <row r="101" spans="1:34">
      <c r="A101" s="141" t="s">
        <v>227</v>
      </c>
      <c r="B101" s="145"/>
      <c r="C101" s="145"/>
      <c r="D101" s="145"/>
      <c r="E101" s="145"/>
      <c r="F101" s="145"/>
      <c r="G101" s="145">
        <v>15.45</v>
      </c>
      <c r="H101" s="145">
        <v>4.9000000000000004</v>
      </c>
      <c r="I101" s="145">
        <v>1.6607292475893713</v>
      </c>
      <c r="J101" s="145">
        <v>10.68340055608755</v>
      </c>
      <c r="K101" s="145">
        <v>2.4342739922578605</v>
      </c>
      <c r="L101" s="145"/>
      <c r="M101" s="145"/>
      <c r="N101" s="145"/>
      <c r="O101" s="145"/>
      <c r="P101" s="145"/>
      <c r="Q101" s="145"/>
      <c r="R101" s="145"/>
      <c r="S101" s="145"/>
      <c r="T101" s="145">
        <v>5.874516576919353</v>
      </c>
      <c r="U101" s="145"/>
      <c r="V101" s="145">
        <v>4.9819780232405781</v>
      </c>
      <c r="W101" s="145">
        <v>3.8512390038909174</v>
      </c>
      <c r="X101" s="145"/>
      <c r="Y101" s="145"/>
      <c r="Z101" s="145">
        <v>9.3800000000000008</v>
      </c>
      <c r="AA101" s="145">
        <v>2.6744434825843788</v>
      </c>
      <c r="AB101" s="145"/>
      <c r="AC101" s="145"/>
      <c r="AD101" s="145"/>
      <c r="AE101" s="145"/>
      <c r="AF101" s="145"/>
      <c r="AG101" s="145">
        <v>24.662390276839975</v>
      </c>
      <c r="AH101" s="145"/>
    </row>
    <row r="102" spans="1:34">
      <c r="A102" s="141" t="s">
        <v>228</v>
      </c>
      <c r="B102" s="145"/>
      <c r="C102" s="145"/>
      <c r="D102" s="145"/>
      <c r="E102" s="145"/>
      <c r="F102" s="145"/>
      <c r="G102" s="145">
        <v>16.54</v>
      </c>
      <c r="H102" s="145">
        <v>5</v>
      </c>
      <c r="I102" s="145">
        <v>1.7068900249554202</v>
      </c>
      <c r="J102" s="145">
        <v>10.637219830233663</v>
      </c>
      <c r="K102" s="145">
        <v>2.4187358145270217</v>
      </c>
      <c r="L102" s="145"/>
      <c r="M102" s="145"/>
      <c r="N102" s="145"/>
      <c r="O102" s="145"/>
      <c r="P102" s="145"/>
      <c r="Q102" s="145">
        <v>4.97</v>
      </c>
      <c r="R102" s="145"/>
      <c r="S102" s="145"/>
      <c r="T102" s="145">
        <v>5.9008743929345115</v>
      </c>
      <c r="U102" s="145"/>
      <c r="V102" s="145">
        <v>5.0009947446379037</v>
      </c>
      <c r="W102" s="145">
        <v>3.7343667754954146</v>
      </c>
      <c r="X102" s="145"/>
      <c r="Y102" s="145"/>
      <c r="Z102" s="145">
        <v>9.0500000000000007</v>
      </c>
      <c r="AA102" s="145">
        <v>2.7704313380311536</v>
      </c>
      <c r="AB102" s="145"/>
      <c r="AC102" s="145"/>
      <c r="AD102" s="145"/>
      <c r="AE102" s="145"/>
      <c r="AF102" s="145"/>
      <c r="AG102" s="145">
        <v>25.782988190997774</v>
      </c>
      <c r="AH102" s="145"/>
    </row>
    <row r="103" spans="1:34">
      <c r="A103" s="141" t="s">
        <v>229</v>
      </c>
      <c r="B103" s="145"/>
      <c r="C103" s="145"/>
      <c r="D103" s="145"/>
      <c r="E103" s="145"/>
      <c r="F103" s="145"/>
      <c r="G103" s="145">
        <v>15.84</v>
      </c>
      <c r="H103" s="145">
        <v>5.0999999999999996</v>
      </c>
      <c r="I103" s="145">
        <v>1.7387228092683475</v>
      </c>
      <c r="J103" s="145">
        <v>10.588935368670018</v>
      </c>
      <c r="K103" s="145">
        <v>2.485776828436598</v>
      </c>
      <c r="L103" s="145"/>
      <c r="M103" s="145"/>
      <c r="N103" s="145">
        <v>39.641545833592637</v>
      </c>
      <c r="O103" s="145">
        <v>4.3905495071105909</v>
      </c>
      <c r="P103" s="145"/>
      <c r="Q103" s="145">
        <v>5.05</v>
      </c>
      <c r="R103" s="145"/>
      <c r="S103" s="145">
        <v>8.8959356246590282</v>
      </c>
      <c r="T103" s="145">
        <v>5.7037396961448819</v>
      </c>
      <c r="U103" s="145">
        <v>6.3</v>
      </c>
      <c r="V103" s="145">
        <v>4.9579791202944623</v>
      </c>
      <c r="W103" s="145">
        <v>3.7817400323568444</v>
      </c>
      <c r="X103" s="145">
        <v>6.3583425733982555</v>
      </c>
      <c r="Y103" s="145">
        <v>18.301804003945428</v>
      </c>
      <c r="Z103" s="145">
        <v>9</v>
      </c>
      <c r="AA103" s="145">
        <v>2.6323517663578153</v>
      </c>
      <c r="AB103" s="145"/>
      <c r="AC103" s="145"/>
      <c r="AD103" s="145"/>
      <c r="AE103" s="145"/>
      <c r="AF103" s="145"/>
      <c r="AG103" s="145">
        <v>28.463356973995275</v>
      </c>
      <c r="AH103" s="156">
        <v>7.3264647223025268</v>
      </c>
    </row>
    <row r="104" spans="1:34">
      <c r="A104" s="141" t="s">
        <v>230</v>
      </c>
      <c r="B104" s="145"/>
      <c r="C104" s="145"/>
      <c r="D104" s="145"/>
      <c r="E104" s="145"/>
      <c r="F104" s="145"/>
      <c r="G104" s="145">
        <v>16.55</v>
      </c>
      <c r="H104" s="145">
        <v>5.2</v>
      </c>
      <c r="I104" s="145">
        <v>1.7864959464969206</v>
      </c>
      <c r="J104" s="145">
        <v>10.434767545209278</v>
      </c>
      <c r="K104" s="145">
        <v>2.6418990365065342</v>
      </c>
      <c r="L104" s="145"/>
      <c r="M104" s="145"/>
      <c r="N104" s="145"/>
      <c r="O104" s="145"/>
      <c r="P104" s="145"/>
      <c r="Q104" s="145">
        <v>4.7</v>
      </c>
      <c r="R104" s="145"/>
      <c r="S104" s="145"/>
      <c r="T104" s="145">
        <v>6.130701956389494</v>
      </c>
      <c r="U104" s="145"/>
      <c r="V104" s="145">
        <v>5.1167741847624848</v>
      </c>
      <c r="W104" s="145">
        <v>4.0092857080633424</v>
      </c>
      <c r="X104" s="145"/>
      <c r="Y104" s="145"/>
      <c r="Z104" s="145">
        <v>8.82</v>
      </c>
      <c r="AA104" s="145">
        <v>3.0389474888591255</v>
      </c>
      <c r="AB104" s="145"/>
      <c r="AC104" s="145"/>
      <c r="AD104" s="145"/>
      <c r="AE104" s="145"/>
      <c r="AF104" s="145"/>
      <c r="AG104" s="145">
        <v>29.447138700290981</v>
      </c>
      <c r="AH104" s="145"/>
    </row>
    <row r="105" spans="1:34">
      <c r="A105" s="141" t="s">
        <v>231</v>
      </c>
      <c r="B105" s="145"/>
      <c r="C105" s="145"/>
      <c r="D105" s="145"/>
      <c r="E105" s="145"/>
      <c r="F105" s="145"/>
      <c r="G105" s="145">
        <v>16.739999999999998</v>
      </c>
      <c r="H105" s="145">
        <v>5.0999999999999996</v>
      </c>
      <c r="I105" s="145">
        <v>1.8296372901114193</v>
      </c>
      <c r="J105" s="145">
        <v>10.436962613464965</v>
      </c>
      <c r="K105" s="145">
        <v>2.6940487345875419</v>
      </c>
      <c r="L105" s="145"/>
      <c r="M105" s="145"/>
      <c r="N105" s="145"/>
      <c r="O105" s="145"/>
      <c r="P105" s="145"/>
      <c r="Q105" s="145">
        <v>4.43</v>
      </c>
      <c r="R105" s="145"/>
      <c r="S105" s="145"/>
      <c r="T105" s="145">
        <v>6.33289818152533</v>
      </c>
      <c r="U105" s="145"/>
      <c r="V105" s="145">
        <v>5.2673153701232387</v>
      </c>
      <c r="W105" s="145">
        <v>3.9183156707723064</v>
      </c>
      <c r="X105" s="145"/>
      <c r="Y105" s="145"/>
      <c r="Z105" s="145">
        <v>8.6</v>
      </c>
      <c r="AA105" s="145">
        <v>3.2795854067250234</v>
      </c>
      <c r="AB105" s="145"/>
      <c r="AC105" s="145"/>
      <c r="AD105" s="145"/>
      <c r="AE105" s="145"/>
      <c r="AF105" s="145"/>
      <c r="AG105" s="145">
        <v>30.375123395853898</v>
      </c>
      <c r="AH105" s="145"/>
    </row>
    <row r="106" spans="1:34">
      <c r="A106" s="141" t="s">
        <v>232</v>
      </c>
      <c r="B106" s="145"/>
      <c r="C106" s="145"/>
      <c r="D106" s="145"/>
      <c r="E106" s="145"/>
      <c r="F106" s="145"/>
      <c r="G106" s="145">
        <v>16.649178034277721</v>
      </c>
      <c r="H106" s="145">
        <v>4.8</v>
      </c>
      <c r="I106" s="145">
        <v>1.7792339134494917</v>
      </c>
      <c r="J106" s="145">
        <v>10.089401386964507</v>
      </c>
      <c r="K106" s="145">
        <v>2.6245379393181372</v>
      </c>
      <c r="L106" s="145"/>
      <c r="M106" s="145"/>
      <c r="N106" s="145">
        <v>36.62285989872197</v>
      </c>
      <c r="O106" s="145">
        <v>4.0636710149555739</v>
      </c>
      <c r="P106" s="145"/>
      <c r="Q106" s="145">
        <v>4.04</v>
      </c>
      <c r="R106" s="145"/>
      <c r="S106" s="145">
        <v>7.7486902273049081</v>
      </c>
      <c r="T106" s="145">
        <v>7.043081895866365</v>
      </c>
      <c r="U106" s="145"/>
      <c r="V106" s="145">
        <v>5.0374666364271095</v>
      </c>
      <c r="W106" s="145">
        <v>4.761470970819726</v>
      </c>
      <c r="X106" s="145">
        <v>6.366065427950188</v>
      </c>
      <c r="Y106" s="145">
        <v>18.907287110958023</v>
      </c>
      <c r="Z106" s="145">
        <v>8.02</v>
      </c>
      <c r="AA106" s="145">
        <v>3.0899032920687421</v>
      </c>
      <c r="AB106" s="145"/>
      <c r="AC106" s="145"/>
      <c r="AD106" s="145"/>
      <c r="AE106" s="145"/>
      <c r="AF106" s="145"/>
      <c r="AG106" s="145">
        <v>31.901203819012036</v>
      </c>
      <c r="AH106" s="156">
        <v>7.1432816920806399</v>
      </c>
    </row>
    <row r="107" spans="1:34">
      <c r="A107" s="141" t="s">
        <v>233</v>
      </c>
      <c r="B107" s="145"/>
      <c r="C107" s="145"/>
      <c r="D107" s="145"/>
      <c r="E107" s="145"/>
      <c r="F107" s="145"/>
      <c r="G107" s="145">
        <v>17.47</v>
      </c>
      <c r="H107" s="145">
        <v>4.7</v>
      </c>
      <c r="I107" s="145">
        <v>1.8056582534302967</v>
      </c>
      <c r="J107" s="145">
        <v>9.7748999229578413</v>
      </c>
      <c r="K107" s="145">
        <v>2.690281801458863</v>
      </c>
      <c r="L107" s="145"/>
      <c r="M107" s="145"/>
      <c r="N107" s="145"/>
      <c r="O107" s="145"/>
      <c r="P107" s="145"/>
      <c r="Q107" s="145">
        <v>4.07</v>
      </c>
      <c r="R107" s="145"/>
      <c r="S107" s="145"/>
      <c r="T107" s="145">
        <v>7.2792926668140714</v>
      </c>
      <c r="U107" s="145"/>
      <c r="V107" s="145">
        <v>5.1297742777218698</v>
      </c>
      <c r="W107" s="145">
        <v>4.1658793404689716</v>
      </c>
      <c r="X107" s="145"/>
      <c r="Y107" s="145"/>
      <c r="Z107" s="145">
        <v>8.35</v>
      </c>
      <c r="AA107" s="145">
        <v>6.3940682729990277</v>
      </c>
      <c r="AB107" s="145"/>
      <c r="AC107" s="145"/>
      <c r="AD107" s="145"/>
      <c r="AE107" s="145"/>
      <c r="AF107" s="145"/>
      <c r="AG107" s="145">
        <v>33.916358336136341</v>
      </c>
      <c r="AH107" s="145"/>
    </row>
    <row r="108" spans="1:34">
      <c r="A108" s="141" t="s">
        <v>234</v>
      </c>
      <c r="B108" s="145"/>
      <c r="C108" s="145"/>
      <c r="D108" s="145"/>
      <c r="E108" s="145"/>
      <c r="F108" s="145"/>
      <c r="G108" s="145">
        <v>18.79</v>
      </c>
      <c r="H108" s="145">
        <v>4.5999999999999996</v>
      </c>
      <c r="I108" s="145">
        <v>1.8152460870637253</v>
      </c>
      <c r="J108" s="145">
        <v>9.6095695869748461</v>
      </c>
      <c r="K108" s="145">
        <v>2.7157371979062801</v>
      </c>
      <c r="L108" s="145"/>
      <c r="M108" s="145"/>
      <c r="N108" s="145"/>
      <c r="O108" s="145"/>
      <c r="P108" s="145"/>
      <c r="Q108" s="145">
        <v>3.95</v>
      </c>
      <c r="R108" s="145"/>
      <c r="S108" s="145"/>
      <c r="T108" s="145">
        <v>7.3257491658054192</v>
      </c>
      <c r="U108" s="145"/>
      <c r="V108" s="145">
        <v>5.0026522571533576</v>
      </c>
      <c r="W108" s="145">
        <v>3.8687385754597554</v>
      </c>
      <c r="X108" s="145"/>
      <c r="Y108" s="145"/>
      <c r="Z108" s="145">
        <v>8.31</v>
      </c>
      <c r="AA108" s="145">
        <v>6.9433565009930396</v>
      </c>
      <c r="AB108" s="145"/>
      <c r="AC108" s="145"/>
      <c r="AD108" s="145"/>
      <c r="AE108" s="145"/>
      <c r="AF108" s="145"/>
      <c r="AG108" s="145">
        <v>39.882169051340625</v>
      </c>
      <c r="AH108" s="145"/>
    </row>
    <row r="109" spans="1:34">
      <c r="A109" s="141" t="s">
        <v>235</v>
      </c>
      <c r="B109" s="145"/>
      <c r="C109" s="145"/>
      <c r="D109" s="145"/>
      <c r="E109" s="145"/>
      <c r="F109" s="145"/>
      <c r="G109" s="145">
        <v>18.940787054063993</v>
      </c>
      <c r="H109" s="145">
        <v>4</v>
      </c>
      <c r="I109" s="145">
        <v>1.8588285259742345</v>
      </c>
      <c r="J109" s="145">
        <v>9.4151554386314835</v>
      </c>
      <c r="K109" s="145">
        <v>2.6526228558359382</v>
      </c>
      <c r="L109" s="145"/>
      <c r="M109" s="145"/>
      <c r="N109" s="145">
        <v>24.553174462030945</v>
      </c>
      <c r="O109" s="145">
        <v>4.0816469470877044</v>
      </c>
      <c r="P109" s="145"/>
      <c r="Q109" s="145">
        <v>4.12</v>
      </c>
      <c r="R109" s="145"/>
      <c r="S109" s="145">
        <v>6.5102507110993679</v>
      </c>
      <c r="T109" s="145">
        <v>6.8230024469092401</v>
      </c>
      <c r="U109" s="145"/>
      <c r="V109" s="145">
        <v>4.7836793897863554</v>
      </c>
      <c r="W109" s="145">
        <v>3.6118774344978752</v>
      </c>
      <c r="X109" s="145">
        <v>5.8255587898949992</v>
      </c>
      <c r="Y109" s="145">
        <v>21.274649950187278</v>
      </c>
      <c r="Z109" s="145">
        <v>8.09</v>
      </c>
      <c r="AA109" s="145">
        <v>6.11537506591376</v>
      </c>
      <c r="AB109" s="145"/>
      <c r="AC109" s="145"/>
      <c r="AD109" s="145"/>
      <c r="AE109" s="145"/>
      <c r="AF109" s="145"/>
      <c r="AG109" s="145">
        <v>42.823645563371592</v>
      </c>
      <c r="AH109" s="156">
        <v>7.2520840727696321</v>
      </c>
    </row>
    <row r="110" spans="1:34">
      <c r="A110" s="141" t="s">
        <v>236</v>
      </c>
      <c r="B110" s="145"/>
      <c r="C110" s="145"/>
      <c r="D110" s="145"/>
      <c r="E110" s="145"/>
      <c r="F110" s="145"/>
      <c r="G110" s="145">
        <v>18.670000000000002</v>
      </c>
      <c r="H110" s="145">
        <v>4.0999999999999996</v>
      </c>
      <c r="I110" s="145">
        <v>1.9101165938943003</v>
      </c>
      <c r="J110" s="145">
        <v>9.2814271248960125</v>
      </c>
      <c r="K110" s="145">
        <v>2.7107986725615341</v>
      </c>
      <c r="L110" s="145"/>
      <c r="M110" s="145"/>
      <c r="N110" s="145"/>
      <c r="O110" s="145"/>
      <c r="P110" s="145"/>
      <c r="Q110" s="145">
        <v>3.63</v>
      </c>
      <c r="R110" s="145"/>
      <c r="S110" s="145"/>
      <c r="T110" s="145">
        <v>7.2081635000349049</v>
      </c>
      <c r="U110" s="145"/>
      <c r="V110" s="145">
        <v>4.6539440704395476</v>
      </c>
      <c r="W110" s="145">
        <v>3.6926638576378061</v>
      </c>
      <c r="X110" s="145"/>
      <c r="Y110" s="145"/>
      <c r="Z110" s="145">
        <v>8.15</v>
      </c>
      <c r="AA110" s="145">
        <v>6.7427086404793997</v>
      </c>
      <c r="AB110" s="145"/>
      <c r="AC110" s="145"/>
      <c r="AD110" s="145"/>
      <c r="AE110" s="145"/>
      <c r="AF110" s="145"/>
      <c r="AG110" s="145">
        <v>45.05843495934959</v>
      </c>
      <c r="AH110" s="145"/>
    </row>
    <row r="111" spans="1:34">
      <c r="A111" s="141" t="s">
        <v>237</v>
      </c>
      <c r="B111" s="145"/>
      <c r="C111" s="145"/>
      <c r="D111" s="145"/>
      <c r="E111" s="145"/>
      <c r="F111" s="145"/>
      <c r="G111" s="145">
        <v>19.27</v>
      </c>
      <c r="H111" s="145">
        <v>4.0999999999999996</v>
      </c>
      <c r="I111" s="145">
        <v>1.8991525668430209</v>
      </c>
      <c r="J111" s="145">
        <v>9.3094610302230834</v>
      </c>
      <c r="K111" s="145">
        <v>2.8568795481472535</v>
      </c>
      <c r="L111" s="145"/>
      <c r="M111" s="145"/>
      <c r="N111" s="145"/>
      <c r="O111" s="145"/>
      <c r="P111" s="145"/>
      <c r="Q111" s="145">
        <v>3.61</v>
      </c>
      <c r="R111" s="145"/>
      <c r="S111" s="145"/>
      <c r="T111" s="145">
        <v>7.1143322940501825</v>
      </c>
      <c r="U111" s="145"/>
      <c r="V111" s="145">
        <v>4.6815138430154333</v>
      </c>
      <c r="W111" s="145">
        <v>3.3102850318651122</v>
      </c>
      <c r="X111" s="145"/>
      <c r="Y111" s="145"/>
      <c r="Z111" s="145">
        <v>8.35</v>
      </c>
      <c r="AA111" s="145">
        <v>6.5837038654246767</v>
      </c>
      <c r="AB111" s="145"/>
      <c r="AC111" s="145"/>
      <c r="AD111" s="145"/>
      <c r="AE111" s="145"/>
      <c r="AF111" s="145"/>
      <c r="AG111" s="145">
        <v>47.504596795376933</v>
      </c>
      <c r="AH111" s="145"/>
    </row>
    <row r="112" spans="1:34" ht="12" thickBot="1">
      <c r="A112" s="150" t="s">
        <v>238</v>
      </c>
      <c r="B112" s="151"/>
      <c r="C112" s="151">
        <v>38.633560143828909</v>
      </c>
      <c r="D112" s="151"/>
      <c r="E112" s="151"/>
      <c r="F112" s="151"/>
      <c r="G112" s="151">
        <v>17.649999999999999</v>
      </c>
      <c r="H112" s="151">
        <v>4</v>
      </c>
      <c r="I112" s="151">
        <v>1.822996837617098</v>
      </c>
      <c r="J112" s="151">
        <v>8.719078724628055</v>
      </c>
      <c r="K112" s="151">
        <v>3.0272398733948598</v>
      </c>
      <c r="L112" s="151"/>
      <c r="M112" s="151"/>
      <c r="N112" s="151">
        <v>24.06859331476323</v>
      </c>
      <c r="O112" s="151">
        <v>3.5172078976637393</v>
      </c>
      <c r="P112" s="151"/>
      <c r="Q112" s="151">
        <v>3.89</v>
      </c>
      <c r="R112" s="151"/>
      <c r="S112" s="151">
        <v>6.2304264799490774</v>
      </c>
      <c r="T112" s="151">
        <v>5.2553422098930369</v>
      </c>
      <c r="U112" s="151"/>
      <c r="V112" s="151">
        <v>4.555940868042252</v>
      </c>
      <c r="W112" s="151">
        <v>3.6292055119213429</v>
      </c>
      <c r="X112" s="151">
        <v>5.3228563801388153</v>
      </c>
      <c r="Y112" s="151">
        <v>19.404282658891788</v>
      </c>
      <c r="Z112" s="151">
        <v>7.58</v>
      </c>
      <c r="AA112" s="151">
        <v>5.732834596212828</v>
      </c>
      <c r="AB112" s="151"/>
      <c r="AC112" s="151"/>
      <c r="AD112" s="151"/>
      <c r="AE112" s="151"/>
      <c r="AF112" s="151"/>
      <c r="AG112" s="151">
        <v>49.714437508301238</v>
      </c>
      <c r="AH112" s="155">
        <v>6.558179303117317</v>
      </c>
    </row>
    <row r="113" spans="1:34">
      <c r="A113" s="141" t="s">
        <v>239</v>
      </c>
      <c r="B113" s="145"/>
      <c r="C113" s="145"/>
      <c r="D113" s="145"/>
      <c r="E113" s="145"/>
      <c r="F113" s="145"/>
      <c r="G113" s="145">
        <v>18.55</v>
      </c>
      <c r="H113" s="145">
        <v>4.0999999999999996</v>
      </c>
      <c r="I113" s="145">
        <v>1.8575100070069424</v>
      </c>
      <c r="J113" s="145">
        <v>8.7163947504683694</v>
      </c>
      <c r="K113" s="145">
        <v>3.1989080037895365</v>
      </c>
      <c r="L113" s="145"/>
      <c r="M113" s="145"/>
      <c r="N113" s="145">
        <v>24.847281612706169</v>
      </c>
      <c r="O113" s="145">
        <v>3.6384346453842737</v>
      </c>
      <c r="P113" s="145"/>
      <c r="Q113" s="145">
        <v>3.47</v>
      </c>
      <c r="R113" s="145"/>
      <c r="S113" s="145"/>
      <c r="T113" s="145">
        <v>5.5183784654557204</v>
      </c>
      <c r="U113" s="145"/>
      <c r="V113" s="145">
        <v>4.9000479983021306</v>
      </c>
      <c r="W113" s="145">
        <v>3.2807075810800645</v>
      </c>
      <c r="X113" s="145"/>
      <c r="Y113" s="145"/>
      <c r="Z113" s="145">
        <v>7.95</v>
      </c>
      <c r="AA113" s="145">
        <v>5.9780554977835836</v>
      </c>
      <c r="AB113" s="145"/>
      <c r="AC113" s="145"/>
      <c r="AD113" s="145"/>
      <c r="AE113" s="145"/>
      <c r="AF113" s="145"/>
      <c r="AG113" s="145">
        <v>50.817015530047257</v>
      </c>
      <c r="AH113" s="145"/>
    </row>
    <row r="114" spans="1:34">
      <c r="A114" s="141" t="s">
        <v>240</v>
      </c>
      <c r="B114" s="145"/>
      <c r="C114" s="145"/>
      <c r="D114" s="145"/>
      <c r="E114" s="145"/>
      <c r="F114" s="145"/>
      <c r="G114" s="145">
        <v>19.5</v>
      </c>
      <c r="H114" s="145">
        <v>4.5999999999999996</v>
      </c>
      <c r="I114" s="145">
        <v>1.8888783563180369</v>
      </c>
      <c r="J114" s="145">
        <v>8.7117105799528343</v>
      </c>
      <c r="K114" s="145">
        <v>3.0687159630055274</v>
      </c>
      <c r="L114" s="145"/>
      <c r="M114" s="145"/>
      <c r="N114" s="145">
        <v>24.519966381483954</v>
      </c>
      <c r="O114" s="145">
        <v>3.5337747192097977</v>
      </c>
      <c r="P114" s="145"/>
      <c r="Q114" s="145"/>
      <c r="R114" s="145"/>
      <c r="S114" s="145"/>
      <c r="T114" s="145">
        <v>5.3552390485985537</v>
      </c>
      <c r="U114" s="145"/>
      <c r="V114" s="145">
        <v>4.6785818061855764</v>
      </c>
      <c r="W114" s="145">
        <v>3.4825777824534025</v>
      </c>
      <c r="X114" s="145"/>
      <c r="Y114" s="145"/>
      <c r="Z114" s="145">
        <v>7.9</v>
      </c>
      <c r="AA114" s="145">
        <v>6.5649509684786889</v>
      </c>
      <c r="AB114" s="145"/>
      <c r="AC114" s="145"/>
      <c r="AD114" s="145"/>
      <c r="AE114" s="145"/>
      <c r="AF114" s="145"/>
      <c r="AG114" s="145">
        <v>52.300739523418237</v>
      </c>
      <c r="AH114" s="145"/>
    </row>
    <row r="115" spans="1:34">
      <c r="A115" s="141" t="s">
        <v>241</v>
      </c>
      <c r="B115" s="145"/>
      <c r="C115" s="145"/>
      <c r="D115" s="145"/>
      <c r="E115" s="145"/>
      <c r="F115" s="145"/>
      <c r="G115" s="145">
        <v>20.053742802303262</v>
      </c>
      <c r="H115" s="145">
        <v>4.5999999999999996</v>
      </c>
      <c r="I115" s="145">
        <v>1.8955187843420724</v>
      </c>
      <c r="J115" s="145">
        <v>8.5700054715846878</v>
      </c>
      <c r="K115" s="145">
        <v>2.2167761432413524</v>
      </c>
      <c r="L115" s="145"/>
      <c r="M115" s="145"/>
      <c r="N115" s="145">
        <v>24.737295434969852</v>
      </c>
      <c r="O115" s="145">
        <v>3.5082080246712293</v>
      </c>
      <c r="P115" s="145"/>
      <c r="Q115" s="145"/>
      <c r="R115" s="145"/>
      <c r="S115" s="145">
        <v>5.8286990854951526</v>
      </c>
      <c r="T115" s="145">
        <v>4.7842504913588195</v>
      </c>
      <c r="U115" s="145">
        <v>4.2</v>
      </c>
      <c r="V115" s="145">
        <v>4.6109172530157911</v>
      </c>
      <c r="W115" s="145">
        <v>3.6068834815427442</v>
      </c>
      <c r="X115" s="145">
        <v>5.2735932130584198</v>
      </c>
      <c r="Y115" s="145">
        <v>21.746212564084253</v>
      </c>
      <c r="Z115" s="145">
        <v>7.71</v>
      </c>
      <c r="AA115" s="145">
        <v>6.0527499219331036</v>
      </c>
      <c r="AB115" s="145"/>
      <c r="AC115" s="145"/>
      <c r="AD115" s="145"/>
      <c r="AE115" s="145"/>
      <c r="AF115" s="145"/>
      <c r="AG115" s="145">
        <v>53.095017022593623</v>
      </c>
      <c r="AH115" s="156">
        <v>7.8680533982595158</v>
      </c>
    </row>
    <row r="116" spans="1:34">
      <c r="A116" s="141" t="s">
        <v>242</v>
      </c>
      <c r="B116" s="145"/>
      <c r="C116" s="145"/>
      <c r="D116" s="145"/>
      <c r="E116" s="145"/>
      <c r="F116" s="145"/>
      <c r="G116" s="145">
        <v>20.350000000000001</v>
      </c>
      <c r="H116" s="145">
        <v>5</v>
      </c>
      <c r="I116" s="145">
        <v>1.9350297829422269</v>
      </c>
      <c r="J116" s="145">
        <v>8.3709974350221064</v>
      </c>
      <c r="K116" s="145">
        <v>2.1613371767590919</v>
      </c>
      <c r="L116" s="145"/>
      <c r="M116" s="145"/>
      <c r="N116" s="145">
        <v>24.626737231616541</v>
      </c>
      <c r="O116" s="145">
        <v>3.5637064967809717</v>
      </c>
      <c r="P116" s="145"/>
      <c r="Q116" s="145"/>
      <c r="R116" s="145"/>
      <c r="S116" s="145"/>
      <c r="T116" s="145">
        <v>5.2033526043719736</v>
      </c>
      <c r="U116" s="145"/>
      <c r="V116" s="145">
        <v>5.0556213409443798</v>
      </c>
      <c r="W116" s="145">
        <v>3.8395602847097794</v>
      </c>
      <c r="X116" s="145"/>
      <c r="Y116" s="145"/>
      <c r="Z116" s="145">
        <v>7.82</v>
      </c>
      <c r="AA116" s="145">
        <v>7.7367656632195265</v>
      </c>
      <c r="AB116" s="145"/>
      <c r="AC116" s="145"/>
      <c r="AD116" s="145"/>
      <c r="AE116" s="145"/>
      <c r="AF116" s="145"/>
      <c r="AG116" s="145">
        <v>52.785602503912365</v>
      </c>
      <c r="AH116" s="145"/>
    </row>
    <row r="117" spans="1:34">
      <c r="A117" s="141" t="s">
        <v>243</v>
      </c>
      <c r="B117" s="145"/>
      <c r="C117" s="145"/>
      <c r="D117" s="145"/>
      <c r="E117" s="145"/>
      <c r="F117" s="145"/>
      <c r="G117" s="145">
        <v>19.850000000000001</v>
      </c>
      <c r="H117" s="145">
        <v>5.0999999999999996</v>
      </c>
      <c r="I117" s="145">
        <v>1.9119643347716024</v>
      </c>
      <c r="J117" s="145">
        <v>8.3286749783571299</v>
      </c>
      <c r="K117" s="145">
        <v>2.1969699004638024</v>
      </c>
      <c r="L117" s="145"/>
      <c r="M117" s="145"/>
      <c r="N117" s="145">
        <v>24.669547802255721</v>
      </c>
      <c r="O117" s="145">
        <v>3.5929694880142105</v>
      </c>
      <c r="P117" s="145"/>
      <c r="Q117" s="145"/>
      <c r="R117" s="145"/>
      <c r="S117" s="145"/>
      <c r="T117" s="145">
        <v>4.8594886389994176</v>
      </c>
      <c r="U117" s="145"/>
      <c r="V117" s="145">
        <v>4.48068205347999</v>
      </c>
      <c r="W117" s="145">
        <v>3.8250856037521603</v>
      </c>
      <c r="X117" s="145"/>
      <c r="Y117" s="145"/>
      <c r="Z117" s="145">
        <v>7.72</v>
      </c>
      <c r="AA117" s="145">
        <v>9.1633727327683108</v>
      </c>
      <c r="AB117" s="145"/>
      <c r="AC117" s="145"/>
      <c r="AD117" s="145"/>
      <c r="AE117" s="145"/>
      <c r="AF117" s="145"/>
      <c r="AG117" s="145">
        <v>50.699181446111872</v>
      </c>
      <c r="AH117" s="145"/>
    </row>
    <row r="118" spans="1:34">
      <c r="A118" s="141" t="s">
        <v>244</v>
      </c>
      <c r="B118" s="145"/>
      <c r="C118" s="145"/>
      <c r="D118" s="145"/>
      <c r="E118" s="145"/>
      <c r="F118" s="145"/>
      <c r="G118" s="145">
        <v>19.32</v>
      </c>
      <c r="H118" s="145">
        <v>5.6</v>
      </c>
      <c r="I118" s="145">
        <v>1.8883600027324681</v>
      </c>
      <c r="J118" s="145">
        <v>8.082913453160975</v>
      </c>
      <c r="K118" s="145">
        <v>2.0025368479956942</v>
      </c>
      <c r="L118" s="145"/>
      <c r="M118" s="145"/>
      <c r="N118" s="145">
        <v>24.318339975960015</v>
      </c>
      <c r="O118" s="145">
        <v>3.2602470243001829</v>
      </c>
      <c r="P118" s="145"/>
      <c r="Q118" s="145"/>
      <c r="R118" s="145"/>
      <c r="S118" s="145">
        <v>6.4762837440031706</v>
      </c>
      <c r="T118" s="145">
        <v>4.9890033025839502</v>
      </c>
      <c r="U118" s="145"/>
      <c r="V118" s="145">
        <v>4.1959216016537626</v>
      </c>
      <c r="W118" s="145">
        <v>3.4731813474586053</v>
      </c>
      <c r="X118" s="145">
        <v>5.0379908126435522</v>
      </c>
      <c r="Y118" s="145">
        <v>21.638414676477478</v>
      </c>
      <c r="Z118" s="145">
        <v>7.73</v>
      </c>
      <c r="AA118" s="145">
        <v>13.840266557634106</v>
      </c>
      <c r="AB118" s="145"/>
      <c r="AC118" s="145"/>
      <c r="AD118" s="145"/>
      <c r="AE118" s="145"/>
      <c r="AF118" s="145"/>
      <c r="AG118" s="145">
        <v>53.953569558387152</v>
      </c>
      <c r="AH118" s="156">
        <v>7.0982812746008443</v>
      </c>
    </row>
    <row r="119" spans="1:34">
      <c r="A119" s="141" t="s">
        <v>245</v>
      </c>
      <c r="B119" s="145"/>
      <c r="C119" s="145"/>
      <c r="D119" s="145"/>
      <c r="E119" s="145"/>
      <c r="F119" s="145"/>
      <c r="G119" s="145">
        <v>19.309999999999999</v>
      </c>
      <c r="H119" s="145">
        <v>5.6</v>
      </c>
      <c r="I119" s="145">
        <v>1.842254591950155</v>
      </c>
      <c r="J119" s="145">
        <v>7.8860167123427249</v>
      </c>
      <c r="K119" s="145">
        <v>2.0816634943234362</v>
      </c>
      <c r="L119" s="145"/>
      <c r="M119" s="145"/>
      <c r="N119" s="145">
        <v>24.02878296314783</v>
      </c>
      <c r="O119" s="145">
        <v>3.3328644282729254</v>
      </c>
      <c r="P119" s="145"/>
      <c r="Q119" s="145"/>
      <c r="R119" s="145"/>
      <c r="S119" s="145"/>
      <c r="T119" s="145">
        <v>4.9750850250768623</v>
      </c>
      <c r="U119" s="145"/>
      <c r="V119" s="145">
        <v>4.0982474739631849</v>
      </c>
      <c r="W119" s="145">
        <v>3.2439691837193987</v>
      </c>
      <c r="X119" s="145"/>
      <c r="Y119" s="145"/>
      <c r="Z119" s="145">
        <v>7.96</v>
      </c>
      <c r="AA119" s="145">
        <v>12.92010703127584</v>
      </c>
      <c r="AB119" s="145"/>
      <c r="AC119" s="145"/>
      <c r="AD119" s="145"/>
      <c r="AE119" s="145"/>
      <c r="AF119" s="145"/>
      <c r="AG119" s="145">
        <v>53.232142857142861</v>
      </c>
      <c r="AH119" s="145"/>
    </row>
    <row r="120" spans="1:34">
      <c r="A120" s="141" t="s">
        <v>246</v>
      </c>
      <c r="B120" s="145"/>
      <c r="C120" s="145"/>
      <c r="D120" s="145"/>
      <c r="E120" s="145"/>
      <c r="F120" s="145"/>
      <c r="G120" s="145">
        <v>19.72</v>
      </c>
      <c r="H120" s="145">
        <v>5.5</v>
      </c>
      <c r="I120" s="145">
        <v>1.8241790465702332</v>
      </c>
      <c r="J120" s="145">
        <v>7.9051515336918134</v>
      </c>
      <c r="K120" s="145">
        <v>2.0752135601208215</v>
      </c>
      <c r="L120" s="145"/>
      <c r="M120" s="145"/>
      <c r="N120" s="145">
        <v>24.35287361037043</v>
      </c>
      <c r="O120" s="145">
        <v>3.362036393004185</v>
      </c>
      <c r="P120" s="145"/>
      <c r="Q120" s="145"/>
      <c r="R120" s="145"/>
      <c r="S120" s="145"/>
      <c r="T120" s="145">
        <v>4.8388257656675489</v>
      </c>
      <c r="U120" s="145"/>
      <c r="V120" s="145">
        <v>4.0614607719875089</v>
      </c>
      <c r="W120" s="145">
        <v>3.2245647602670262</v>
      </c>
      <c r="X120" s="145"/>
      <c r="Y120" s="145"/>
      <c r="Z120" s="145">
        <v>7.66</v>
      </c>
      <c r="AA120" s="145">
        <v>14.269344739792539</v>
      </c>
      <c r="AB120" s="145"/>
      <c r="AC120" s="145"/>
      <c r="AD120" s="145"/>
      <c r="AE120" s="145"/>
      <c r="AF120" s="145"/>
      <c r="AG120" s="145">
        <v>54.497926807283214</v>
      </c>
      <c r="AH120" s="145"/>
    </row>
    <row r="121" spans="1:34">
      <c r="A121" s="141" t="s">
        <v>247</v>
      </c>
      <c r="B121" s="145"/>
      <c r="C121" s="145"/>
      <c r="D121" s="145"/>
      <c r="E121" s="145"/>
      <c r="F121" s="145"/>
      <c r="G121" s="145">
        <v>18.2</v>
      </c>
      <c r="H121" s="145">
        <v>5.4</v>
      </c>
      <c r="I121" s="145">
        <v>1.8220249495153458</v>
      </c>
      <c r="J121" s="145">
        <v>7.6999176391103337</v>
      </c>
      <c r="K121" s="145">
        <v>1.9621997036803407</v>
      </c>
      <c r="L121" s="145"/>
      <c r="M121" s="145"/>
      <c r="N121" s="145">
        <v>23.510757867694288</v>
      </c>
      <c r="O121" s="145">
        <v>3.2239279256424287</v>
      </c>
      <c r="P121" s="145"/>
      <c r="Q121" s="145"/>
      <c r="R121" s="145"/>
      <c r="S121" s="145">
        <v>5.51</v>
      </c>
      <c r="T121" s="145">
        <v>3.8635645265526728</v>
      </c>
      <c r="U121" s="145"/>
      <c r="V121" s="145">
        <v>3.7326311724875501</v>
      </c>
      <c r="W121" s="145">
        <v>2.9499604578990253</v>
      </c>
      <c r="X121" s="145">
        <v>4.6509205452669313</v>
      </c>
      <c r="Y121" s="145">
        <v>22.703384781277812</v>
      </c>
      <c r="Z121" s="145">
        <v>7.58</v>
      </c>
      <c r="AA121" s="145">
        <v>10.695768160044659</v>
      </c>
      <c r="AB121" s="145"/>
      <c r="AC121" s="145"/>
      <c r="AD121" s="145"/>
      <c r="AE121" s="145"/>
      <c r="AF121" s="145"/>
      <c r="AG121" s="145">
        <v>52.407880335643931</v>
      </c>
      <c r="AH121" s="156">
        <v>5.7735857649996918</v>
      </c>
    </row>
    <row r="122" spans="1:34">
      <c r="A122" s="141" t="s">
        <v>248</v>
      </c>
      <c r="B122" s="145"/>
      <c r="C122" s="145"/>
      <c r="D122" s="145"/>
      <c r="E122" s="145"/>
      <c r="F122" s="145"/>
      <c r="G122" s="145">
        <v>17.75</v>
      </c>
      <c r="H122" s="145">
        <v>5.5</v>
      </c>
      <c r="I122" s="145">
        <v>1.772454406645688</v>
      </c>
      <c r="J122" s="145">
        <v>7.4929256850319188</v>
      </c>
      <c r="K122" s="145">
        <v>1.9089509420308874</v>
      </c>
      <c r="L122" s="145"/>
      <c r="M122" s="145"/>
      <c r="N122" s="145">
        <v>22.900717342817529</v>
      </c>
      <c r="O122" s="145">
        <v>3.1086674282468785</v>
      </c>
      <c r="P122" s="145"/>
      <c r="Q122" s="145"/>
      <c r="R122" s="145"/>
      <c r="S122" s="145"/>
      <c r="T122" s="145">
        <v>3.9668719401172963</v>
      </c>
      <c r="U122" s="145"/>
      <c r="V122" s="145">
        <v>3.6223827308723147</v>
      </c>
      <c r="W122" s="145">
        <v>2.8208338653738538</v>
      </c>
      <c r="X122" s="145"/>
      <c r="Y122" s="145"/>
      <c r="Z122" s="145">
        <v>7.18</v>
      </c>
      <c r="AA122" s="145">
        <v>11.181625784891356</v>
      </c>
      <c r="AB122" s="145"/>
      <c r="AC122" s="145"/>
      <c r="AD122" s="145"/>
      <c r="AE122" s="145"/>
      <c r="AF122" s="145"/>
      <c r="AG122" s="145">
        <v>51.355338373593952</v>
      </c>
      <c r="AH122" s="145"/>
    </row>
    <row r="123" spans="1:34">
      <c r="A123" s="141" t="s">
        <v>249</v>
      </c>
      <c r="B123" s="145"/>
      <c r="C123" s="145"/>
      <c r="D123" s="145"/>
      <c r="E123" s="145"/>
      <c r="F123" s="145"/>
      <c r="G123" s="145">
        <v>17.829999999999998</v>
      </c>
      <c r="H123" s="145">
        <v>5.0999999999999996</v>
      </c>
      <c r="I123" s="145">
        <v>1.7107168709905676</v>
      </c>
      <c r="J123" s="145">
        <v>7.3417880546776422</v>
      </c>
      <c r="K123" s="145">
        <v>1.7545269999999999</v>
      </c>
      <c r="L123" s="145"/>
      <c r="M123" s="145"/>
      <c r="N123" s="145">
        <v>22.294131660446283</v>
      </c>
      <c r="O123" s="145">
        <v>2.9822221910716284</v>
      </c>
      <c r="P123" s="145"/>
      <c r="Q123" s="145"/>
      <c r="R123" s="145"/>
      <c r="S123" s="145"/>
      <c r="T123" s="145">
        <v>4.2162754370276421</v>
      </c>
      <c r="U123" s="145"/>
      <c r="V123" s="145">
        <v>3.5891700353223657</v>
      </c>
      <c r="W123" s="145">
        <v>2.6405741808518997</v>
      </c>
      <c r="X123" s="145"/>
      <c r="Y123" s="145"/>
      <c r="Z123" s="145">
        <v>6.81</v>
      </c>
      <c r="AA123" s="145">
        <v>12.262101686170171</v>
      </c>
      <c r="AB123" s="145"/>
      <c r="AC123" s="145"/>
      <c r="AD123" s="145"/>
      <c r="AE123" s="145"/>
      <c r="AF123" s="145"/>
      <c r="AG123" s="145">
        <v>49.953522959657931</v>
      </c>
      <c r="AH123" s="145"/>
    </row>
    <row r="124" spans="1:34" ht="12" thickBot="1">
      <c r="A124" s="150" t="s">
        <v>250</v>
      </c>
      <c r="B124" s="151"/>
      <c r="C124" s="151">
        <v>33.483545361083209</v>
      </c>
      <c r="D124" s="151"/>
      <c r="E124" s="151"/>
      <c r="F124" s="151"/>
      <c r="G124" s="151">
        <v>16.739999999999998</v>
      </c>
      <c r="H124" s="151">
        <v>4.4000000000000004</v>
      </c>
      <c r="I124" s="151">
        <v>1.6348368594291587</v>
      </c>
      <c r="J124" s="151">
        <v>6.7596866557057673</v>
      </c>
      <c r="K124" s="151">
        <v>1.6580992061234348</v>
      </c>
      <c r="L124" s="151"/>
      <c r="M124" s="151"/>
      <c r="N124" s="151">
        <v>20.594270381185385</v>
      </c>
      <c r="O124" s="151">
        <v>2.8466466395338608</v>
      </c>
      <c r="P124" s="151"/>
      <c r="Q124" s="151"/>
      <c r="R124" s="151"/>
      <c r="S124" s="151" t="s">
        <v>402</v>
      </c>
      <c r="T124" s="157">
        <v>3.7800368002915961</v>
      </c>
      <c r="U124" s="157"/>
      <c r="V124" s="151">
        <v>3.1512575464801102</v>
      </c>
      <c r="W124" s="151">
        <v>3.4652997193883039</v>
      </c>
      <c r="X124" s="151">
        <v>4.3303942022619966</v>
      </c>
      <c r="Y124" s="151">
        <v>20.59643291278423</v>
      </c>
      <c r="Z124" s="151">
        <v>5.8</v>
      </c>
      <c r="AA124" s="151">
        <v>8.9500581808154713</v>
      </c>
      <c r="AB124" s="151"/>
      <c r="AC124" s="151"/>
      <c r="AD124" s="151"/>
      <c r="AE124" s="151"/>
      <c r="AF124" s="151"/>
      <c r="AG124" s="151">
        <v>27.115678985348783</v>
      </c>
      <c r="AH124" s="155">
        <v>3.6964490837464248</v>
      </c>
    </row>
    <row r="125" spans="1:34">
      <c r="A125" s="141" t="s">
        <v>251</v>
      </c>
      <c r="B125" s="145"/>
      <c r="C125" s="145"/>
      <c r="D125" s="145"/>
      <c r="E125" s="145"/>
      <c r="F125" s="145"/>
      <c r="G125" s="145">
        <v>17.559999999999999</v>
      </c>
      <c r="H125" s="145">
        <v>4.2</v>
      </c>
      <c r="I125" s="145">
        <v>1.6494265652629878</v>
      </c>
      <c r="J125" s="145">
        <v>6.8495556574419192</v>
      </c>
      <c r="K125" s="145">
        <v>1.7856810965453878</v>
      </c>
      <c r="L125" s="145"/>
      <c r="M125" s="145"/>
      <c r="N125" s="145">
        <v>20.330249676713418</v>
      </c>
      <c r="O125" s="145">
        <v>2.9222075581245353</v>
      </c>
      <c r="P125" s="145"/>
      <c r="Q125" s="145">
        <v>3.6</v>
      </c>
      <c r="R125" s="145"/>
      <c r="S125" s="145"/>
      <c r="T125" s="145">
        <v>4.3166676142046283</v>
      </c>
      <c r="U125" s="145"/>
      <c r="V125" s="145">
        <v>3.332181536063016</v>
      </c>
      <c r="W125" s="145">
        <v>2.6654929134535053</v>
      </c>
      <c r="X125" s="145"/>
      <c r="Y125" s="145"/>
      <c r="Z125" s="145">
        <v>5.98</v>
      </c>
      <c r="AA125" s="145">
        <v>10.294697489821152</v>
      </c>
      <c r="AB125" s="145"/>
      <c r="AC125" s="145"/>
      <c r="AD125" s="145"/>
      <c r="AE125" s="145"/>
      <c r="AF125" s="145"/>
      <c r="AG125" s="145">
        <v>26.95536897923111</v>
      </c>
      <c r="AH125" s="145"/>
    </row>
    <row r="126" spans="1:34">
      <c r="A126" s="141" t="s">
        <v>252</v>
      </c>
      <c r="B126" s="145"/>
      <c r="C126" s="145"/>
      <c r="D126" s="145"/>
      <c r="E126" s="145"/>
      <c r="F126" s="145"/>
      <c r="G126" s="145">
        <v>18.190000000000001</v>
      </c>
      <c r="H126" s="145">
        <v>3.8</v>
      </c>
      <c r="I126" s="145">
        <v>1.6421539418182536</v>
      </c>
      <c r="J126" s="145">
        <v>6.7105806032436561</v>
      </c>
      <c r="K126" s="145">
        <v>1.7603620458998843</v>
      </c>
      <c r="L126" s="145"/>
      <c r="M126" s="145"/>
      <c r="N126" s="145">
        <v>20.989730703021429</v>
      </c>
      <c r="O126" s="145">
        <v>2.914077949204978</v>
      </c>
      <c r="P126" s="145"/>
      <c r="Q126" s="145">
        <v>3.61</v>
      </c>
      <c r="R126" s="145"/>
      <c r="S126" s="145"/>
      <c r="T126" s="145">
        <v>4.0324273741762093</v>
      </c>
      <c r="U126" s="145"/>
      <c r="V126" s="145">
        <v>3.294179998533858</v>
      </c>
      <c r="W126" s="145">
        <v>2.5945894765487547</v>
      </c>
      <c r="X126" s="145"/>
      <c r="Y126" s="145"/>
      <c r="Z126" s="145">
        <v>5.79</v>
      </c>
      <c r="AA126" s="145">
        <v>10.020257201921547</v>
      </c>
      <c r="AB126" s="145"/>
      <c r="AC126" s="145"/>
      <c r="AD126" s="145"/>
      <c r="AE126" s="145"/>
      <c r="AF126" s="145"/>
      <c r="AG126" s="145">
        <v>27.346848832084618</v>
      </c>
      <c r="AH126" s="145"/>
    </row>
    <row r="127" spans="1:34">
      <c r="A127" s="141" t="s">
        <v>253</v>
      </c>
      <c r="B127" s="145"/>
      <c r="C127" s="145"/>
      <c r="D127" s="145"/>
      <c r="E127" s="145"/>
      <c r="F127" s="145"/>
      <c r="G127" s="145">
        <v>18.23</v>
      </c>
      <c r="H127" s="145">
        <v>3.4</v>
      </c>
      <c r="I127" s="145">
        <v>1.5702980005982186</v>
      </c>
      <c r="J127" s="145">
        <v>6.6129623598140661</v>
      </c>
      <c r="K127" s="145">
        <v>1.6062673953271651</v>
      </c>
      <c r="L127" s="145"/>
      <c r="M127" s="145"/>
      <c r="N127" s="145">
        <v>19.540677306344882</v>
      </c>
      <c r="O127" s="145">
        <v>2.6890557250083211</v>
      </c>
      <c r="P127" s="145"/>
      <c r="Q127" s="145">
        <v>3.55</v>
      </c>
      <c r="R127" s="145"/>
      <c r="S127" s="145">
        <v>7.4553455863318669</v>
      </c>
      <c r="T127" s="145">
        <v>3.5289047497781363</v>
      </c>
      <c r="U127" s="145"/>
      <c r="V127" s="145">
        <v>3.1877139910897752</v>
      </c>
      <c r="W127" s="145">
        <v>2.7896807254589993</v>
      </c>
      <c r="X127" s="145">
        <v>4.2200598802395213</v>
      </c>
      <c r="Y127" s="145">
        <v>18.621855622333932</v>
      </c>
      <c r="Z127" s="145">
        <v>5.75</v>
      </c>
      <c r="AA127" s="145">
        <v>8.7966111743539432</v>
      </c>
      <c r="AB127" s="145"/>
      <c r="AC127" s="145"/>
      <c r="AD127" s="145"/>
      <c r="AE127" s="145"/>
      <c r="AF127" s="145"/>
      <c r="AG127" s="145">
        <v>28.097147950089123</v>
      </c>
      <c r="AH127" s="156">
        <v>3.8551039709836319</v>
      </c>
    </row>
    <row r="128" spans="1:34">
      <c r="A128" s="141" t="s">
        <v>254</v>
      </c>
      <c r="B128" s="145"/>
      <c r="C128" s="145"/>
      <c r="D128" s="145"/>
      <c r="E128" s="145"/>
      <c r="F128" s="145"/>
      <c r="G128" s="145">
        <v>17.91</v>
      </c>
      <c r="H128" s="145">
        <v>3.4</v>
      </c>
      <c r="I128" s="145">
        <v>1.5503851805699294</v>
      </c>
      <c r="J128" s="145">
        <v>6.583752444053907</v>
      </c>
      <c r="K128" s="145">
        <v>1.8446854818940792</v>
      </c>
      <c r="L128" s="145"/>
      <c r="M128" s="145"/>
      <c r="N128" s="145">
        <v>18.992115836555229</v>
      </c>
      <c r="O128" s="145">
        <v>2.7564811734436603</v>
      </c>
      <c r="P128" s="145"/>
      <c r="Q128" s="145">
        <v>3.41</v>
      </c>
      <c r="R128" s="145"/>
      <c r="S128" s="145"/>
      <c r="T128" s="145">
        <v>3.8417342079101275</v>
      </c>
      <c r="U128" s="145"/>
      <c r="V128" s="145">
        <v>3.1730732589422286</v>
      </c>
      <c r="W128" s="145">
        <v>2.5278991173348353</v>
      </c>
      <c r="X128" s="145"/>
      <c r="Y128" s="145"/>
      <c r="Z128" s="145">
        <v>5.69</v>
      </c>
      <c r="AA128" s="145">
        <v>8.6432885912688526</v>
      </c>
      <c r="AB128" s="145"/>
      <c r="AC128" s="145"/>
      <c r="AD128" s="145"/>
      <c r="AE128" s="145"/>
      <c r="AF128" s="145"/>
      <c r="AG128" s="145">
        <v>27.47887950200089</v>
      </c>
      <c r="AH128" s="145"/>
    </row>
    <row r="129" spans="1:34">
      <c r="A129" s="141" t="s">
        <v>255</v>
      </c>
      <c r="B129" s="145"/>
      <c r="C129" s="145"/>
      <c r="D129" s="145"/>
      <c r="E129" s="145"/>
      <c r="F129" s="145"/>
      <c r="G129" s="145">
        <v>18.239999999999998</v>
      </c>
      <c r="H129" s="145">
        <v>3.6</v>
      </c>
      <c r="I129" s="145">
        <v>1.511048325457176</v>
      </c>
      <c r="J129" s="145">
        <v>6.1978532092955607</v>
      </c>
      <c r="K129" s="145">
        <v>1.7449794707169346</v>
      </c>
      <c r="L129" s="145"/>
      <c r="M129" s="145"/>
      <c r="N129" s="145">
        <v>19.064950658511879</v>
      </c>
      <c r="O129" s="145">
        <v>2.8196294979376519</v>
      </c>
      <c r="P129" s="145"/>
      <c r="Q129" s="145">
        <v>3.23</v>
      </c>
      <c r="R129" s="145"/>
      <c r="S129" s="145"/>
      <c r="T129" s="145">
        <v>3.663504462666165</v>
      </c>
      <c r="U129" s="145"/>
      <c r="V129" s="145">
        <v>3.053746244610938</v>
      </c>
      <c r="W129" s="145">
        <v>2.5410789975807186</v>
      </c>
      <c r="X129" s="145"/>
      <c r="Y129" s="145"/>
      <c r="Z129" s="145">
        <v>5.5</v>
      </c>
      <c r="AA129" s="145">
        <v>9.010348476848181</v>
      </c>
      <c r="AB129" s="145"/>
      <c r="AC129" s="145"/>
      <c r="AD129" s="145"/>
      <c r="AE129" s="145"/>
      <c r="AF129" s="145"/>
      <c r="AG129" s="145">
        <v>26.166328600405681</v>
      </c>
      <c r="AH129" s="145"/>
    </row>
    <row r="130" spans="1:34">
      <c r="A130" s="141" t="s">
        <v>256</v>
      </c>
      <c r="B130" s="145"/>
      <c r="C130" s="145"/>
      <c r="D130" s="145"/>
      <c r="E130" s="145"/>
      <c r="F130" s="145"/>
      <c r="G130" s="145">
        <v>17.57</v>
      </c>
      <c r="H130" s="145">
        <v>3.2</v>
      </c>
      <c r="I130" s="145">
        <v>1.4880038848419661</v>
      </c>
      <c r="J130" s="145">
        <v>5.3153426219897186</v>
      </c>
      <c r="K130" s="145">
        <v>1.6805500027521187</v>
      </c>
      <c r="L130" s="145"/>
      <c r="M130" s="145"/>
      <c r="N130" s="145">
        <v>17.955607906651455</v>
      </c>
      <c r="O130" s="145">
        <v>2.5667676495524678</v>
      </c>
      <c r="P130" s="145"/>
      <c r="Q130" s="145">
        <v>3.66</v>
      </c>
      <c r="R130" s="145"/>
      <c r="S130" s="145" t="s">
        <v>402</v>
      </c>
      <c r="T130" s="145">
        <v>3.3312639323392244</v>
      </c>
      <c r="U130" s="145"/>
      <c r="V130" s="145">
        <v>2.9942182819435827</v>
      </c>
      <c r="W130" s="145">
        <v>2.4676879816983432</v>
      </c>
      <c r="X130" s="145">
        <v>3.772078883366818</v>
      </c>
      <c r="Y130" s="145">
        <v>17.423930073818333</v>
      </c>
      <c r="Z130" s="145">
        <v>5.0999999999999996</v>
      </c>
      <c r="AA130" s="145">
        <v>8.6837882669085182</v>
      </c>
      <c r="AB130" s="145"/>
      <c r="AC130" s="145"/>
      <c r="AD130" s="145"/>
      <c r="AE130" s="145"/>
      <c r="AF130" s="145"/>
      <c r="AG130" s="145">
        <v>21.391631405735779</v>
      </c>
      <c r="AH130" s="158">
        <v>2.7589679640226308</v>
      </c>
    </row>
    <row r="131" spans="1:34">
      <c r="A131" s="141" t="s">
        <v>257</v>
      </c>
      <c r="B131" s="145"/>
      <c r="C131" s="145"/>
      <c r="D131" s="145"/>
      <c r="E131" s="145"/>
      <c r="F131" s="145"/>
      <c r="G131" s="145">
        <v>17.940000000000001</v>
      </c>
      <c r="H131" s="145">
        <v>3.3</v>
      </c>
      <c r="I131" s="145">
        <v>1.4445305500191901</v>
      </c>
      <c r="J131" s="145">
        <v>5.3299153208359362</v>
      </c>
      <c r="K131" s="145">
        <v>2.0439539498012573</v>
      </c>
      <c r="L131" s="145"/>
      <c r="M131" s="145"/>
      <c r="N131" s="145">
        <v>17.990234795720543</v>
      </c>
      <c r="O131" s="145">
        <v>2.8671751624217046</v>
      </c>
      <c r="P131" s="145"/>
      <c r="Q131" s="145">
        <v>3.8799999999999946</v>
      </c>
      <c r="R131" s="145"/>
      <c r="S131" s="145"/>
      <c r="T131" s="145">
        <v>3.7694144926334214</v>
      </c>
      <c r="U131" s="145"/>
      <c r="V131" s="145">
        <v>2.9199399023484247</v>
      </c>
      <c r="W131" s="145">
        <v>2.3383544634308806</v>
      </c>
      <c r="X131" s="145"/>
      <c r="Y131" s="145"/>
      <c r="Z131" s="145">
        <v>5.0599999999999996</v>
      </c>
      <c r="AA131" s="145">
        <v>8.2590893243006107</v>
      </c>
      <c r="AB131" s="145"/>
      <c r="AC131" s="145"/>
      <c r="AD131" s="145"/>
      <c r="AE131" s="145"/>
      <c r="AF131" s="145"/>
      <c r="AG131" s="145">
        <v>21.200661782084616</v>
      </c>
      <c r="AH131" s="145"/>
    </row>
    <row r="132" spans="1:34">
      <c r="A132" s="141" t="s">
        <v>258</v>
      </c>
      <c r="B132" s="145"/>
      <c r="C132" s="145"/>
      <c r="D132" s="145"/>
      <c r="E132" s="145"/>
      <c r="F132" s="145"/>
      <c r="G132" s="145">
        <v>17.45</v>
      </c>
      <c r="H132" s="145">
        <v>3.1</v>
      </c>
      <c r="I132" s="145">
        <v>1.3960714561186338</v>
      </c>
      <c r="J132" s="145">
        <v>4.8642657324739185</v>
      </c>
      <c r="K132" s="145">
        <v>2.1520917637651276</v>
      </c>
      <c r="L132" s="145"/>
      <c r="M132" s="145"/>
      <c r="N132" s="145">
        <v>18.406636680259727</v>
      </c>
      <c r="O132" s="145">
        <v>2.8986465301877722</v>
      </c>
      <c r="P132" s="145"/>
      <c r="Q132" s="145">
        <v>3.9799999999999947</v>
      </c>
      <c r="R132" s="145"/>
      <c r="S132" s="145"/>
      <c r="T132" s="145">
        <v>3.6738646164140341</v>
      </c>
      <c r="U132" s="145"/>
      <c r="V132" s="145">
        <v>2.8909118046671654</v>
      </c>
      <c r="W132" s="145">
        <v>2.4994923051211289</v>
      </c>
      <c r="X132" s="145"/>
      <c r="Y132" s="145"/>
      <c r="Z132" s="145">
        <v>4.93</v>
      </c>
      <c r="AA132" s="145">
        <v>8.8002756138064253</v>
      </c>
      <c r="AB132" s="145"/>
      <c r="AC132" s="145"/>
      <c r="AD132" s="145"/>
      <c r="AE132" s="145"/>
      <c r="AF132" s="145"/>
      <c r="AG132" s="145">
        <v>21.425211665098779</v>
      </c>
      <c r="AH132" s="145"/>
    </row>
    <row r="133" spans="1:34">
      <c r="A133" s="141" t="s">
        <v>259</v>
      </c>
      <c r="B133" s="145"/>
      <c r="C133" s="145"/>
      <c r="D133" s="145"/>
      <c r="E133" s="145"/>
      <c r="F133" s="145"/>
      <c r="G133" s="145">
        <v>17.441457068516911</v>
      </c>
      <c r="H133" s="145">
        <v>3.1</v>
      </c>
      <c r="I133" s="145">
        <v>1.3882152784512083</v>
      </c>
      <c r="J133" s="145">
        <v>4.3261404664718617</v>
      </c>
      <c r="K133" s="145">
        <v>2.0300551200464123</v>
      </c>
      <c r="L133" s="145"/>
      <c r="M133" s="145"/>
      <c r="N133" s="145">
        <v>17.933094384707289</v>
      </c>
      <c r="O133" s="145">
        <v>2.7300386189548642</v>
      </c>
      <c r="P133" s="145"/>
      <c r="Q133" s="145">
        <v>3.99</v>
      </c>
      <c r="R133" s="145"/>
      <c r="S133" s="145" t="s">
        <v>402</v>
      </c>
      <c r="T133" s="145">
        <v>3.4252685287375373</v>
      </c>
      <c r="U133" s="145"/>
      <c r="V133" s="145">
        <v>2.7207810951461111</v>
      </c>
      <c r="W133" s="145">
        <v>2.3531116609954563</v>
      </c>
      <c r="X133" s="145">
        <v>3.5379467953985206</v>
      </c>
      <c r="Y133" s="145">
        <v>14.857314259242301</v>
      </c>
      <c r="Z133" s="145">
        <v>4.59</v>
      </c>
      <c r="AA133" s="145">
        <v>8.4306013262254424</v>
      </c>
      <c r="AB133" s="145"/>
      <c r="AC133" s="145"/>
      <c r="AD133" s="145"/>
      <c r="AE133" s="145"/>
      <c r="AF133" s="145"/>
      <c r="AG133" s="145">
        <v>20.969976905311778</v>
      </c>
      <c r="AH133" s="158">
        <v>2.4686126269054443</v>
      </c>
    </row>
    <row r="134" spans="1:34">
      <c r="A134" s="141" t="s">
        <v>260</v>
      </c>
      <c r="B134" s="145"/>
      <c r="C134" s="145"/>
      <c r="D134" s="145"/>
      <c r="E134" s="145"/>
      <c r="F134" s="145"/>
      <c r="G134" s="145">
        <v>16.72</v>
      </c>
      <c r="H134" s="145">
        <v>3.1</v>
      </c>
      <c r="I134" s="145">
        <v>1.3625295020675916</v>
      </c>
      <c r="J134" s="145">
        <v>4.1936612316203954</v>
      </c>
      <c r="K134" s="145">
        <v>2.1108923170033114</v>
      </c>
      <c r="L134" s="145"/>
      <c r="M134" s="145"/>
      <c r="N134" s="145">
        <v>17.649107098443022</v>
      </c>
      <c r="O134" s="145">
        <v>2.77663696409802</v>
      </c>
      <c r="P134" s="145"/>
      <c r="Q134" s="145">
        <v>4.1100000000000003</v>
      </c>
      <c r="R134" s="145"/>
      <c r="S134" s="145"/>
      <c r="T134" s="145">
        <v>3.1058840042014748</v>
      </c>
      <c r="U134" s="145"/>
      <c r="V134" s="145">
        <v>2.7027949584736679</v>
      </c>
      <c r="W134" s="145">
        <v>2.5981657919733854</v>
      </c>
      <c r="X134" s="145"/>
      <c r="Y134" s="145"/>
      <c r="Z134" s="145">
        <v>4.47</v>
      </c>
      <c r="AA134" s="145">
        <v>8.8194385110427564</v>
      </c>
      <c r="AB134" s="145"/>
      <c r="AC134" s="145"/>
      <c r="AD134" s="145"/>
      <c r="AE134" s="145"/>
      <c r="AF134" s="145"/>
      <c r="AG134" s="145">
        <v>20.676172953081874</v>
      </c>
      <c r="AH134" s="145"/>
    </row>
    <row r="135" spans="1:34">
      <c r="A135" s="141" t="s">
        <v>261</v>
      </c>
      <c r="B135" s="145"/>
      <c r="C135" s="145"/>
      <c r="D135" s="145"/>
      <c r="E135" s="145"/>
      <c r="F135" s="145"/>
      <c r="G135" s="145">
        <v>16.39</v>
      </c>
      <c r="H135" s="145">
        <v>3.2</v>
      </c>
      <c r="I135" s="145">
        <v>1.302319567548397</v>
      </c>
      <c r="J135" s="145">
        <v>4.0075573818965777</v>
      </c>
      <c r="K135" s="145">
        <v>2.0143641052308876</v>
      </c>
      <c r="L135" s="145"/>
      <c r="M135" s="145"/>
      <c r="N135" s="145">
        <v>17.827192910478377</v>
      </c>
      <c r="O135" s="145">
        <v>2.8648195505856897</v>
      </c>
      <c r="P135" s="145"/>
      <c r="Q135" s="145">
        <v>3.64</v>
      </c>
      <c r="R135" s="145"/>
      <c r="S135" s="145"/>
      <c r="T135" s="145">
        <v>3.0784601110723222</v>
      </c>
      <c r="U135" s="145"/>
      <c r="V135" s="145">
        <v>2.65603254458069</v>
      </c>
      <c r="W135" s="145">
        <v>2.1173252237902505</v>
      </c>
      <c r="X135" s="145"/>
      <c r="Y135" s="145"/>
      <c r="Z135" s="145">
        <v>4.1438819761475187</v>
      </c>
      <c r="AA135" s="145">
        <v>9.1127768252634294</v>
      </c>
      <c r="AB135" s="145"/>
      <c r="AC135" s="145"/>
      <c r="AD135" s="145"/>
      <c r="AE135" s="145"/>
      <c r="AF135" s="145"/>
      <c r="AG135" s="145">
        <v>21.068249258160236</v>
      </c>
      <c r="AH135" s="145"/>
    </row>
    <row r="136" spans="1:34" ht="12" thickBot="1">
      <c r="A136" s="150" t="s">
        <v>262</v>
      </c>
      <c r="B136" s="151"/>
      <c r="C136" s="151">
        <v>18.556685321503284</v>
      </c>
      <c r="D136" s="151"/>
      <c r="E136" s="151"/>
      <c r="F136" s="151"/>
      <c r="G136" s="151">
        <v>14.02</v>
      </c>
      <c r="H136" s="151">
        <v>3.1</v>
      </c>
      <c r="I136" s="151">
        <v>1.2024973680226425</v>
      </c>
      <c r="J136" s="151">
        <v>3.274555998679276</v>
      </c>
      <c r="K136" s="151">
        <v>1.9292282559360558</v>
      </c>
      <c r="L136" s="151"/>
      <c r="M136" s="151"/>
      <c r="N136" s="151">
        <v>14.879974377452157</v>
      </c>
      <c r="O136" s="151">
        <v>2.4028563043819906</v>
      </c>
      <c r="P136" s="151"/>
      <c r="Q136" s="151">
        <v>3.25</v>
      </c>
      <c r="R136" s="151"/>
      <c r="S136" s="151">
        <v>8.27</v>
      </c>
      <c r="T136" s="151">
        <v>2.6087297714671185</v>
      </c>
      <c r="U136" s="151"/>
      <c r="V136" s="151">
        <v>2.5144543573463789</v>
      </c>
      <c r="W136" s="151">
        <v>2.7324421172815487</v>
      </c>
      <c r="X136" s="151">
        <v>3.4134956725832479</v>
      </c>
      <c r="Y136" s="151">
        <v>10.425996367664174</v>
      </c>
      <c r="Z136" s="151">
        <v>3.707334762962629</v>
      </c>
      <c r="AA136" s="151">
        <v>7.0340627123240465</v>
      </c>
      <c r="AB136" s="151"/>
      <c r="AC136" s="151"/>
      <c r="AD136" s="151"/>
      <c r="AE136" s="151"/>
      <c r="AF136" s="151"/>
      <c r="AG136" s="151">
        <v>18.705207835642618</v>
      </c>
      <c r="AH136" s="159">
        <v>1.6758208401988564</v>
      </c>
    </row>
    <row r="137" spans="1:34">
      <c r="A137" s="141" t="s">
        <v>263</v>
      </c>
      <c r="B137" s="145"/>
      <c r="C137" s="145"/>
      <c r="D137" s="145"/>
      <c r="E137" s="145"/>
      <c r="F137" s="145"/>
      <c r="G137" s="145">
        <v>14.2</v>
      </c>
      <c r="H137" s="145">
        <v>3.3</v>
      </c>
      <c r="I137" s="145">
        <v>1.2178897570065621</v>
      </c>
      <c r="J137" s="145">
        <v>3.4907847002138337</v>
      </c>
      <c r="K137" s="145">
        <v>2.0626642416779917</v>
      </c>
      <c r="L137" s="145"/>
      <c r="M137" s="145"/>
      <c r="N137" s="145">
        <v>15.632702811071761</v>
      </c>
      <c r="O137" s="145">
        <v>2.5914725155901137</v>
      </c>
      <c r="P137" s="145"/>
      <c r="Q137" s="145">
        <v>3.52</v>
      </c>
      <c r="R137" s="145"/>
      <c r="S137" s="145"/>
      <c r="T137" s="145">
        <v>2.8231283302001096</v>
      </c>
      <c r="U137" s="145"/>
      <c r="V137" s="145">
        <v>2.4933193188253173</v>
      </c>
      <c r="W137" s="145">
        <v>2.0957207262983628</v>
      </c>
      <c r="X137" s="145"/>
      <c r="Y137" s="145"/>
      <c r="Z137" s="145">
        <v>3.7824116314591407</v>
      </c>
      <c r="AA137" s="145">
        <v>7.4588125299482462</v>
      </c>
      <c r="AB137" s="145"/>
      <c r="AC137" s="145"/>
      <c r="AD137" s="145"/>
      <c r="AE137" s="145"/>
      <c r="AF137" s="145"/>
      <c r="AG137" s="145">
        <v>19.285042333019756</v>
      </c>
      <c r="AH137" s="145">
        <v>1.8301502229585245</v>
      </c>
    </row>
    <row r="138" spans="1:34">
      <c r="A138" s="141" t="s">
        <v>264</v>
      </c>
      <c r="B138" s="145"/>
      <c r="C138" s="145"/>
      <c r="D138" s="145"/>
      <c r="E138" s="145"/>
      <c r="F138" s="145"/>
      <c r="G138" s="145">
        <v>15.2</v>
      </c>
      <c r="H138" s="145">
        <v>3.3</v>
      </c>
      <c r="I138" s="145">
        <v>1.2182698404103809</v>
      </c>
      <c r="J138" s="145">
        <v>3.5288708448863706</v>
      </c>
      <c r="K138" s="145">
        <v>1.6472549514695272</v>
      </c>
      <c r="L138" s="145"/>
      <c r="M138" s="145"/>
      <c r="N138" s="145">
        <v>15.825696404234252</v>
      </c>
      <c r="O138" s="145">
        <v>2.6378454077693108</v>
      </c>
      <c r="P138" s="145"/>
      <c r="Q138" s="145">
        <v>3.66</v>
      </c>
      <c r="R138" s="145"/>
      <c r="S138" s="145"/>
      <c r="T138" s="145">
        <v>3.0229219671590388</v>
      </c>
      <c r="U138" s="145"/>
      <c r="V138" s="145">
        <v>2.4931659654384619</v>
      </c>
      <c r="W138" s="145">
        <v>2.1300330112220385</v>
      </c>
      <c r="X138" s="145"/>
      <c r="Y138" s="145"/>
      <c r="Z138" s="145">
        <v>3.7575381326586674</v>
      </c>
      <c r="AA138" s="145">
        <v>8.1287314949961811</v>
      </c>
      <c r="AB138" s="145"/>
      <c r="AC138" s="145"/>
      <c r="AD138" s="145"/>
      <c r="AE138" s="145"/>
      <c r="AF138" s="145"/>
      <c r="AG138" s="145">
        <v>19.380952380952383</v>
      </c>
      <c r="AH138" s="145">
        <v>1.8453737359509774</v>
      </c>
    </row>
    <row r="139" spans="1:34">
      <c r="A139" s="141" t="s">
        <v>265</v>
      </c>
      <c r="B139" s="145"/>
      <c r="C139" s="145"/>
      <c r="D139" s="145"/>
      <c r="E139" s="145"/>
      <c r="F139" s="145"/>
      <c r="G139" s="145">
        <v>15.52</v>
      </c>
      <c r="H139" s="145">
        <v>3.5</v>
      </c>
      <c r="I139" s="145">
        <v>1.20000512096803</v>
      </c>
      <c r="J139" s="145">
        <v>3.4320520233558964</v>
      </c>
      <c r="K139" s="145">
        <v>1.7431729650543035</v>
      </c>
      <c r="L139" s="145"/>
      <c r="M139" s="145"/>
      <c r="N139" s="145">
        <v>15.620284781770996</v>
      </c>
      <c r="O139" s="145">
        <v>2.461165407347369</v>
      </c>
      <c r="P139" s="145"/>
      <c r="Q139" s="145">
        <v>3.54</v>
      </c>
      <c r="R139" s="145">
        <v>18.899999999999999</v>
      </c>
      <c r="S139" s="145">
        <v>10.260021724781323</v>
      </c>
      <c r="T139" s="145">
        <v>2.7220635458618538</v>
      </c>
      <c r="U139" s="145"/>
      <c r="V139" s="145">
        <v>2.416084236607257</v>
      </c>
      <c r="W139" s="145">
        <v>2.2501581037276739</v>
      </c>
      <c r="X139" s="145">
        <v>3.7589604999999944</v>
      </c>
      <c r="Y139" s="145">
        <v>10.306045352838915</v>
      </c>
      <c r="Z139" s="145">
        <v>3.5935165494661767</v>
      </c>
      <c r="AA139" s="145">
        <v>7.2123198192089646</v>
      </c>
      <c r="AB139" s="145"/>
      <c r="AC139" s="145"/>
      <c r="AD139" s="145"/>
      <c r="AE139" s="145"/>
      <c r="AF139" s="145"/>
      <c r="AG139" s="145">
        <v>20.176513851434173</v>
      </c>
      <c r="AH139" s="160">
        <v>1.8436630192436396</v>
      </c>
    </row>
    <row r="140" spans="1:34">
      <c r="A140" s="141" t="s">
        <v>266</v>
      </c>
      <c r="B140" s="145"/>
      <c r="C140" s="145"/>
      <c r="D140" s="145"/>
      <c r="E140" s="145"/>
      <c r="F140" s="145"/>
      <c r="G140" s="145">
        <v>15.19</v>
      </c>
      <c r="H140" s="145">
        <v>3.6</v>
      </c>
      <c r="I140" s="145">
        <v>1.1772041688545565</v>
      </c>
      <c r="J140" s="145">
        <v>3.3864006160240976</v>
      </c>
      <c r="K140" s="145">
        <v>1.7832538464951742</v>
      </c>
      <c r="L140" s="145"/>
      <c r="M140" s="145"/>
      <c r="N140" s="145">
        <v>15.223799573599567</v>
      </c>
      <c r="O140" s="145">
        <v>2.4643753914278497</v>
      </c>
      <c r="P140" s="145"/>
      <c r="Q140" s="145">
        <v>3.63</v>
      </c>
      <c r="R140" s="145"/>
      <c r="S140" s="145"/>
      <c r="T140" s="145">
        <v>2.8989326483946463</v>
      </c>
      <c r="U140" s="145"/>
      <c r="V140" s="145">
        <v>2.4055558991459258</v>
      </c>
      <c r="W140" s="145">
        <v>2.2606641975444841</v>
      </c>
      <c r="X140" s="145"/>
      <c r="Y140" s="145"/>
      <c r="Z140" s="145">
        <v>3.4401432166309256</v>
      </c>
      <c r="AA140" s="145">
        <v>7.7081300417710068</v>
      </c>
      <c r="AB140" s="145"/>
      <c r="AC140" s="145"/>
      <c r="AD140" s="145"/>
      <c r="AE140" s="145"/>
      <c r="AF140" s="145"/>
      <c r="AG140" s="145">
        <v>19.975550122249388</v>
      </c>
      <c r="AH140" s="161">
        <v>1.7315710889213156</v>
      </c>
    </row>
    <row r="141" spans="1:34">
      <c r="A141" s="141" t="s">
        <v>267</v>
      </c>
      <c r="B141" s="145"/>
      <c r="C141" s="145"/>
      <c r="D141" s="145"/>
      <c r="E141" s="145"/>
      <c r="F141" s="145"/>
      <c r="G141" s="145">
        <v>14.9</v>
      </c>
      <c r="H141" s="145">
        <v>3.2</v>
      </c>
      <c r="I141" s="145">
        <v>1.12821950116229</v>
      </c>
      <c r="J141" s="145">
        <v>3.4244930997526235</v>
      </c>
      <c r="K141" s="145">
        <v>1.6952343028551211</v>
      </c>
      <c r="L141" s="145"/>
      <c r="M141" s="145"/>
      <c r="N141" s="145">
        <v>14.87768761476041</v>
      </c>
      <c r="O141" s="145">
        <v>2.5336604012686013</v>
      </c>
      <c r="P141" s="145"/>
      <c r="Q141" s="145">
        <v>3.51</v>
      </c>
      <c r="R141" s="145"/>
      <c r="S141" s="145"/>
      <c r="T141" s="145">
        <v>2.703022167992144</v>
      </c>
      <c r="U141" s="145"/>
      <c r="V141" s="145">
        <v>2.6390803108095766</v>
      </c>
      <c r="W141" s="145">
        <v>2.2625025015417841</v>
      </c>
      <c r="X141" s="145"/>
      <c r="Y141" s="145"/>
      <c r="Z141" s="145">
        <v>3.3025402223367175</v>
      </c>
      <c r="AA141" s="145">
        <v>7.8208236634139991</v>
      </c>
      <c r="AB141" s="145"/>
      <c r="AC141" s="145"/>
      <c r="AD141" s="145"/>
      <c r="AE141" s="145"/>
      <c r="AF141" s="145"/>
      <c r="AG141" s="145">
        <v>19.922348944430961</v>
      </c>
      <c r="AH141" s="161">
        <v>1.7222689290387145</v>
      </c>
    </row>
    <row r="142" spans="1:34">
      <c r="A142" s="141" t="s">
        <v>268</v>
      </c>
      <c r="B142" s="145"/>
      <c r="C142" s="145"/>
      <c r="D142" s="145"/>
      <c r="E142" s="145"/>
      <c r="F142" s="145"/>
      <c r="G142" s="145">
        <v>13.66</v>
      </c>
      <c r="H142" s="145">
        <v>3.1</v>
      </c>
      <c r="I142" s="145">
        <v>1.1034296159536565</v>
      </c>
      <c r="J142" s="145">
        <v>3.1605782266231475</v>
      </c>
      <c r="K142" s="145">
        <v>1.5408898463485965</v>
      </c>
      <c r="L142" s="145"/>
      <c r="M142" s="145"/>
      <c r="N142" s="145">
        <v>14.138064243387246</v>
      </c>
      <c r="O142" s="145">
        <v>2.063909029694623</v>
      </c>
      <c r="P142" s="145"/>
      <c r="Q142" s="145">
        <v>3.3800000000000052</v>
      </c>
      <c r="R142" s="145">
        <v>16.399999999999999</v>
      </c>
      <c r="S142" s="145">
        <v>9.6166768853464131</v>
      </c>
      <c r="T142" s="145">
        <v>2.4947400292569615</v>
      </c>
      <c r="U142" s="145"/>
      <c r="V142" s="145">
        <v>2.2737413101795201</v>
      </c>
      <c r="W142" s="145">
        <v>2.2231533048870973</v>
      </c>
      <c r="X142" s="145">
        <v>3.5473386183465454</v>
      </c>
      <c r="Y142" s="145">
        <v>10.038100898271772</v>
      </c>
      <c r="Z142" s="145">
        <v>3.000586870803239</v>
      </c>
      <c r="AA142" s="145">
        <v>7.4513738997621299</v>
      </c>
      <c r="AB142" s="145"/>
      <c r="AC142" s="145"/>
      <c r="AD142" s="145"/>
      <c r="AE142" s="145"/>
      <c r="AF142" s="145"/>
      <c r="AG142" s="145">
        <v>19.305113775385369</v>
      </c>
      <c r="AH142" s="161">
        <v>1.3774992802326611</v>
      </c>
    </row>
    <row r="143" spans="1:34">
      <c r="A143" s="141" t="s">
        <v>269</v>
      </c>
      <c r="B143" s="145"/>
      <c r="C143" s="145"/>
      <c r="D143" s="145"/>
      <c r="E143" s="145"/>
      <c r="F143" s="145"/>
      <c r="G143" s="145">
        <v>14.31</v>
      </c>
      <c r="H143" s="145">
        <v>3.3</v>
      </c>
      <c r="I143" s="145">
        <v>1.0654592046957068</v>
      </c>
      <c r="J143" s="145">
        <v>3.2882730589508435</v>
      </c>
      <c r="K143" s="145">
        <v>1.5631509786669742</v>
      </c>
      <c r="L143" s="145"/>
      <c r="M143" s="145"/>
      <c r="N143" s="145">
        <v>14.249786134671606</v>
      </c>
      <c r="O143" s="145">
        <v>2.1613477601931543</v>
      </c>
      <c r="P143" s="145"/>
      <c r="Q143" s="145">
        <v>3.26</v>
      </c>
      <c r="R143" s="145"/>
      <c r="S143" s="145"/>
      <c r="T143" s="145">
        <v>2.6831064270877398</v>
      </c>
      <c r="U143" s="145"/>
      <c r="V143" s="145">
        <v>2.2576479112481085</v>
      </c>
      <c r="W143" s="145">
        <v>2.3439602264856538</v>
      </c>
      <c r="X143" s="145"/>
      <c r="Y143" s="145"/>
      <c r="Z143" s="145">
        <v>2.9278226414624182</v>
      </c>
      <c r="AA143" s="145">
        <v>7.8708180191558172</v>
      </c>
      <c r="AB143" s="145"/>
      <c r="AC143" s="145"/>
      <c r="AD143" s="145"/>
      <c r="AE143" s="145"/>
      <c r="AF143" s="145"/>
      <c r="AG143" s="145">
        <v>19.856577645895154</v>
      </c>
      <c r="AH143" s="145">
        <v>1.5156956264515311</v>
      </c>
    </row>
    <row r="144" spans="1:34">
      <c r="A144" s="141" t="s">
        <v>270</v>
      </c>
      <c r="B144" s="145"/>
      <c r="C144" s="145"/>
      <c r="D144" s="145"/>
      <c r="E144" s="145"/>
      <c r="F144" s="145"/>
      <c r="G144" s="145">
        <v>14.02</v>
      </c>
      <c r="H144" s="145">
        <v>3.4</v>
      </c>
      <c r="I144" s="145">
        <v>1.0447194330867144</v>
      </c>
      <c r="J144" s="145">
        <v>3.2381516181603973</v>
      </c>
      <c r="K144" s="145">
        <v>1.6075657158090833</v>
      </c>
      <c r="L144" s="145"/>
      <c r="M144" s="145"/>
      <c r="N144" s="145">
        <v>14.251205353441529</v>
      </c>
      <c r="O144" s="145">
        <v>2.217080645499931</v>
      </c>
      <c r="P144" s="145"/>
      <c r="Q144" s="145">
        <v>3.22</v>
      </c>
      <c r="R144" s="145"/>
      <c r="S144" s="145"/>
      <c r="T144" s="145">
        <v>2.575197459857784</v>
      </c>
      <c r="U144" s="145"/>
      <c r="V144" s="145">
        <v>1.9393340372376142</v>
      </c>
      <c r="W144" s="145">
        <v>2.2443525409719438</v>
      </c>
      <c r="X144" s="145"/>
      <c r="Y144" s="145"/>
      <c r="Z144" s="145">
        <v>2.9017790185672725</v>
      </c>
      <c r="AA144" s="145">
        <v>7.8920950145705309</v>
      </c>
      <c r="AB144" s="145"/>
      <c r="AC144" s="145"/>
      <c r="AD144" s="145"/>
      <c r="AE144" s="145"/>
      <c r="AF144" s="145"/>
      <c r="AG144" s="145">
        <v>20.088626292466767</v>
      </c>
      <c r="AH144" s="145">
        <v>1.4257875929243011</v>
      </c>
    </row>
    <row r="145" spans="1:35">
      <c r="A145" s="141" t="s">
        <v>271</v>
      </c>
      <c r="B145" s="145"/>
      <c r="C145" s="145"/>
      <c r="D145" s="145"/>
      <c r="E145" s="145"/>
      <c r="F145" s="145"/>
      <c r="G145" s="145">
        <v>13.68</v>
      </c>
      <c r="H145" s="145">
        <v>3.4</v>
      </c>
      <c r="I145" s="145">
        <v>1.0117564723050163</v>
      </c>
      <c r="J145" s="145">
        <v>3.1346397518079288</v>
      </c>
      <c r="K145" s="145">
        <v>1.5532005901224017</v>
      </c>
      <c r="L145" s="145"/>
      <c r="M145" s="145"/>
      <c r="N145" s="145">
        <v>13.60994504157288</v>
      </c>
      <c r="O145" s="145">
        <v>2.2190787637640663</v>
      </c>
      <c r="P145" s="145"/>
      <c r="Q145" s="145">
        <v>3.1</v>
      </c>
      <c r="R145" s="145">
        <v>14.86</v>
      </c>
      <c r="S145" s="145">
        <v>12.38024019941083</v>
      </c>
      <c r="T145" s="145">
        <v>2.2792326759999857</v>
      </c>
      <c r="U145" s="145"/>
      <c r="V145" s="145">
        <v>1.9809352663413844</v>
      </c>
      <c r="W145" s="145">
        <v>2.262067020521628</v>
      </c>
      <c r="X145" s="145">
        <v>3.4069746499167004</v>
      </c>
      <c r="Y145" s="145">
        <v>8.6560785839836925</v>
      </c>
      <c r="Z145" s="145">
        <v>2.6783356730067491</v>
      </c>
      <c r="AA145" s="145">
        <v>6.9783783698455819</v>
      </c>
      <c r="AB145" s="145"/>
      <c r="AC145" s="145"/>
      <c r="AD145" s="145"/>
      <c r="AE145" s="145"/>
      <c r="AF145" s="145"/>
      <c r="AG145" s="145">
        <v>20.204728247623692</v>
      </c>
      <c r="AH145" s="161">
        <v>1.2759122986534022</v>
      </c>
    </row>
    <row r="146" spans="1:35">
      <c r="A146" s="141" t="s">
        <v>272</v>
      </c>
      <c r="B146" s="145"/>
      <c r="C146" s="145"/>
      <c r="D146" s="145"/>
      <c r="E146" s="145"/>
      <c r="F146" s="145"/>
      <c r="G146" s="145">
        <v>13.64</v>
      </c>
      <c r="H146" s="145">
        <v>3.5</v>
      </c>
      <c r="I146" s="145">
        <v>0.98692456475702894</v>
      </c>
      <c r="J146" s="145">
        <v>3.2070600392642605</v>
      </c>
      <c r="K146" s="145">
        <v>1.5907714558766932</v>
      </c>
      <c r="L146" s="145"/>
      <c r="M146" s="145"/>
      <c r="N146" s="145">
        <v>14.033004514385713</v>
      </c>
      <c r="O146" s="145">
        <v>2.2275066023772094</v>
      </c>
      <c r="P146" s="145"/>
      <c r="Q146" s="145">
        <v>3.09</v>
      </c>
      <c r="R146" s="145"/>
      <c r="S146" s="145"/>
      <c r="T146" s="145">
        <v>2.4784399631323701</v>
      </c>
      <c r="U146" s="145"/>
      <c r="V146" s="145">
        <v>1.9632266246416368</v>
      </c>
      <c r="W146" s="145">
        <v>2.3410244267084734</v>
      </c>
      <c r="X146" s="145"/>
      <c r="Y146" s="145"/>
      <c r="Z146" s="145">
        <v>2.5882687105255835</v>
      </c>
      <c r="AA146" s="145">
        <v>7.2290707535402916</v>
      </c>
      <c r="AB146" s="145"/>
      <c r="AC146" s="145"/>
      <c r="AD146" s="145"/>
      <c r="AE146" s="145"/>
      <c r="AF146" s="145"/>
      <c r="AG146" s="145">
        <v>20.004780114722752</v>
      </c>
      <c r="AH146" s="161">
        <v>1.4110885953750332</v>
      </c>
    </row>
    <row r="147" spans="1:35">
      <c r="A147" s="141" t="s">
        <v>273</v>
      </c>
      <c r="B147" s="145"/>
      <c r="C147" s="145"/>
      <c r="D147" s="145"/>
      <c r="E147" s="145"/>
      <c r="F147" s="145"/>
      <c r="G147" s="145">
        <v>12.15</v>
      </c>
      <c r="H147" s="145">
        <v>3.6</v>
      </c>
      <c r="I147" s="145">
        <v>0.94140417649856167</v>
      </c>
      <c r="J147" s="145">
        <v>3.0950766457529086</v>
      </c>
      <c r="K147" s="145">
        <v>1.5100089960964918</v>
      </c>
      <c r="L147" s="145"/>
      <c r="M147" s="145"/>
      <c r="N147" s="145">
        <v>13.569346558486576</v>
      </c>
      <c r="O147" s="145">
        <v>2.236281479122356</v>
      </c>
      <c r="P147" s="145"/>
      <c r="Q147" s="145">
        <v>3.01</v>
      </c>
      <c r="R147" s="145"/>
      <c r="S147" s="145"/>
      <c r="T147" s="145">
        <v>2.6436969972137425</v>
      </c>
      <c r="U147" s="145"/>
      <c r="V147" s="145">
        <v>1.9640989948111771</v>
      </c>
      <c r="W147" s="145">
        <v>2.2584477671083008</v>
      </c>
      <c r="X147" s="145"/>
      <c r="Y147" s="145"/>
      <c r="Z147" s="145">
        <v>2.5134998683197529</v>
      </c>
      <c r="AA147" s="145">
        <v>7.6064703030369483</v>
      </c>
      <c r="AB147" s="145"/>
      <c r="AC147" s="145"/>
      <c r="AD147" s="145"/>
      <c r="AE147" s="145"/>
      <c r="AF147" s="145"/>
      <c r="AG147" s="145">
        <v>19.77294228949858</v>
      </c>
      <c r="AH147" s="161">
        <v>1.3947380676509784</v>
      </c>
    </row>
    <row r="148" spans="1:35" ht="12" thickBot="1">
      <c r="A148" s="150" t="s">
        <v>274</v>
      </c>
      <c r="B148" s="151"/>
      <c r="C148" s="151">
        <v>7.6066467715100217</v>
      </c>
      <c r="D148" s="151"/>
      <c r="E148" s="151">
        <v>5.6</v>
      </c>
      <c r="F148" s="151"/>
      <c r="G148" s="151">
        <v>11.34</v>
      </c>
      <c r="H148" s="151">
        <v>3.7</v>
      </c>
      <c r="I148" s="151">
        <v>0.90664350747762579</v>
      </c>
      <c r="J148" s="151">
        <v>2.6112786839659297</v>
      </c>
      <c r="K148" s="151">
        <v>1.4236541109089589</v>
      </c>
      <c r="L148" s="151"/>
      <c r="M148" s="151"/>
      <c r="N148" s="151">
        <v>12.575687425602242</v>
      </c>
      <c r="O148" s="151">
        <v>1.9692404631666554</v>
      </c>
      <c r="P148" s="151"/>
      <c r="Q148" s="151">
        <v>2.4300000000000002</v>
      </c>
      <c r="R148" s="151">
        <v>13.91</v>
      </c>
      <c r="S148" s="151">
        <v>13.58</v>
      </c>
      <c r="T148" s="151">
        <v>2.1809710206136503</v>
      </c>
      <c r="U148" s="151"/>
      <c r="V148" s="151">
        <v>1.8162737822625226</v>
      </c>
      <c r="W148" s="151">
        <v>2.0463185355625595</v>
      </c>
      <c r="X148" s="151">
        <v>2.6651880053043593</v>
      </c>
      <c r="Y148" s="151">
        <v>6.4516875388981241</v>
      </c>
      <c r="Z148" s="151">
        <v>2.1359337512888295</v>
      </c>
      <c r="AA148" s="151">
        <v>6.1866242570656578</v>
      </c>
      <c r="AB148" s="151"/>
      <c r="AC148" s="151"/>
      <c r="AD148" s="151"/>
      <c r="AE148" s="151"/>
      <c r="AF148" s="151">
        <v>2.2000000000000002</v>
      </c>
      <c r="AG148" s="151">
        <v>18.803418803418804</v>
      </c>
      <c r="AH148" s="162">
        <v>1.3077815641634283</v>
      </c>
    </row>
    <row r="149" spans="1:35">
      <c r="A149" s="141" t="s">
        <v>275</v>
      </c>
      <c r="B149" s="145"/>
      <c r="C149" s="145"/>
      <c r="D149" s="145"/>
      <c r="E149" s="145"/>
      <c r="F149" s="145"/>
      <c r="G149" s="145">
        <v>11.92</v>
      </c>
      <c r="H149" s="145">
        <v>3.7</v>
      </c>
      <c r="I149" s="145">
        <v>0.92440411271151535</v>
      </c>
      <c r="J149" s="145">
        <v>2.8692582628004422</v>
      </c>
      <c r="K149" s="145">
        <v>1.4848441874054608</v>
      </c>
      <c r="L149" s="145"/>
      <c r="M149" s="145"/>
      <c r="N149" s="145">
        <v>13.015045037274669</v>
      </c>
      <c r="O149" s="145">
        <v>2.0418310565904827</v>
      </c>
      <c r="P149" s="145"/>
      <c r="Q149" s="145">
        <v>2.5499999999999998</v>
      </c>
      <c r="R149" s="145"/>
      <c r="S149" s="145"/>
      <c r="T149" s="145">
        <v>2.4458393519125692</v>
      </c>
      <c r="U149" s="145"/>
      <c r="V149" s="145">
        <v>1.8262114621154666</v>
      </c>
      <c r="W149" s="145">
        <v>2.0954207863256786</v>
      </c>
      <c r="X149" s="145"/>
      <c r="Y149" s="145">
        <v>6.5753459859847103</v>
      </c>
      <c r="Z149" s="145">
        <v>2.2607595278760031</v>
      </c>
      <c r="AA149" s="145">
        <v>7.7947913887453355</v>
      </c>
      <c r="AB149" s="145"/>
      <c r="AC149" s="145"/>
      <c r="AD149" s="145"/>
      <c r="AE149" s="145"/>
      <c r="AF149" s="145"/>
      <c r="AG149" s="145">
        <v>19.307875894988065</v>
      </c>
      <c r="AH149" s="145">
        <v>1.3947380676509784</v>
      </c>
    </row>
    <row r="150" spans="1:35">
      <c r="A150" s="141" t="s">
        <v>276</v>
      </c>
      <c r="B150" s="145"/>
      <c r="C150" s="145"/>
      <c r="D150" s="145"/>
      <c r="E150" s="145"/>
      <c r="F150" s="145"/>
      <c r="G150" s="145">
        <v>12.17</v>
      </c>
      <c r="H150" s="145">
        <v>3.7</v>
      </c>
      <c r="I150" s="145">
        <v>0.90894935430011259</v>
      </c>
      <c r="J150" s="145">
        <v>2.9268514808129882</v>
      </c>
      <c r="K150" s="145">
        <v>1.472580696305039</v>
      </c>
      <c r="L150" s="145"/>
      <c r="M150" s="145"/>
      <c r="N150" s="145">
        <v>13.399519823502695</v>
      </c>
      <c r="O150" s="145">
        <v>2.074727796159356</v>
      </c>
      <c r="P150" s="145"/>
      <c r="Q150" s="145">
        <v>2.73</v>
      </c>
      <c r="R150" s="145"/>
      <c r="S150" s="145"/>
      <c r="T150" s="145">
        <v>2.5155135380788187</v>
      </c>
      <c r="U150" s="145"/>
      <c r="V150" s="145">
        <v>1.8567535182299988</v>
      </c>
      <c r="W150" s="145">
        <v>2.0814231866525033</v>
      </c>
      <c r="X150" s="145"/>
      <c r="Y150" s="145">
        <v>6.5315795439128603</v>
      </c>
      <c r="Z150" s="145">
        <v>2.2876871128284568</v>
      </c>
      <c r="AA150" s="145">
        <v>7.5285602438768748</v>
      </c>
      <c r="AB150" s="145"/>
      <c r="AC150" s="145"/>
      <c r="AD150" s="145"/>
      <c r="AE150" s="145"/>
      <c r="AF150" s="145"/>
      <c r="AG150" s="145">
        <v>19.578099075610332</v>
      </c>
      <c r="AH150" s="145">
        <v>1.3288782461418225</v>
      </c>
    </row>
    <row r="151" spans="1:35">
      <c r="A151" s="141" t="s">
        <v>277</v>
      </c>
      <c r="B151" s="145"/>
      <c r="C151" s="145"/>
      <c r="D151" s="145"/>
      <c r="E151" s="145"/>
      <c r="F151" s="145"/>
      <c r="G151" s="145">
        <v>12.17</v>
      </c>
      <c r="H151" s="145">
        <v>3.8</v>
      </c>
      <c r="I151" s="145">
        <v>0.88697467830260424</v>
      </c>
      <c r="J151" s="145">
        <v>3.0045562416081402</v>
      </c>
      <c r="K151" s="145">
        <v>1.4380099876757506</v>
      </c>
      <c r="L151" s="145"/>
      <c r="M151" s="145"/>
      <c r="N151" s="145">
        <v>12.754646802879313</v>
      </c>
      <c r="O151" s="145">
        <v>1.9177876185977092</v>
      </c>
      <c r="P151" s="145"/>
      <c r="Q151" s="145">
        <v>2.6</v>
      </c>
      <c r="R151" s="145">
        <v>13.35</v>
      </c>
      <c r="S151" s="145">
        <v>13.54</v>
      </c>
      <c r="T151" s="145">
        <v>2.3112228568349278</v>
      </c>
      <c r="U151" s="145"/>
      <c r="V151" s="145">
        <v>1.6702191580987631</v>
      </c>
      <c r="W151" s="145">
        <v>1.9993285006520263</v>
      </c>
      <c r="X151" s="145">
        <v>2.5791626503499434</v>
      </c>
      <c r="Y151" s="145">
        <v>5.5140387608843984</v>
      </c>
      <c r="Z151" s="145">
        <v>2.1037919684344741</v>
      </c>
      <c r="AA151" s="145">
        <v>6.9658272136707664</v>
      </c>
      <c r="AB151" s="145"/>
      <c r="AC151" s="145"/>
      <c r="AD151" s="145"/>
      <c r="AE151" s="145"/>
      <c r="AF151" s="145"/>
      <c r="AG151" s="145">
        <v>20.360702420503085</v>
      </c>
      <c r="AH151" s="161">
        <v>1.3113477361304424</v>
      </c>
    </row>
    <row r="152" spans="1:35">
      <c r="A152" s="141" t="s">
        <v>278</v>
      </c>
      <c r="B152" s="145"/>
      <c r="C152" s="145"/>
      <c r="D152" s="145"/>
      <c r="E152" s="145"/>
      <c r="F152" s="145"/>
      <c r="G152" s="145">
        <v>11.82</v>
      </c>
      <c r="H152" s="145">
        <v>4</v>
      </c>
      <c r="I152" s="145">
        <v>0.88615269093816684</v>
      </c>
      <c r="J152" s="145">
        <v>3.1093049280856659</v>
      </c>
      <c r="K152" s="145">
        <v>1.5072768049978047</v>
      </c>
      <c r="L152" s="145"/>
      <c r="M152" s="145"/>
      <c r="N152" s="145">
        <v>12.809723646989339</v>
      </c>
      <c r="O152" s="145">
        <v>2.0377348233208266</v>
      </c>
      <c r="P152" s="145"/>
      <c r="Q152" s="145">
        <v>2.61</v>
      </c>
      <c r="R152" s="145"/>
      <c r="S152" s="145"/>
      <c r="T152" s="145">
        <v>2.3163822092952655</v>
      </c>
      <c r="U152" s="145"/>
      <c r="V152" s="145">
        <v>1.7156429614081079</v>
      </c>
      <c r="W152" s="145">
        <v>2.1321307563299543</v>
      </c>
      <c r="X152" s="145"/>
      <c r="Y152" s="145">
        <v>5.7728658273209197</v>
      </c>
      <c r="Z152" s="145">
        <v>2.0962291086660678</v>
      </c>
      <c r="AA152" s="145">
        <v>6.7037268470440416</v>
      </c>
      <c r="AB152" s="145"/>
      <c r="AC152" s="145"/>
      <c r="AD152" s="145"/>
      <c r="AE152" s="145"/>
      <c r="AF152" s="145"/>
      <c r="AG152" s="145">
        <v>19.892221180880977</v>
      </c>
      <c r="AH152" s="161">
        <v>1.4087057845663526</v>
      </c>
    </row>
    <row r="153" spans="1:35">
      <c r="A153" s="141" t="s">
        <v>279</v>
      </c>
      <c r="B153" s="145"/>
      <c r="C153" s="145"/>
      <c r="D153" s="145"/>
      <c r="E153" s="145"/>
      <c r="F153" s="145"/>
      <c r="G153" s="145">
        <v>11.73</v>
      </c>
      <c r="H153" s="145">
        <v>4</v>
      </c>
      <c r="I153" s="145">
        <v>0.854905954786086</v>
      </c>
      <c r="J153" s="145">
        <v>3.0374301607395426</v>
      </c>
      <c r="K153" s="145">
        <v>1.5608819069131636</v>
      </c>
      <c r="L153" s="145"/>
      <c r="M153" s="145"/>
      <c r="N153" s="145">
        <v>12.614802644054606</v>
      </c>
      <c r="O153" s="145">
        <v>2.1085580262836379</v>
      </c>
      <c r="P153" s="145"/>
      <c r="Q153" s="145">
        <v>2.61</v>
      </c>
      <c r="R153" s="145"/>
      <c r="S153" s="145"/>
      <c r="T153" s="145">
        <v>2.2692220425800791</v>
      </c>
      <c r="U153" s="145"/>
      <c r="V153" s="145">
        <v>1.8072574594413873</v>
      </c>
      <c r="W153" s="145">
        <v>2.3192847450084613</v>
      </c>
      <c r="X153" s="145"/>
      <c r="Y153" s="145">
        <v>5.7706654312541099</v>
      </c>
      <c r="Z153" s="145">
        <v>2.0757639558215608</v>
      </c>
      <c r="AA153" s="145">
        <v>6.9018538372177431</v>
      </c>
      <c r="AB153" s="145"/>
      <c r="AC153" s="145"/>
      <c r="AD153" s="145"/>
      <c r="AE153" s="145"/>
      <c r="AF153" s="145"/>
      <c r="AG153" s="145">
        <v>19.306008383791337</v>
      </c>
      <c r="AH153" s="145">
        <v>1.328237932331477</v>
      </c>
    </row>
    <row r="154" spans="1:35">
      <c r="A154" s="141" t="s">
        <v>280</v>
      </c>
      <c r="B154" s="145"/>
      <c r="C154" s="145"/>
      <c r="D154" s="145"/>
      <c r="E154" s="145"/>
      <c r="F154" s="145"/>
      <c r="G154" s="145">
        <v>10.49</v>
      </c>
      <c r="H154" s="145">
        <v>3.8</v>
      </c>
      <c r="I154" s="145">
        <v>0.82382920585085373</v>
      </c>
      <c r="J154" s="145">
        <v>2.8159043326424724</v>
      </c>
      <c r="K154" s="145">
        <v>1.506208827815507</v>
      </c>
      <c r="L154" s="145"/>
      <c r="M154" s="145"/>
      <c r="N154" s="145">
        <v>11.817720371301425</v>
      </c>
      <c r="O154" s="145">
        <v>2.0674868021260244</v>
      </c>
      <c r="P154" s="145"/>
      <c r="Q154" s="145">
        <v>2.48</v>
      </c>
      <c r="R154" s="145">
        <v>12.27</v>
      </c>
      <c r="S154" s="145">
        <v>13.72</v>
      </c>
      <c r="T154" s="145">
        <v>2.3031174887678962</v>
      </c>
      <c r="U154" s="145"/>
      <c r="V154" s="145">
        <v>1.821619007819393</v>
      </c>
      <c r="W154" s="145">
        <v>2.071458198144613</v>
      </c>
      <c r="X154" s="145">
        <v>2.4646373573765255</v>
      </c>
      <c r="Y154" s="145">
        <v>5.6654329045674734</v>
      </c>
      <c r="Z154" s="145">
        <v>2.0001948306523949</v>
      </c>
      <c r="AA154" s="145">
        <v>6.8242261647014208</v>
      </c>
      <c r="AB154" s="145"/>
      <c r="AC154" s="145"/>
      <c r="AD154" s="145"/>
      <c r="AE154" s="145"/>
      <c r="AF154" s="145"/>
      <c r="AG154" s="145">
        <v>19.254802129136774</v>
      </c>
      <c r="AH154" s="161">
        <v>1.1444323629445408</v>
      </c>
    </row>
    <row r="155" spans="1:35">
      <c r="A155" s="141" t="s">
        <v>281</v>
      </c>
      <c r="B155" s="145"/>
      <c r="C155" s="145"/>
      <c r="D155" s="145"/>
      <c r="E155" s="145"/>
      <c r="F155" s="145"/>
      <c r="G155" s="145">
        <v>10.73</v>
      </c>
      <c r="H155" s="145">
        <v>3.8</v>
      </c>
      <c r="I155" s="145">
        <v>0.80926258597674905</v>
      </c>
      <c r="J155" s="145">
        <v>2.9335632350695797</v>
      </c>
      <c r="K155" s="145">
        <v>1.4718094246956421</v>
      </c>
      <c r="L155" s="145"/>
      <c r="M155" s="145"/>
      <c r="N155" s="145">
        <v>11.994000672955538</v>
      </c>
      <c r="O155" s="145">
        <v>2.125952818804429</v>
      </c>
      <c r="P155" s="145"/>
      <c r="Q155" s="145">
        <v>2.4500000000000002</v>
      </c>
      <c r="R155" s="145"/>
      <c r="S155" s="145"/>
      <c r="T155" s="145">
        <v>2.1378046278157656</v>
      </c>
      <c r="U155" s="145"/>
      <c r="V155" s="145">
        <v>1.8617546186041209</v>
      </c>
      <c r="W155" s="145">
        <v>2.007359081418906</v>
      </c>
      <c r="X155" s="145"/>
      <c r="Y155" s="145">
        <v>5.6866398123267503</v>
      </c>
      <c r="Z155" s="145">
        <v>2.0348857432598972</v>
      </c>
      <c r="AA155" s="145">
        <v>6.9752595186588486</v>
      </c>
      <c r="AB155" s="145"/>
      <c r="AC155" s="145"/>
      <c r="AD155" s="145"/>
      <c r="AE155" s="145"/>
      <c r="AF155" s="145"/>
      <c r="AG155" s="145">
        <v>19.045412418906395</v>
      </c>
      <c r="AH155" s="161">
        <v>1.2809414459685708</v>
      </c>
    </row>
    <row r="156" spans="1:35">
      <c r="A156" s="141" t="s">
        <v>282</v>
      </c>
      <c r="B156" s="145"/>
      <c r="C156" s="145"/>
      <c r="D156" s="145"/>
      <c r="E156" s="145"/>
      <c r="F156" s="145"/>
      <c r="G156" s="145">
        <v>10.25</v>
      </c>
      <c r="H156" s="145">
        <v>3.9</v>
      </c>
      <c r="I156" s="145">
        <v>0.79504314001594878</v>
      </c>
      <c r="J156" s="145">
        <v>2.7024336546280767</v>
      </c>
      <c r="K156" s="145">
        <v>1.5038456191372782</v>
      </c>
      <c r="L156" s="145"/>
      <c r="M156" s="145"/>
      <c r="N156" s="145">
        <v>11.665933173093199</v>
      </c>
      <c r="O156" s="145">
        <v>2.1235776392837469</v>
      </c>
      <c r="P156" s="145"/>
      <c r="Q156" s="145">
        <v>2.44</v>
      </c>
      <c r="R156" s="145"/>
      <c r="S156" s="145"/>
      <c r="T156" s="145">
        <v>2.0493987793325812</v>
      </c>
      <c r="U156" s="145"/>
      <c r="V156" s="145">
        <v>1.9227192181118988</v>
      </c>
      <c r="W156" s="145">
        <v>1.9824027407298852</v>
      </c>
      <c r="X156" s="145"/>
      <c r="Y156" s="145">
        <v>5.5472897809895603</v>
      </c>
      <c r="Z156" s="145">
        <v>1.9326099795859919</v>
      </c>
      <c r="AA156" s="145">
        <v>7.202702694161772</v>
      </c>
      <c r="AB156" s="145"/>
      <c r="AC156" s="145"/>
      <c r="AD156" s="145"/>
      <c r="AE156" s="145"/>
      <c r="AF156" s="145"/>
      <c r="AG156" s="145">
        <v>19.081352833638025</v>
      </c>
      <c r="AH156" s="145">
        <v>1.2809414459685708</v>
      </c>
    </row>
    <row r="157" spans="1:35">
      <c r="A157" s="141" t="s">
        <v>283</v>
      </c>
      <c r="B157" s="145"/>
      <c r="C157" s="145"/>
      <c r="D157" s="145"/>
      <c r="E157" s="145"/>
      <c r="F157" s="145"/>
      <c r="G157" s="145">
        <v>10.119999999999999</v>
      </c>
      <c r="H157" s="145">
        <v>3.8</v>
      </c>
      <c r="I157" s="145">
        <v>0.79</v>
      </c>
      <c r="J157" s="145">
        <v>2.7414964130984849</v>
      </c>
      <c r="K157" s="145">
        <v>1.5575454752952171</v>
      </c>
      <c r="L157" s="145"/>
      <c r="M157" s="145"/>
      <c r="N157" s="145">
        <v>11.098988318401569</v>
      </c>
      <c r="O157" s="145">
        <v>2.127468595192354</v>
      </c>
      <c r="P157" s="145"/>
      <c r="Q157" s="145">
        <v>2.36</v>
      </c>
      <c r="R157" s="145">
        <v>13.17</v>
      </c>
      <c r="S157" s="145">
        <v>11.14</v>
      </c>
      <c r="T157" s="145">
        <v>1.9980639558763609</v>
      </c>
      <c r="U157" s="145"/>
      <c r="V157" s="145">
        <v>1.9645904252351607</v>
      </c>
      <c r="W157" s="145">
        <v>2.0992684800061312</v>
      </c>
      <c r="X157" s="145">
        <v>2.4919502543810061</v>
      </c>
      <c r="Y157" s="145">
        <v>5.5472897809895629</v>
      </c>
      <c r="Z157" s="145">
        <v>1.8642495298088344</v>
      </c>
      <c r="AA157" s="145">
        <v>6.2489634411416475</v>
      </c>
      <c r="AB157" s="145"/>
      <c r="AC157" s="145"/>
      <c r="AD157" s="145"/>
      <c r="AE157" s="145"/>
      <c r="AF157" s="145"/>
      <c r="AG157" s="145">
        <v>18.613949355841847</v>
      </c>
      <c r="AH157" s="161">
        <v>1.2517235905287907</v>
      </c>
    </row>
    <row r="158" spans="1:35">
      <c r="A158" s="141" t="s">
        <v>284</v>
      </c>
      <c r="B158" s="145"/>
      <c r="C158" s="145"/>
      <c r="D158" s="145"/>
      <c r="E158" s="145"/>
      <c r="F158" s="145"/>
      <c r="G158" s="145">
        <v>10.11</v>
      </c>
      <c r="H158" s="145">
        <v>3.9</v>
      </c>
      <c r="I158" s="145">
        <v>0.78830273989644695</v>
      </c>
      <c r="J158" s="145">
        <v>2.7725781760300752</v>
      </c>
      <c r="K158" s="145">
        <v>1.5390529151685706</v>
      </c>
      <c r="L158" s="145"/>
      <c r="M158" s="145"/>
      <c r="N158" s="145">
        <v>11.160260525330338</v>
      </c>
      <c r="O158" s="145">
        <v>2.114987761700021</v>
      </c>
      <c r="P158" s="145"/>
      <c r="Q158" s="145">
        <v>2.69</v>
      </c>
      <c r="R158" s="145"/>
      <c r="S158" s="145"/>
      <c r="T158" s="145">
        <v>1.9980639558763609</v>
      </c>
      <c r="U158" s="145"/>
      <c r="V158" s="145">
        <v>2.0196276312108381</v>
      </c>
      <c r="W158" s="145">
        <v>2.0881848911301049</v>
      </c>
      <c r="X158" s="145"/>
      <c r="Y158" s="145">
        <v>4.9465104308717596</v>
      </c>
      <c r="Z158" s="145">
        <v>1.8748309866367674</v>
      </c>
      <c r="AA158" s="145">
        <v>6.1906296313019942</v>
      </c>
      <c r="AB158" s="145"/>
      <c r="AC158" s="145"/>
      <c r="AD158" s="145"/>
      <c r="AE158" s="145"/>
      <c r="AF158" s="145"/>
      <c r="AG158" s="145">
        <v>18.827160493827162</v>
      </c>
      <c r="AH158" s="161">
        <v>1.2766523397384191</v>
      </c>
    </row>
    <row r="159" spans="1:35">
      <c r="A159" s="141" t="s">
        <v>285</v>
      </c>
      <c r="B159" s="145"/>
      <c r="C159" s="145"/>
      <c r="D159" s="145"/>
      <c r="E159" s="145"/>
      <c r="F159" s="145"/>
      <c r="G159" s="145">
        <v>9.31</v>
      </c>
      <c r="H159" s="145">
        <v>3.9</v>
      </c>
      <c r="I159" s="145">
        <v>0.75328991809900558</v>
      </c>
      <c r="J159" s="145">
        <v>2.7215479950864125</v>
      </c>
      <c r="K159" s="145">
        <v>1.382584774970828</v>
      </c>
      <c r="L159" s="145"/>
      <c r="M159" s="145"/>
      <c r="N159" s="145">
        <v>11.098308114943531</v>
      </c>
      <c r="O159" s="145">
        <v>2.0917012647810171</v>
      </c>
      <c r="P159" s="145"/>
      <c r="Q159" s="145">
        <v>2.7699999999999947</v>
      </c>
      <c r="R159" s="145"/>
      <c r="S159" s="145"/>
      <c r="T159" s="145">
        <v>1.8990237750460344</v>
      </c>
      <c r="U159" s="145"/>
      <c r="V159" s="145">
        <v>2.0955627922447531</v>
      </c>
      <c r="W159" s="145">
        <v>2.16866445969411</v>
      </c>
      <c r="X159" s="145"/>
      <c r="Y159" s="145">
        <v>4.6028368310627501</v>
      </c>
      <c r="Z159" s="145">
        <v>1.8130692715374004</v>
      </c>
      <c r="AA159" s="145">
        <v>5.993887361108019</v>
      </c>
      <c r="AB159" s="145"/>
      <c r="AC159" s="145"/>
      <c r="AD159" s="145"/>
      <c r="AE159" s="145"/>
      <c r="AF159" s="145"/>
      <c r="AG159" s="145">
        <v>17.965271593944792</v>
      </c>
      <c r="AH159" s="145">
        <v>1.1976401993610608</v>
      </c>
    </row>
    <row r="160" spans="1:35" ht="12" thickBot="1">
      <c r="A160" s="150" t="s">
        <v>286</v>
      </c>
      <c r="B160" s="151"/>
      <c r="C160" s="151">
        <v>4.4565434812097342</v>
      </c>
      <c r="D160" s="151">
        <v>4.2</v>
      </c>
      <c r="E160" s="151">
        <v>4.5</v>
      </c>
      <c r="F160" s="151"/>
      <c r="G160" s="151">
        <v>8.67</v>
      </c>
      <c r="H160" s="151">
        <v>3.7</v>
      </c>
      <c r="I160" s="151">
        <v>0.75</v>
      </c>
      <c r="J160" s="151">
        <v>2.6018185107411234</v>
      </c>
      <c r="K160" s="151">
        <v>1.3732983563326961</v>
      </c>
      <c r="L160" s="151"/>
      <c r="M160" s="151"/>
      <c r="N160" s="151">
        <v>10.360672876383987</v>
      </c>
      <c r="O160" s="151">
        <v>1.9602083405291109</v>
      </c>
      <c r="P160" s="151"/>
      <c r="Q160" s="151">
        <v>2.2799999999999998</v>
      </c>
      <c r="R160" s="151">
        <v>11.59</v>
      </c>
      <c r="S160" s="151">
        <v>13.58</v>
      </c>
      <c r="T160" s="151">
        <v>1.5535152606366094</v>
      </c>
      <c r="U160" s="151"/>
      <c r="V160" s="151">
        <v>1.9942806971819893</v>
      </c>
      <c r="W160" s="151">
        <v>2.0102286800258535</v>
      </c>
      <c r="X160" s="151">
        <v>2.4413904457889464</v>
      </c>
      <c r="Y160" s="151">
        <v>3.2819468135101717</v>
      </c>
      <c r="Z160" s="151">
        <v>1.6255325922527917</v>
      </c>
      <c r="AA160" s="151">
        <v>4.8452194547301763</v>
      </c>
      <c r="AB160" s="151"/>
      <c r="AC160" s="151"/>
      <c r="AD160" s="151"/>
      <c r="AE160" s="151"/>
      <c r="AF160" s="151">
        <v>1.6</v>
      </c>
      <c r="AG160" s="151">
        <v>19.127225358228397</v>
      </c>
      <c r="AH160" s="162">
        <v>1.0597902355825133</v>
      </c>
      <c r="AI160" s="145"/>
    </row>
    <row r="161" spans="1:35">
      <c r="A161" s="141" t="s">
        <v>507</v>
      </c>
      <c r="B161" s="145"/>
      <c r="C161" s="145"/>
      <c r="D161" s="145"/>
      <c r="E161" s="145"/>
      <c r="F161" s="145"/>
      <c r="G161" s="145">
        <v>9.3000000000000007</v>
      </c>
      <c r="H161" s="145">
        <v>3.8</v>
      </c>
      <c r="I161" s="145">
        <v>0.77777736498969363</v>
      </c>
      <c r="J161" s="145">
        <v>2.7749830599580703</v>
      </c>
      <c r="K161" s="145">
        <v>1.3763482100185123</v>
      </c>
      <c r="L161" s="145"/>
      <c r="M161" s="145"/>
      <c r="N161" s="145">
        <v>10.463259204729802</v>
      </c>
      <c r="O161" s="145">
        <v>2.0915281778730517</v>
      </c>
      <c r="P161" s="145"/>
      <c r="Q161" s="145">
        <v>2.4</v>
      </c>
      <c r="R161" s="145"/>
      <c r="S161" s="145"/>
      <c r="T161" s="145">
        <v>1.7801766314325642</v>
      </c>
      <c r="U161" s="145"/>
      <c r="V161" s="145">
        <v>2.097670979076864</v>
      </c>
      <c r="W161" s="145">
        <v>2.0892366737799049</v>
      </c>
      <c r="X161" s="145"/>
      <c r="Y161" s="145">
        <v>3.40369416142144</v>
      </c>
      <c r="Z161" s="145">
        <v>1.6664722513147312</v>
      </c>
      <c r="AA161" s="145">
        <v>5.0775244077806327</v>
      </c>
      <c r="AB161" s="145"/>
      <c r="AC161" s="145"/>
      <c r="AD161" s="145"/>
      <c r="AE161" s="145"/>
      <c r="AF161" s="145"/>
      <c r="AG161" s="145">
        <v>19.528841919859094</v>
      </c>
      <c r="AH161" s="161">
        <v>1.2116345151466998</v>
      </c>
      <c r="AI161" s="145"/>
    </row>
    <row r="162" spans="1:35">
      <c r="A162" s="141" t="s">
        <v>508</v>
      </c>
      <c r="B162" s="145"/>
      <c r="C162" s="145"/>
      <c r="D162" s="145"/>
      <c r="E162" s="145"/>
      <c r="F162" s="145"/>
      <c r="G162" s="145">
        <v>9.42</v>
      </c>
      <c r="H162" s="145">
        <v>3.8</v>
      </c>
      <c r="I162" s="145">
        <v>0.77165079393084501</v>
      </c>
      <c r="J162" s="145">
        <v>2.8351120547455388</v>
      </c>
      <c r="K162" s="145">
        <v>1.3668348278246529</v>
      </c>
      <c r="L162" s="145"/>
      <c r="M162" s="145"/>
      <c r="N162" s="145">
        <v>10.791081654117765</v>
      </c>
      <c r="O162" s="145">
        <v>2.1488580575122662</v>
      </c>
      <c r="P162" s="145"/>
      <c r="Q162" s="145">
        <v>2.2799999999999998</v>
      </c>
      <c r="R162" s="145"/>
      <c r="S162" s="145"/>
      <c r="T162" s="145">
        <v>1.9232209990547815</v>
      </c>
      <c r="U162" s="145"/>
      <c r="V162" s="145">
        <v>2.1649481456179269</v>
      </c>
      <c r="W162" s="145">
        <v>2.165273624875347</v>
      </c>
      <c r="X162" s="145"/>
      <c r="Y162" s="145">
        <v>3.3890755116011402</v>
      </c>
      <c r="Z162" s="145">
        <v>1.6629470235897552</v>
      </c>
      <c r="AA162" s="145">
        <v>5.505456379760771</v>
      </c>
      <c r="AB162" s="145"/>
      <c r="AC162" s="145"/>
      <c r="AD162" s="145"/>
      <c r="AE162" s="145"/>
      <c r="AF162" s="145"/>
      <c r="AG162" s="145">
        <v>19.613865730583591</v>
      </c>
      <c r="AH162" s="161">
        <v>1.1499610616943876</v>
      </c>
      <c r="AI162" s="145"/>
    </row>
    <row r="163" spans="1:35">
      <c r="A163" s="141" t="s">
        <v>509</v>
      </c>
      <c r="B163" s="145"/>
      <c r="C163" s="145"/>
      <c r="D163" s="145"/>
      <c r="E163" s="145"/>
      <c r="F163" s="145"/>
      <c r="G163" s="145">
        <v>8.82</v>
      </c>
      <c r="H163" s="145">
        <v>3.6</v>
      </c>
      <c r="I163" s="145">
        <v>0.78</v>
      </c>
      <c r="J163" s="145">
        <v>2.822424933560034</v>
      </c>
      <c r="K163" s="145">
        <v>1.3669298409160051</v>
      </c>
      <c r="L163" s="145"/>
      <c r="M163" s="145"/>
      <c r="N163" s="145">
        <v>10.512260008070323</v>
      </c>
      <c r="O163" s="145">
        <v>2.0728185525165888</v>
      </c>
      <c r="P163" s="145"/>
      <c r="Q163" s="145">
        <v>2.33</v>
      </c>
      <c r="R163" s="145">
        <v>11.01</v>
      </c>
      <c r="S163" s="145">
        <v>11.69</v>
      </c>
      <c r="T163" s="145">
        <v>1.7660223994642172</v>
      </c>
      <c r="U163" s="145"/>
      <c r="V163" s="145">
        <v>2.15804402979962</v>
      </c>
      <c r="W163" s="145">
        <v>2.0677930056516485</v>
      </c>
      <c r="X163" s="145">
        <v>2.3496277915632753</v>
      </c>
      <c r="Y163" s="145">
        <v>2.8809412172254629</v>
      </c>
      <c r="Z163" s="145">
        <v>1.6348260895463762</v>
      </c>
      <c r="AA163" s="145">
        <v>5.5209613469080141</v>
      </c>
      <c r="AB163" s="145"/>
      <c r="AC163" s="145"/>
      <c r="AD163" s="145"/>
      <c r="AE163" s="145"/>
      <c r="AF163" s="145"/>
      <c r="AG163" s="145">
        <v>19.755429053341768</v>
      </c>
      <c r="AH163" s="161">
        <v>1.0635656575132184</v>
      </c>
      <c r="AI163" s="145"/>
    </row>
    <row r="164" spans="1:35">
      <c r="A164" s="141" t="s">
        <v>510</v>
      </c>
      <c r="B164" s="145"/>
      <c r="C164" s="145"/>
      <c r="D164" s="145"/>
      <c r="E164" s="145"/>
      <c r="F164" s="145"/>
      <c r="G164" s="145">
        <v>8.57</v>
      </c>
      <c r="H164" s="145">
        <v>3.6</v>
      </c>
      <c r="I164" s="145">
        <v>0.80028232916982112</v>
      </c>
      <c r="J164" s="145">
        <v>3.002972732192283</v>
      </c>
      <c r="K164" s="145">
        <v>1.4240665893470128</v>
      </c>
      <c r="L164" s="145"/>
      <c r="M164" s="145"/>
      <c r="N164" s="145">
        <v>10.618871896527715</v>
      </c>
      <c r="O164" s="145">
        <v>2.1878568602128468</v>
      </c>
      <c r="P164" s="145"/>
      <c r="Q164" s="145">
        <v>2.2000000000000002</v>
      </c>
      <c r="R164" s="145"/>
      <c r="S164" s="145"/>
      <c r="T164" s="145">
        <v>1.9017660401476104</v>
      </c>
      <c r="U164" s="145"/>
      <c r="V164" s="145">
        <v>2.2737951417912048</v>
      </c>
      <c r="W164" s="145">
        <v>2.215604461775226</v>
      </c>
      <c r="X164" s="145"/>
      <c r="Y164" s="145">
        <v>2.9943375361792799</v>
      </c>
      <c r="Z164" s="145">
        <v>1.7049466404310911</v>
      </c>
      <c r="AA164" s="145">
        <v>5.6153851060535516</v>
      </c>
      <c r="AB164" s="145"/>
      <c r="AC164" s="145"/>
      <c r="AD164" s="145"/>
      <c r="AE164" s="145"/>
      <c r="AF164" s="145"/>
      <c r="AG164" s="145">
        <v>20.046669495120916</v>
      </c>
      <c r="AH164" s="161">
        <v>1.1311482669276625</v>
      </c>
      <c r="AI164" s="145"/>
    </row>
    <row r="165" spans="1:35">
      <c r="A165" s="141" t="s">
        <v>511</v>
      </c>
      <c r="B165" s="145"/>
      <c r="C165" s="145"/>
      <c r="D165" s="145"/>
      <c r="E165" s="145"/>
      <c r="F165" s="145"/>
      <c r="G165" s="145">
        <v>8.11</v>
      </c>
      <c r="H165" s="145">
        <v>3.7</v>
      </c>
      <c r="I165" s="145">
        <v>0.80785431336430402</v>
      </c>
      <c r="J165" s="145">
        <v>2.9167059133189364</v>
      </c>
      <c r="K165" s="145">
        <v>1.4565153235600716</v>
      </c>
      <c r="L165" s="145"/>
      <c r="M165" s="145"/>
      <c r="N165" s="145">
        <v>10.544954801991363</v>
      </c>
      <c r="O165" s="145">
        <v>2.2510403281035112</v>
      </c>
      <c r="P165" s="145"/>
      <c r="Q165" s="145">
        <v>2.2999999999999998</v>
      </c>
      <c r="R165" s="145"/>
      <c r="S165" s="145"/>
      <c r="T165" s="145">
        <v>1.896347587627585</v>
      </c>
      <c r="U165" s="145"/>
      <c r="V165" s="145">
        <v>2.328639705030525</v>
      </c>
      <c r="W165" s="145">
        <v>2.32488198569055</v>
      </c>
      <c r="X165" s="145"/>
      <c r="Y165" s="145">
        <v>3.0003191651794099</v>
      </c>
      <c r="Z165" s="145">
        <v>1.621369119216497</v>
      </c>
      <c r="AA165" s="145">
        <v>5.7147318437171606</v>
      </c>
      <c r="AB165" s="145"/>
      <c r="AC165" s="145"/>
      <c r="AD165" s="145"/>
      <c r="AE165" s="145"/>
      <c r="AF165" s="145"/>
      <c r="AG165" s="145">
        <v>19.171201339472582</v>
      </c>
      <c r="AH165" s="161">
        <v>1.2076093524525489</v>
      </c>
      <c r="AI165" s="145"/>
    </row>
    <row r="166" spans="1:35">
      <c r="A166" s="141" t="s">
        <v>512</v>
      </c>
      <c r="B166" s="145"/>
      <c r="C166" s="145"/>
      <c r="D166" s="145"/>
      <c r="E166" s="145"/>
      <c r="F166" s="145"/>
      <c r="G166" s="145">
        <v>7.05</v>
      </c>
      <c r="H166" s="145">
        <v>3.5</v>
      </c>
      <c r="I166" s="145">
        <v>0.81</v>
      </c>
      <c r="J166" s="145">
        <v>3.0055375595503029</v>
      </c>
      <c r="K166" s="145">
        <v>1.424066589347013</v>
      </c>
      <c r="L166" s="145"/>
      <c r="M166" s="145"/>
      <c r="N166" s="145">
        <v>9.9834207958018037</v>
      </c>
      <c r="O166" s="145">
        <v>2.1195226604143147</v>
      </c>
      <c r="P166" s="145"/>
      <c r="Q166" s="145">
        <v>2.14</v>
      </c>
      <c r="R166" s="145">
        <v>11.91</v>
      </c>
      <c r="S166" s="145">
        <v>11.62</v>
      </c>
      <c r="T166" s="145">
        <v>1.8635123868487928</v>
      </c>
      <c r="U166" s="145"/>
      <c r="V166" s="145">
        <v>2.3288559917352325</v>
      </c>
      <c r="W166" s="145">
        <v>2.2942370174053082</v>
      </c>
      <c r="X166" s="145">
        <v>2.3785224933346831</v>
      </c>
      <c r="Y166" s="145">
        <v>2.4737616569918552</v>
      </c>
      <c r="Z166" s="145">
        <v>1.5611609741410593</v>
      </c>
      <c r="AA166" s="145">
        <v>5.3520435312696746</v>
      </c>
      <c r="AB166" s="145"/>
      <c r="AC166" s="145"/>
      <c r="AD166" s="145"/>
      <c r="AE166" s="145"/>
      <c r="AF166" s="145"/>
      <c r="AG166" s="145">
        <v>18.220168742466853</v>
      </c>
      <c r="AH166" s="161">
        <v>1.0626924830490281</v>
      </c>
      <c r="AI166" s="145"/>
    </row>
    <row r="167" spans="1:35">
      <c r="A167" s="141" t="s">
        <v>513</v>
      </c>
      <c r="B167" s="145"/>
      <c r="C167" s="145"/>
      <c r="D167" s="145"/>
      <c r="E167" s="145"/>
      <c r="F167" s="145"/>
      <c r="G167" s="145">
        <v>7.54</v>
      </c>
      <c r="H167" s="145">
        <v>3.5</v>
      </c>
      <c r="I167" s="145">
        <v>0.82385806062604883</v>
      </c>
      <c r="J167" s="145">
        <v>3.1460224549889717</v>
      </c>
      <c r="K167" s="145">
        <v>1.2904431604634583</v>
      </c>
      <c r="L167" s="145"/>
      <c r="M167" s="145"/>
      <c r="N167" s="145">
        <v>10.301572078474001</v>
      </c>
      <c r="O167" s="145">
        <v>2.1535218500858391</v>
      </c>
      <c r="P167" s="145"/>
      <c r="Q167" s="145">
        <v>2.23</v>
      </c>
      <c r="R167" s="145"/>
      <c r="S167" s="145"/>
      <c r="T167" s="145">
        <v>1.8372920477700121</v>
      </c>
      <c r="U167" s="145"/>
      <c r="V167" s="145">
        <v>2.4892824230770247</v>
      </c>
      <c r="W167" s="145">
        <v>2.3547530358436917</v>
      </c>
      <c r="X167" s="145"/>
      <c r="Y167" s="145">
        <v>2.48628712569429</v>
      </c>
      <c r="Z167" s="145">
        <v>1.5598380674786871</v>
      </c>
      <c r="AA167" s="145">
        <v>5.215155150078794</v>
      </c>
      <c r="AB167" s="145"/>
      <c r="AC167" s="145"/>
      <c r="AD167" s="145"/>
      <c r="AE167" s="145"/>
      <c r="AF167" s="145"/>
      <c r="AG167" s="145">
        <v>18.504901960784316</v>
      </c>
      <c r="AH167" s="161">
        <v>1.1679480813217844</v>
      </c>
      <c r="AI167" s="145"/>
    </row>
    <row r="168" spans="1:35">
      <c r="A168" s="141" t="s">
        <v>514</v>
      </c>
      <c r="B168" s="145"/>
      <c r="C168" s="145"/>
      <c r="D168" s="145"/>
      <c r="E168" s="145"/>
      <c r="F168" s="145"/>
      <c r="G168" s="145">
        <v>7.1</v>
      </c>
      <c r="H168" s="145">
        <v>3.5</v>
      </c>
      <c r="I168" s="145">
        <v>0.82082227603264457</v>
      </c>
      <c r="J168" s="145">
        <v>3.1140285707028874</v>
      </c>
      <c r="K168" s="145">
        <v>1.2495474077495046</v>
      </c>
      <c r="L168" s="145"/>
      <c r="M168" s="145"/>
      <c r="N168" s="145">
        <v>10.152508800458316</v>
      </c>
      <c r="O168" s="145">
        <v>2.1663760891335957</v>
      </c>
      <c r="P168" s="145"/>
      <c r="Q168" s="145">
        <v>2.04</v>
      </c>
      <c r="R168" s="145"/>
      <c r="S168" s="145"/>
      <c r="T168" s="145">
        <v>1.8362538833836737</v>
      </c>
      <c r="U168" s="145"/>
      <c r="V168" s="145">
        <v>2.451866682355694</v>
      </c>
      <c r="W168" s="145">
        <v>2.4251126703482107</v>
      </c>
      <c r="X168" s="145"/>
      <c r="Y168" s="145">
        <v>2.3355374202994899</v>
      </c>
      <c r="Z168" s="145">
        <v>1.583895491048352</v>
      </c>
      <c r="AA168" s="145">
        <v>5.4274960814457707</v>
      </c>
      <c r="AB168" s="145"/>
      <c r="AC168" s="145"/>
      <c r="AD168" s="145"/>
      <c r="AE168" s="145"/>
      <c r="AF168" s="145"/>
      <c r="AG168" s="145">
        <v>18.185475759404547</v>
      </c>
      <c r="AH168" s="161">
        <v>1.2603060286897187</v>
      </c>
      <c r="AI168" s="145"/>
    </row>
    <row r="169" spans="1:35">
      <c r="A169" s="141" t="s">
        <v>515</v>
      </c>
      <c r="B169" s="145"/>
      <c r="C169" s="145"/>
      <c r="D169" s="145"/>
      <c r="E169" s="145"/>
      <c r="F169" s="145"/>
      <c r="G169" s="145">
        <v>6.94</v>
      </c>
      <c r="H169" s="145">
        <v>3.4</v>
      </c>
      <c r="I169" s="145">
        <v>0.8</v>
      </c>
      <c r="J169" s="145">
        <v>3.1835894816187182</v>
      </c>
      <c r="K169" s="145">
        <v>1.2336202378274888</v>
      </c>
      <c r="L169" s="145"/>
      <c r="M169" s="145"/>
      <c r="N169" s="145">
        <v>10.06148659418365</v>
      </c>
      <c r="O169" s="145">
        <v>2.1256060240489139</v>
      </c>
      <c r="P169" s="145"/>
      <c r="Q169" s="145">
        <v>1.88</v>
      </c>
      <c r="R169" s="145">
        <v>11.33</v>
      </c>
      <c r="S169" s="145">
        <v>11.14</v>
      </c>
      <c r="T169" s="145">
        <v>1.9030756256696091</v>
      </c>
      <c r="U169" s="145"/>
      <c r="V169" s="145">
        <v>2.4779171651872023</v>
      </c>
      <c r="W169" s="145">
        <v>2.5497007445541158</v>
      </c>
      <c r="X169" s="145">
        <v>2.4618914668977245</v>
      </c>
      <c r="Y169" s="145">
        <v>1.9604540057332702</v>
      </c>
      <c r="Z169" s="145">
        <v>1.5123600769799466</v>
      </c>
      <c r="AA169" s="145">
        <v>4.9897448220402243</v>
      </c>
      <c r="AB169" s="145"/>
      <c r="AC169" s="145"/>
      <c r="AD169" s="145"/>
      <c r="AE169" s="145"/>
      <c r="AF169" s="145"/>
      <c r="AG169" s="145">
        <v>18.347366359898178</v>
      </c>
      <c r="AH169" s="161">
        <v>1.280559582523499</v>
      </c>
      <c r="AI169" s="145"/>
    </row>
    <row r="170" spans="1:35">
      <c r="A170" s="141" t="s">
        <v>516</v>
      </c>
      <c r="B170" s="145"/>
      <c r="C170" s="145"/>
      <c r="D170" s="145"/>
      <c r="E170" s="145"/>
      <c r="F170" s="145"/>
      <c r="G170" s="145">
        <v>6.65</v>
      </c>
      <c r="H170" s="145">
        <v>3.3</v>
      </c>
      <c r="I170" s="145">
        <v>0.8</v>
      </c>
      <c r="J170" s="145">
        <v>3.2919041307680712</v>
      </c>
      <c r="K170" s="145">
        <v>1.2939247582742335</v>
      </c>
      <c r="L170" s="145"/>
      <c r="M170" s="145"/>
      <c r="N170" s="145">
        <v>10.074914629935156</v>
      </c>
      <c r="O170" s="145">
        <v>2.3174485636037705</v>
      </c>
      <c r="P170" s="145"/>
      <c r="Q170" s="145">
        <v>1.83</v>
      </c>
      <c r="R170" s="145"/>
      <c r="S170" s="145"/>
      <c r="T170" s="145">
        <v>1.9293458380882742</v>
      </c>
      <c r="U170" s="145"/>
      <c r="V170" s="145">
        <v>2.5308047938901725</v>
      </c>
      <c r="W170" s="145">
        <v>2.618491132917816</v>
      </c>
      <c r="X170" s="145"/>
      <c r="Y170" s="145">
        <v>1.8021743092067299</v>
      </c>
      <c r="Z170" s="145">
        <v>1.4829020366459187</v>
      </c>
      <c r="AA170" s="145">
        <v>5.1232269734103335</v>
      </c>
      <c r="AB170" s="145"/>
      <c r="AC170" s="145"/>
      <c r="AD170" s="145"/>
      <c r="AE170" s="145"/>
      <c r="AF170" s="145"/>
      <c r="AG170" s="145">
        <v>18.242615641835407</v>
      </c>
      <c r="AH170" s="161">
        <v>1.2729639839324878</v>
      </c>
      <c r="AI170" s="145"/>
    </row>
    <row r="171" spans="1:35">
      <c r="A171" s="141" t="s">
        <v>517</v>
      </c>
      <c r="B171" s="145"/>
      <c r="C171" s="145"/>
      <c r="D171" s="145"/>
      <c r="E171" s="145"/>
      <c r="F171" s="145"/>
      <c r="G171" s="145">
        <v>6.49</v>
      </c>
      <c r="H171" s="145">
        <v>3.3</v>
      </c>
      <c r="I171" s="145">
        <v>0.78</v>
      </c>
      <c r="J171" s="145">
        <v>3.436178638341556</v>
      </c>
      <c r="K171" s="145">
        <v>1.1922133386473455</v>
      </c>
      <c r="L171" s="145"/>
      <c r="M171" s="145"/>
      <c r="N171" s="145">
        <v>9.8719500493084471</v>
      </c>
      <c r="O171" s="145">
        <v>2.2174054484620012</v>
      </c>
      <c r="P171" s="145"/>
      <c r="Q171" s="145">
        <v>1.85</v>
      </c>
      <c r="R171" s="145"/>
      <c r="S171" s="145"/>
      <c r="T171" s="145">
        <v>1.8315676293579795</v>
      </c>
      <c r="U171" s="145"/>
      <c r="V171" s="145">
        <v>2.5267724974094414</v>
      </c>
      <c r="W171" s="145">
        <v>2.5666116220194586</v>
      </c>
      <c r="X171" s="145"/>
      <c r="Y171" s="145">
        <v>1.74286964145256</v>
      </c>
      <c r="Z171" s="145">
        <v>1.3752547834964566</v>
      </c>
      <c r="AA171" s="145">
        <v>5.4615959511503185</v>
      </c>
      <c r="AB171" s="145"/>
      <c r="AC171" s="145"/>
      <c r="AD171" s="145"/>
      <c r="AE171" s="145"/>
      <c r="AF171" s="145"/>
      <c r="AG171" s="145">
        <v>17.658588738417677</v>
      </c>
      <c r="AH171" s="161">
        <v>1.2689579370492017</v>
      </c>
      <c r="AI171" s="145"/>
    </row>
    <row r="172" spans="1:35" ht="12" thickBot="1">
      <c r="A172" s="150" t="s">
        <v>518</v>
      </c>
      <c r="B172" s="151"/>
      <c r="C172" s="151">
        <v>3.2418578540159095</v>
      </c>
      <c r="D172" s="151">
        <v>4.5</v>
      </c>
      <c r="E172" s="151">
        <v>2.9</v>
      </c>
      <c r="F172" s="151">
        <v>5.6</v>
      </c>
      <c r="G172" s="151">
        <v>5.61</v>
      </c>
      <c r="H172" s="151">
        <v>3.2</v>
      </c>
      <c r="I172" s="151">
        <v>0.75</v>
      </c>
      <c r="J172" s="151">
        <v>3.2936045235439879</v>
      </c>
      <c r="K172" s="151">
        <v>1.1656861436277215</v>
      </c>
      <c r="L172" s="151"/>
      <c r="M172" s="151"/>
      <c r="N172" s="151">
        <v>9.2010824363592576</v>
      </c>
      <c r="O172" s="151">
        <v>2.1038031038324809</v>
      </c>
      <c r="P172" s="151"/>
      <c r="Q172" s="151">
        <v>1.58</v>
      </c>
      <c r="R172" s="151">
        <v>10.65</v>
      </c>
      <c r="S172" s="151">
        <v>9.58</v>
      </c>
      <c r="T172" s="151">
        <v>1.4651039500057157</v>
      </c>
      <c r="U172" s="151"/>
      <c r="V172" s="151">
        <v>2.5413126675723654</v>
      </c>
      <c r="W172" s="151">
        <v>2.4403395586037875</v>
      </c>
      <c r="X172" s="151">
        <v>2.3477356937011118</v>
      </c>
      <c r="Y172" s="151">
        <v>1.3147173850090399</v>
      </c>
      <c r="Z172" s="151">
        <v>1.2601689832136564</v>
      </c>
      <c r="AA172" s="151">
        <v>4.3551355665860862</v>
      </c>
      <c r="AB172" s="151"/>
      <c r="AC172" s="151"/>
      <c r="AD172" s="151"/>
      <c r="AE172" s="151"/>
      <c r="AF172" s="151">
        <v>0.7</v>
      </c>
      <c r="AG172" s="151">
        <v>13.616412253218266</v>
      </c>
      <c r="AH172" s="162">
        <v>1.20011482512948</v>
      </c>
      <c r="AI172" s="145"/>
    </row>
    <row r="173" spans="1:35">
      <c r="A173" s="141" t="s">
        <v>519</v>
      </c>
      <c r="B173" s="145"/>
      <c r="C173" s="145"/>
      <c r="D173" s="145"/>
      <c r="E173" s="145"/>
      <c r="F173" s="145"/>
      <c r="G173" s="145">
        <v>6.07</v>
      </c>
      <c r="H173" s="145">
        <v>3.2</v>
      </c>
      <c r="I173" s="145">
        <v>0.83</v>
      </c>
      <c r="J173" s="145">
        <v>3.5692777302891345</v>
      </c>
      <c r="K173" s="145">
        <v>1.2274739342801722</v>
      </c>
      <c r="L173" s="145"/>
      <c r="M173" s="145"/>
      <c r="N173" s="145">
        <v>9.1399805750992762</v>
      </c>
      <c r="O173" s="145">
        <v>2.2376238789532157</v>
      </c>
      <c r="P173" s="145"/>
      <c r="Q173" s="145">
        <v>2.99</v>
      </c>
      <c r="R173" s="145"/>
      <c r="S173" s="145"/>
      <c r="T173" s="145">
        <v>1.5355987920215806</v>
      </c>
      <c r="U173" s="145"/>
      <c r="V173" s="145">
        <v>2.5504995915990105</v>
      </c>
      <c r="W173" s="145">
        <v>2.5272995243255201</v>
      </c>
      <c r="X173" s="145"/>
      <c r="Y173" s="145">
        <v>1.4676306225367399</v>
      </c>
      <c r="Z173" s="145">
        <v>1.399530311390714</v>
      </c>
      <c r="AA173" s="145">
        <v>4.5660610405397151</v>
      </c>
      <c r="AB173" s="145"/>
      <c r="AC173" s="145"/>
      <c r="AD173" s="145"/>
      <c r="AE173" s="145"/>
      <c r="AF173" s="145"/>
      <c r="AG173" s="145">
        <v>14.101620697545139</v>
      </c>
      <c r="AH173" s="161">
        <v>1.3593782674281205</v>
      </c>
      <c r="AI173" s="145"/>
    </row>
    <row r="174" spans="1:35">
      <c r="A174" s="141" t="s">
        <v>520</v>
      </c>
      <c r="B174" s="145"/>
      <c r="C174" s="145"/>
      <c r="D174" s="145"/>
      <c r="E174" s="145"/>
      <c r="F174" s="145"/>
      <c r="G174" s="145">
        <v>6.02</v>
      </c>
      <c r="H174" s="145">
        <v>3.2</v>
      </c>
      <c r="I174" s="145">
        <v>0.85</v>
      </c>
      <c r="J174" s="145">
        <v>3.6973712055763759</v>
      </c>
      <c r="K174" s="145">
        <v>1.2062230917127703</v>
      </c>
      <c r="L174" s="145"/>
      <c r="M174" s="145"/>
      <c r="N174" s="145">
        <v>9.3868901189953462</v>
      </c>
      <c r="O174" s="145">
        <v>2.3408258712136707</v>
      </c>
      <c r="P174" s="145"/>
      <c r="Q174" s="145">
        <v>2.83</v>
      </c>
      <c r="R174" s="145"/>
      <c r="S174" s="145"/>
      <c r="T174" s="145">
        <v>1.6111682951525628</v>
      </c>
      <c r="U174" s="145"/>
      <c r="V174" s="145">
        <v>2.5165584233877638</v>
      </c>
      <c r="W174" s="145">
        <v>2.8144802017386223</v>
      </c>
      <c r="X174" s="145">
        <v>2.3522759264085846</v>
      </c>
      <c r="Y174" s="145">
        <v>1.3614408510163301</v>
      </c>
      <c r="Z174" s="145">
        <v>1.3800120832618703</v>
      </c>
      <c r="AA174" s="145">
        <v>4.5855897804704133</v>
      </c>
      <c r="AB174" s="145"/>
      <c r="AC174" s="145"/>
      <c r="AD174" s="145"/>
      <c r="AE174" s="145"/>
      <c r="AF174" s="145"/>
      <c r="AG174" s="145">
        <v>14.083368178597681</v>
      </c>
      <c r="AH174" s="161">
        <v>1.429945238988507</v>
      </c>
      <c r="AI174" s="145"/>
    </row>
    <row r="175" spans="1:35">
      <c r="A175" s="141" t="s">
        <v>521</v>
      </c>
      <c r="B175" s="145"/>
      <c r="C175" s="145"/>
      <c r="D175" s="145">
        <v>4.7</v>
      </c>
      <c r="E175" s="145"/>
      <c r="F175" s="145"/>
      <c r="G175" s="145">
        <v>5.6963967835000924</v>
      </c>
      <c r="H175" s="145">
        <v>3</v>
      </c>
      <c r="I175" s="145">
        <v>0.86</v>
      </c>
      <c r="J175" s="145">
        <v>4.0030066465858258</v>
      </c>
      <c r="K175" s="145">
        <v>1.2585913949018579</v>
      </c>
      <c r="L175" s="145"/>
      <c r="M175" s="145"/>
      <c r="N175" s="145">
        <v>9.2818922671497539</v>
      </c>
      <c r="O175" s="145">
        <v>2.4377597639034785</v>
      </c>
      <c r="P175" s="145"/>
      <c r="Q175" s="145">
        <v>2.89</v>
      </c>
      <c r="R175" s="145">
        <v>10.14</v>
      </c>
      <c r="S175" s="145">
        <v>10.18</v>
      </c>
      <c r="T175" s="145">
        <v>1.6601266570263216</v>
      </c>
      <c r="U175" s="145"/>
      <c r="V175" s="145">
        <v>2.4678284791831389</v>
      </c>
      <c r="W175" s="145">
        <v>2.7762557862330133</v>
      </c>
      <c r="X175" s="145">
        <v>2.2898270169596748</v>
      </c>
      <c r="Y175" s="145">
        <v>1.3114169109186791</v>
      </c>
      <c r="Z175" s="145">
        <v>1.3574769242317142</v>
      </c>
      <c r="AA175" s="145">
        <v>4.3196420163091611</v>
      </c>
      <c r="AB175" s="145"/>
      <c r="AC175" s="145"/>
      <c r="AD175" s="145"/>
      <c r="AE175" s="145"/>
      <c r="AF175" s="145"/>
      <c r="AG175" s="145">
        <v>14.332993826877265</v>
      </c>
      <c r="AH175" s="161">
        <v>1.5596681204441945</v>
      </c>
      <c r="AI175" s="145"/>
    </row>
    <row r="176" spans="1:35">
      <c r="A176" s="141" t="s">
        <v>522</v>
      </c>
      <c r="B176" s="145"/>
      <c r="C176" s="145"/>
      <c r="D176" s="145"/>
      <c r="E176" s="145"/>
      <c r="F176" s="145"/>
      <c r="G176" s="145">
        <v>5.57</v>
      </c>
      <c r="H176" s="145">
        <v>3.1</v>
      </c>
      <c r="I176" s="145">
        <v>0.87</v>
      </c>
      <c r="J176" s="145">
        <v>3.9834904929217538</v>
      </c>
      <c r="K176" s="145">
        <v>1.3589110890523539</v>
      </c>
      <c r="L176" s="145"/>
      <c r="M176" s="145"/>
      <c r="N176" s="145">
        <v>8.9289079640290581</v>
      </c>
      <c r="O176" s="145">
        <v>2.4476306780371471</v>
      </c>
      <c r="P176" s="145"/>
      <c r="Q176" s="145">
        <v>2.9800000000000049</v>
      </c>
      <c r="R176" s="145"/>
      <c r="S176" s="145"/>
      <c r="T176" s="145">
        <v>1.6079043971820712</v>
      </c>
      <c r="U176" s="145"/>
      <c r="V176" s="145">
        <v>2.7381181437758513</v>
      </c>
      <c r="W176" s="145">
        <v>2.7878620254491104</v>
      </c>
      <c r="X176" s="145">
        <v>2.095042337797338</v>
      </c>
      <c r="Y176" s="145">
        <v>1.3091495147318699</v>
      </c>
      <c r="Z176" s="145">
        <v>1.3096088773008223</v>
      </c>
      <c r="AA176" s="145">
        <v>4.3352044039123783</v>
      </c>
      <c r="AB176" s="145"/>
      <c r="AC176" s="145"/>
      <c r="AD176" s="145"/>
      <c r="AE176" s="145"/>
      <c r="AF176" s="145"/>
      <c r="AG176" s="145">
        <v>14.635221791278902</v>
      </c>
      <c r="AH176" s="145">
        <v>1.6057331580620635</v>
      </c>
      <c r="AI176" s="145"/>
    </row>
    <row r="177" spans="1:38">
      <c r="A177" s="141" t="s">
        <v>523</v>
      </c>
      <c r="B177" s="145"/>
      <c r="C177" s="145"/>
      <c r="D177" s="145"/>
      <c r="E177" s="145"/>
      <c r="F177" s="145"/>
      <c r="G177" s="145">
        <v>5.39</v>
      </c>
      <c r="H177" s="145">
        <v>3.1</v>
      </c>
      <c r="I177" s="145">
        <v>0.86</v>
      </c>
      <c r="J177" s="145">
        <v>4.1718307014339615</v>
      </c>
      <c r="K177" s="145">
        <v>1.2373010602874102</v>
      </c>
      <c r="L177" s="145"/>
      <c r="M177" s="145"/>
      <c r="N177" s="145">
        <v>8.9424695773542098</v>
      </c>
      <c r="O177" s="145">
        <v>2.5569176272004364</v>
      </c>
      <c r="P177" s="145"/>
      <c r="Q177" s="145">
        <v>2.73</v>
      </c>
      <c r="R177" s="145"/>
      <c r="S177" s="145"/>
      <c r="T177" s="145">
        <v>1.6632011452227573</v>
      </c>
      <c r="U177" s="145"/>
      <c r="V177" s="145">
        <v>2.8825616440520521</v>
      </c>
      <c r="W177" s="145">
        <v>2.8580358137729682</v>
      </c>
      <c r="X177" s="145">
        <v>2.3824334277029533</v>
      </c>
      <c r="Y177" s="145">
        <v>1.31514928396877</v>
      </c>
      <c r="Z177" s="145">
        <v>1.3088315061837468</v>
      </c>
      <c r="AA177" s="145">
        <v>4.2925778583229564</v>
      </c>
      <c r="AB177" s="145"/>
      <c r="AC177" s="145"/>
      <c r="AD177" s="145"/>
      <c r="AE177" s="145"/>
      <c r="AF177" s="145"/>
      <c r="AG177" s="145">
        <v>19.548092632102062</v>
      </c>
      <c r="AH177" s="161">
        <v>1.7642110520386036</v>
      </c>
      <c r="AI177" s="145"/>
    </row>
    <row r="178" spans="1:38">
      <c r="A178" s="141" t="s">
        <v>524</v>
      </c>
      <c r="B178" s="145"/>
      <c r="C178" s="145"/>
      <c r="D178" s="145">
        <v>4.9000000000000004</v>
      </c>
      <c r="E178" s="145"/>
      <c r="F178" s="145"/>
      <c r="G178" s="145">
        <v>5.23</v>
      </c>
      <c r="H178" s="145">
        <v>3.1</v>
      </c>
      <c r="I178" s="145">
        <v>0.88</v>
      </c>
      <c r="J178" s="145">
        <v>3.9925044206495266</v>
      </c>
      <c r="K178" s="145">
        <v>1.213243439503745</v>
      </c>
      <c r="L178" s="145"/>
      <c r="M178" s="145"/>
      <c r="N178" s="145">
        <v>8.4861836936844632</v>
      </c>
      <c r="O178" s="145">
        <v>2.4016251753774149</v>
      </c>
      <c r="P178" s="145"/>
      <c r="Q178" s="145">
        <v>2.58</v>
      </c>
      <c r="R178" s="145">
        <v>9.82</v>
      </c>
      <c r="S178" s="145">
        <v>10.029999999999999</v>
      </c>
      <c r="T178" s="145">
        <v>1.4988555144529543</v>
      </c>
      <c r="U178" s="145"/>
      <c r="V178" s="145">
        <v>2.8296476305347751</v>
      </c>
      <c r="W178" s="145">
        <v>2.8065353153092829</v>
      </c>
      <c r="X178" s="145">
        <v>2.0173935100808715</v>
      </c>
      <c r="Y178" s="145">
        <v>1.2122521922701186</v>
      </c>
      <c r="Z178" s="145">
        <v>1.2057907145685396</v>
      </c>
      <c r="AA178" s="145">
        <v>3.828259217730213</v>
      </c>
      <c r="AB178" s="145"/>
      <c r="AC178" s="145"/>
      <c r="AD178" s="145"/>
      <c r="AE178" s="145"/>
      <c r="AF178" s="145"/>
      <c r="AG178" s="145">
        <v>20.223976011348284</v>
      </c>
      <c r="AH178" s="161">
        <v>1.7284217965029138</v>
      </c>
      <c r="AI178" s="145"/>
    </row>
    <row r="179" spans="1:38">
      <c r="A179" s="141" t="s">
        <v>525</v>
      </c>
      <c r="B179" s="145"/>
      <c r="C179" s="145"/>
      <c r="D179" s="145"/>
      <c r="E179" s="145"/>
      <c r="F179" s="145"/>
      <c r="G179" s="145">
        <v>5.23</v>
      </c>
      <c r="H179" s="145">
        <v>2.9</v>
      </c>
      <c r="I179" s="145">
        <v>0.91</v>
      </c>
      <c r="J179" s="145">
        <v>4.0075714589676545</v>
      </c>
      <c r="K179" s="145">
        <v>1.2626369551028633</v>
      </c>
      <c r="L179" s="145"/>
      <c r="M179" s="145"/>
      <c r="N179" s="145">
        <v>8.3668434933464368</v>
      </c>
      <c r="O179" s="145">
        <v>2.5248421625971469</v>
      </c>
      <c r="P179" s="145"/>
      <c r="Q179" s="145">
        <v>2.52</v>
      </c>
      <c r="R179" s="145"/>
      <c r="S179" s="145"/>
      <c r="T179" s="145">
        <v>1.5743831754049378</v>
      </c>
      <c r="U179" s="145"/>
      <c r="V179" s="145">
        <v>2.9190680880872728</v>
      </c>
      <c r="W179" s="145">
        <v>2.7535314917822054</v>
      </c>
      <c r="X179" s="145">
        <v>2.2065158014982487</v>
      </c>
      <c r="Y179" s="145">
        <v>1.14461895102946</v>
      </c>
      <c r="Z179" s="145">
        <v>1.2180829316731401</v>
      </c>
      <c r="AA179" s="145">
        <v>3.9486967168056273</v>
      </c>
      <c r="AB179" s="145"/>
      <c r="AC179" s="145"/>
      <c r="AD179" s="145"/>
      <c r="AE179" s="145"/>
      <c r="AF179" s="145"/>
      <c r="AG179" s="145">
        <v>20.32228081092935</v>
      </c>
      <c r="AH179" s="145">
        <v>1.8745970759461241</v>
      </c>
      <c r="AI179" s="145"/>
    </row>
    <row r="180" spans="1:38">
      <c r="A180" s="141" t="s">
        <v>526</v>
      </c>
      <c r="B180" s="145"/>
      <c r="C180" s="145"/>
      <c r="D180" s="145"/>
      <c r="E180" s="145"/>
      <c r="F180" s="145"/>
      <c r="G180" s="145">
        <v>5.2</v>
      </c>
      <c r="H180" s="145">
        <v>3</v>
      </c>
      <c r="I180" s="145">
        <v>0.92</v>
      </c>
      <c r="J180" s="145">
        <v>4.2467576572084891</v>
      </c>
      <c r="K180" s="145">
        <v>1.2886648353424575</v>
      </c>
      <c r="L180" s="145"/>
      <c r="M180" s="145"/>
      <c r="N180" s="145">
        <v>8.25265535516513</v>
      </c>
      <c r="O180" s="145">
        <v>2.7369703984238525</v>
      </c>
      <c r="P180" s="145"/>
      <c r="Q180" s="145">
        <v>2.6</v>
      </c>
      <c r="R180" s="145"/>
      <c r="S180" s="145"/>
      <c r="T180" s="145">
        <v>1.6744536871592657</v>
      </c>
      <c r="U180" s="145"/>
      <c r="V180" s="145">
        <v>2.956824502482259</v>
      </c>
      <c r="W180" s="145">
        <v>2.9742274427604722</v>
      </c>
      <c r="X180" s="145">
        <v>2.289814108985059</v>
      </c>
      <c r="Y180" s="145">
        <v>1.1703464350822499</v>
      </c>
      <c r="Z180" s="145">
        <v>1.2134634192171072</v>
      </c>
      <c r="AA180" s="145">
        <v>3.7977809011902881</v>
      </c>
      <c r="AB180" s="145"/>
      <c r="AC180" s="145"/>
      <c r="AD180" s="145"/>
      <c r="AE180" s="145"/>
      <c r="AF180" s="145"/>
      <c r="AG180" s="145">
        <v>20.072953146528477</v>
      </c>
      <c r="AH180" s="161">
        <v>1.9805749901655407</v>
      </c>
      <c r="AI180" s="145"/>
    </row>
    <row r="181" spans="1:38">
      <c r="A181" s="141" t="s">
        <v>527</v>
      </c>
      <c r="B181" s="145"/>
      <c r="C181" s="145"/>
      <c r="D181" s="145">
        <v>5.6</v>
      </c>
      <c r="E181" s="145"/>
      <c r="F181" s="145"/>
      <c r="G181" s="145">
        <v>5.03</v>
      </c>
      <c r="H181" s="145">
        <v>2.8</v>
      </c>
      <c r="I181" s="145">
        <v>0.91</v>
      </c>
      <c r="J181" s="145">
        <v>4.1815767863997833</v>
      </c>
      <c r="K181" s="145">
        <v>1.2851486798326248</v>
      </c>
      <c r="L181" s="145"/>
      <c r="M181" s="145"/>
      <c r="N181" s="145">
        <v>8.0042970153910549</v>
      </c>
      <c r="O181" s="145">
        <v>2.7549379922822586</v>
      </c>
      <c r="P181" s="145"/>
      <c r="Q181" s="145">
        <v>2.61</v>
      </c>
      <c r="R181" s="145">
        <v>10.09</v>
      </c>
      <c r="S181" s="145">
        <v>9.69</v>
      </c>
      <c r="T181" s="145">
        <v>1.5090116131536537</v>
      </c>
      <c r="U181" s="145"/>
      <c r="V181" s="145">
        <v>3.0371953238253568</v>
      </c>
      <c r="W181" s="145">
        <v>3.0510202657980883</v>
      </c>
      <c r="X181" s="145">
        <v>2.2777322611642137</v>
      </c>
      <c r="Y181" s="145">
        <v>1.0712652184754483</v>
      </c>
      <c r="Z181" s="145">
        <v>1.1911221803415983</v>
      </c>
      <c r="AA181" s="145">
        <v>3.8946034218341321</v>
      </c>
      <c r="AB181" s="145"/>
      <c r="AC181" s="145"/>
      <c r="AD181" s="145"/>
      <c r="AE181" s="145"/>
      <c r="AF181" s="145"/>
      <c r="AG181" s="145">
        <v>20.016523998367859</v>
      </c>
      <c r="AH181" s="161">
        <v>2.0466938043432741</v>
      </c>
      <c r="AI181" s="145"/>
    </row>
    <row r="182" spans="1:38">
      <c r="A182" s="141" t="s">
        <v>528</v>
      </c>
      <c r="B182" s="145"/>
      <c r="C182" s="145"/>
      <c r="D182" s="145"/>
      <c r="E182" s="145"/>
      <c r="F182" s="145"/>
      <c r="G182" s="145">
        <v>4.8099999999999996</v>
      </c>
      <c r="H182" s="145">
        <v>3</v>
      </c>
      <c r="I182" s="145">
        <v>0.89</v>
      </c>
      <c r="J182" s="145">
        <v>4.1531289607735555</v>
      </c>
      <c r="K182" s="145">
        <v>1.3194885247145995</v>
      </c>
      <c r="L182" s="145"/>
      <c r="M182" s="145"/>
      <c r="N182" s="145">
        <v>8.0497343136532944</v>
      </c>
      <c r="O182" s="145">
        <v>2.9189596887932874</v>
      </c>
      <c r="P182" s="145"/>
      <c r="Q182" s="145">
        <v>2.7</v>
      </c>
      <c r="R182" s="145"/>
      <c r="S182" s="145"/>
      <c r="T182" s="145">
        <v>1.7794572750687698</v>
      </c>
      <c r="U182" s="145"/>
      <c r="V182" s="145">
        <v>3.3205256356468462</v>
      </c>
      <c r="W182" s="145">
        <v>2.9637970307548334</v>
      </c>
      <c r="X182" s="145">
        <v>2.2310877586786275</v>
      </c>
      <c r="Y182" s="145">
        <v>1.1213831706305399</v>
      </c>
      <c r="Z182" s="145">
        <v>1.1899317904673321</v>
      </c>
      <c r="AA182" s="145">
        <v>3.8851953149260092</v>
      </c>
      <c r="AB182" s="145"/>
      <c r="AC182" s="145"/>
      <c r="AD182" s="145"/>
      <c r="AE182" s="145"/>
      <c r="AF182" s="145"/>
      <c r="AG182" s="145">
        <v>20.14930712729187</v>
      </c>
      <c r="AH182" s="145">
        <v>2.0589222018530138</v>
      </c>
      <c r="AI182" s="145"/>
    </row>
    <row r="183" spans="1:38">
      <c r="A183" s="141" t="s">
        <v>529</v>
      </c>
      <c r="B183" s="145"/>
      <c r="C183" s="145"/>
      <c r="D183" s="145"/>
      <c r="E183" s="145"/>
      <c r="F183" s="145"/>
      <c r="G183" s="145">
        <v>4.6900000000000004</v>
      </c>
      <c r="H183" s="145">
        <v>3</v>
      </c>
      <c r="I183" s="145">
        <v>0.93</v>
      </c>
      <c r="J183" s="145">
        <v>4.4358968903867302</v>
      </c>
      <c r="K183" s="145">
        <v>1.3839209000084787</v>
      </c>
      <c r="L183" s="145"/>
      <c r="M183" s="145"/>
      <c r="N183" s="145">
        <v>8.0211721451977276</v>
      </c>
      <c r="O183" s="145">
        <v>3.1792931303712004</v>
      </c>
      <c r="P183" s="145"/>
      <c r="Q183" s="145">
        <v>2.73</v>
      </c>
      <c r="R183" s="145"/>
      <c r="S183" s="145"/>
      <c r="T183" s="145">
        <v>2.1070645612906467</v>
      </c>
      <c r="U183" s="145"/>
      <c r="V183" s="145">
        <v>3.5216534468125089</v>
      </c>
      <c r="W183" s="145">
        <v>2.8740240023219283</v>
      </c>
      <c r="X183" s="145">
        <v>2.4092257846739926</v>
      </c>
      <c r="Y183" s="145">
        <v>1.25758347388054</v>
      </c>
      <c r="Z183" s="145">
        <v>1.2564744269222801</v>
      </c>
      <c r="AA183" s="145">
        <v>4.057698774224793</v>
      </c>
      <c r="AB183" s="145"/>
      <c r="AC183" s="145"/>
      <c r="AD183" s="145"/>
      <c r="AE183" s="145"/>
      <c r="AF183" s="145"/>
      <c r="AG183" s="145">
        <v>20.285135894456108</v>
      </c>
      <c r="AH183" s="145">
        <v>2.0540082068578704</v>
      </c>
      <c r="AI183" s="145"/>
    </row>
    <row r="184" spans="1:38" s="166" customFormat="1">
      <c r="A184" s="148" t="s">
        <v>530</v>
      </c>
      <c r="B184" s="149"/>
      <c r="C184" s="149">
        <v>3.1083847437120093</v>
      </c>
      <c r="D184" s="149">
        <v>6.12</v>
      </c>
      <c r="E184" s="149">
        <v>3.4</v>
      </c>
      <c r="F184" s="149">
        <v>10.7</v>
      </c>
      <c r="G184" s="149">
        <v>4.28</v>
      </c>
      <c r="H184" s="149">
        <v>3.2</v>
      </c>
      <c r="I184" s="149">
        <v>0.98</v>
      </c>
      <c r="J184" s="149">
        <v>4.1297538133464968</v>
      </c>
      <c r="K184" s="149">
        <v>1.5482446473905334</v>
      </c>
      <c r="L184" s="149"/>
      <c r="M184" s="149"/>
      <c r="N184" s="149">
        <v>7.6541014769994655</v>
      </c>
      <c r="O184" s="149">
        <v>2.8753529390303756</v>
      </c>
      <c r="P184" s="149"/>
      <c r="Q184" s="149">
        <v>2.35</v>
      </c>
      <c r="R184" s="149">
        <v>5.29</v>
      </c>
      <c r="S184" s="149">
        <v>10.46</v>
      </c>
      <c r="T184" s="149">
        <v>1.6507802066099246</v>
      </c>
      <c r="U184" s="149"/>
      <c r="V184" s="149">
        <v>3.2080253485418506</v>
      </c>
      <c r="W184" s="149">
        <v>2.9659130978203931</v>
      </c>
      <c r="X184" s="149">
        <v>2.5614806164191339</v>
      </c>
      <c r="Y184" s="149">
        <v>1.1477404445280699</v>
      </c>
      <c r="Z184" s="149">
        <v>1.2690225744310133</v>
      </c>
      <c r="AA184" s="149">
        <v>3.5575399960195804</v>
      </c>
      <c r="AB184" s="149"/>
      <c r="AC184" s="149"/>
      <c r="AD184" s="149"/>
      <c r="AE184" s="149">
        <v>7.8</v>
      </c>
      <c r="AF184" s="149">
        <v>2.5</v>
      </c>
      <c r="AG184" s="149">
        <v>16.453945607089022</v>
      </c>
      <c r="AH184" s="163">
        <v>1.883919981860251</v>
      </c>
      <c r="AI184" s="147"/>
      <c r="AJ184" s="164"/>
      <c r="AK184" s="165"/>
    </row>
    <row r="185" spans="1:38">
      <c r="A185" s="141" t="s">
        <v>531</v>
      </c>
      <c r="B185" s="145"/>
      <c r="C185" s="145"/>
      <c r="D185" s="145">
        <v>6.36</v>
      </c>
      <c r="E185" s="145"/>
      <c r="F185" s="145"/>
      <c r="G185" s="145">
        <v>4.45</v>
      </c>
      <c r="H185" s="145">
        <v>3.3</v>
      </c>
      <c r="I185" s="145">
        <v>1.0269775119245446</v>
      </c>
      <c r="J185" s="145">
        <v>4.4870147257001971</v>
      </c>
      <c r="K185" s="145">
        <v>1.7524486252794382</v>
      </c>
      <c r="L185" s="145"/>
      <c r="M185" s="145"/>
      <c r="N185" s="145">
        <v>8.1215061463091551</v>
      </c>
      <c r="O185" s="145">
        <v>3.0297652773273107</v>
      </c>
      <c r="P185" s="145"/>
      <c r="Q185" s="145">
        <v>2.5699999999999945</v>
      </c>
      <c r="R185" s="145"/>
      <c r="S185" s="145"/>
      <c r="T185" s="145">
        <v>1.891057062045497</v>
      </c>
      <c r="U185" s="145"/>
      <c r="V185" s="145">
        <v>3.3556953994475656</v>
      </c>
      <c r="W185" s="145">
        <v>2.8258744812316801</v>
      </c>
      <c r="X185" s="145">
        <v>2.6491016313984757</v>
      </c>
      <c r="Y185" s="145">
        <v>1.44958710399766</v>
      </c>
      <c r="Z185" s="145">
        <v>1.3442675707485514</v>
      </c>
      <c r="AA185" s="145">
        <v>4.0045415855060895</v>
      </c>
      <c r="AB185" s="145"/>
      <c r="AC185" s="145"/>
      <c r="AD185" s="145"/>
      <c r="AE185" s="145"/>
      <c r="AF185" s="145"/>
      <c r="AG185" s="145">
        <v>17.865391815500832</v>
      </c>
      <c r="AH185" s="161">
        <v>2.1212561235927794</v>
      </c>
      <c r="AI185" s="167"/>
      <c r="AK185" s="145"/>
      <c r="AL185" s="145"/>
    </row>
    <row r="186" spans="1:38">
      <c r="A186" s="141" t="s">
        <v>532</v>
      </c>
      <c r="B186" s="145"/>
      <c r="C186" s="145"/>
      <c r="D186" s="145">
        <v>6.66</v>
      </c>
      <c r="E186" s="145"/>
      <c r="F186" s="145"/>
      <c r="G186" s="145">
        <v>4.8600000000000003</v>
      </c>
      <c r="H186" s="145">
        <v>3.5</v>
      </c>
      <c r="I186" s="145">
        <v>1.1012473716888647</v>
      </c>
      <c r="J186" s="145">
        <v>4.6319712246073532</v>
      </c>
      <c r="K186" s="145">
        <v>1.9001036587243825</v>
      </c>
      <c r="L186" s="145"/>
      <c r="M186" s="145"/>
      <c r="N186" s="145">
        <v>8.6899296899456857</v>
      </c>
      <c r="O186" s="145">
        <v>3.0992427338497666</v>
      </c>
      <c r="P186" s="145"/>
      <c r="Q186" s="145">
        <v>2.66</v>
      </c>
      <c r="R186" s="145"/>
      <c r="S186" s="145"/>
      <c r="T186" s="145">
        <v>1.9912538707822751</v>
      </c>
      <c r="U186" s="145"/>
      <c r="V186" s="145">
        <v>3.4159648054962619</v>
      </c>
      <c r="W186" s="145">
        <v>2.5889758990319747</v>
      </c>
      <c r="X186" s="145">
        <v>2.5126865122894517</v>
      </c>
      <c r="Y186" s="145">
        <v>1.5369282468594201</v>
      </c>
      <c r="Z186" s="145">
        <v>1.4332308420628155</v>
      </c>
      <c r="AA186" s="145">
        <v>4.3004229190133714</v>
      </c>
      <c r="AB186" s="145"/>
      <c r="AC186" s="145"/>
      <c r="AD186" s="145"/>
      <c r="AE186" s="145"/>
      <c r="AF186" s="145"/>
      <c r="AG186" s="145">
        <v>17.623105995208153</v>
      </c>
      <c r="AH186" s="161">
        <v>2.2564463403322721</v>
      </c>
      <c r="AI186" s="167"/>
      <c r="AK186" s="145"/>
      <c r="AL186" s="145"/>
    </row>
    <row r="187" spans="1:38">
      <c r="A187" s="141" t="s">
        <v>533</v>
      </c>
      <c r="B187" s="145"/>
      <c r="C187" s="145"/>
      <c r="D187" s="145">
        <v>7.11</v>
      </c>
      <c r="E187" s="145"/>
      <c r="F187" s="145"/>
      <c r="G187" s="145">
        <v>4.76</v>
      </c>
      <c r="H187" s="145">
        <v>3.7</v>
      </c>
      <c r="I187" s="145">
        <v>1.1329095422565625</v>
      </c>
      <c r="J187" s="145">
        <v>4.6723715001240764</v>
      </c>
      <c r="K187" s="145">
        <v>1.8616140452613048</v>
      </c>
      <c r="L187" s="145"/>
      <c r="M187" s="145"/>
      <c r="N187" s="145">
        <v>8.8032738264364436</v>
      </c>
      <c r="O187" s="145">
        <v>3.2257890548794146</v>
      </c>
      <c r="P187" s="145"/>
      <c r="Q187" s="145">
        <v>2.62</v>
      </c>
      <c r="R187" s="145">
        <v>9.7799999999999994</v>
      </c>
      <c r="S187" s="145">
        <v>10.48</v>
      </c>
      <c r="T187" s="145">
        <v>2.205898719251552</v>
      </c>
      <c r="U187" s="145"/>
      <c r="V187" s="145">
        <v>3.4274255046452948</v>
      </c>
      <c r="W187" s="145">
        <v>2.7736486612178686</v>
      </c>
      <c r="X187" s="145">
        <v>2.5670268189200667</v>
      </c>
      <c r="Y187" s="145">
        <v>1.5478314250062446</v>
      </c>
      <c r="Z187" s="145">
        <v>1.4107764204901172</v>
      </c>
      <c r="AA187" s="145">
        <v>4.4455258977251662</v>
      </c>
      <c r="AB187" s="145"/>
      <c r="AC187" s="145"/>
      <c r="AD187" s="145"/>
      <c r="AE187" s="145"/>
      <c r="AF187" s="145">
        <v>3.1</v>
      </c>
      <c r="AG187" s="145">
        <v>14.778228787160336</v>
      </c>
      <c r="AH187" s="161">
        <v>2.2665642786493509</v>
      </c>
      <c r="AI187" s="167"/>
      <c r="AJ187" s="154"/>
      <c r="AK187" s="145"/>
      <c r="AL187" s="145"/>
    </row>
    <row r="188" spans="1:38">
      <c r="A188" s="141" t="s">
        <v>534</v>
      </c>
      <c r="B188" s="145"/>
      <c r="C188" s="145"/>
      <c r="D188" s="145">
        <v>7.48</v>
      </c>
      <c r="E188" s="145"/>
      <c r="F188" s="145"/>
      <c r="G188" s="145">
        <v>4.78</v>
      </c>
      <c r="H188" s="145">
        <v>4.0999999999999996</v>
      </c>
      <c r="I188" s="145">
        <v>1.19</v>
      </c>
      <c r="J188" s="145">
        <v>4.8131607828688727</v>
      </c>
      <c r="K188" s="145">
        <v>1.890692016212018</v>
      </c>
      <c r="L188" s="145"/>
      <c r="M188" s="145"/>
      <c r="N188" s="145">
        <v>9.0516075235418096</v>
      </c>
      <c r="O188" s="145">
        <v>3.4192140778696061</v>
      </c>
      <c r="P188" s="145"/>
      <c r="Q188" s="145">
        <v>2.8699999999999948</v>
      </c>
      <c r="R188" s="145"/>
      <c r="S188" s="145"/>
      <c r="T188" s="145">
        <v>2.5195194657915527</v>
      </c>
      <c r="U188" s="145"/>
      <c r="V188" s="145">
        <v>3.6319203193831617</v>
      </c>
      <c r="W188" s="145">
        <v>2.6860452075229269</v>
      </c>
      <c r="X188" s="145">
        <v>2.6033544043428187</v>
      </c>
      <c r="Y188" s="145">
        <v>1.6043657318226501</v>
      </c>
      <c r="Z188" s="145">
        <v>1.5194762930766319</v>
      </c>
      <c r="AA188" s="145">
        <v>4.5720152710090405</v>
      </c>
      <c r="AB188" s="145"/>
      <c r="AC188" s="145"/>
      <c r="AD188" s="145"/>
      <c r="AE188" s="145"/>
      <c r="AF188" s="145"/>
      <c r="AG188" s="145">
        <v>14.791413599959579</v>
      </c>
      <c r="AH188" s="145">
        <v>2.4980633703199717</v>
      </c>
      <c r="AI188" s="167"/>
      <c r="AJ188" s="154"/>
      <c r="AK188" s="145"/>
      <c r="AL188" s="145"/>
    </row>
    <row r="189" spans="1:38">
      <c r="A189" s="141" t="s">
        <v>535</v>
      </c>
      <c r="B189" s="145"/>
      <c r="C189" s="145"/>
      <c r="D189" s="145">
        <v>7.7</v>
      </c>
      <c r="E189" s="145"/>
      <c r="F189" s="145"/>
      <c r="G189" s="145">
        <v>4.7699999999999996</v>
      </c>
      <c r="H189" s="145">
        <v>4.3</v>
      </c>
      <c r="I189" s="145">
        <v>1.22</v>
      </c>
      <c r="J189" s="145">
        <v>4.8228285653217657</v>
      </c>
      <c r="K189" s="145">
        <v>2.0359953836133164</v>
      </c>
      <c r="L189" s="145"/>
      <c r="M189" s="145"/>
      <c r="N189" s="145">
        <v>9.1774312139623078</v>
      </c>
      <c r="O189" s="145">
        <v>3.727655714244702</v>
      </c>
      <c r="P189" s="145"/>
      <c r="Q189" s="145">
        <v>3.180000000000005</v>
      </c>
      <c r="R189" s="145"/>
      <c r="S189" s="145"/>
      <c r="T189" s="168">
        <v>2.2032928042105504</v>
      </c>
      <c r="U189" s="145"/>
      <c r="V189" s="145">
        <v>3.8600163739866078</v>
      </c>
      <c r="W189" s="145">
        <v>2.8937428055214363</v>
      </c>
      <c r="X189" s="145">
        <v>2.6392235276336495</v>
      </c>
      <c r="Y189" s="145">
        <v>1.7130654740347311</v>
      </c>
      <c r="Z189" s="145">
        <v>1.5757169224219163</v>
      </c>
      <c r="AA189" s="145">
        <v>4.7935364277771058</v>
      </c>
      <c r="AB189" s="145"/>
      <c r="AC189" s="168"/>
      <c r="AD189" s="145"/>
      <c r="AE189" s="145"/>
      <c r="AF189" s="145"/>
      <c r="AG189" s="145">
        <v>14.353321067747931</v>
      </c>
      <c r="AH189" s="145">
        <v>2.6748068890118799</v>
      </c>
      <c r="AI189" s="167"/>
      <c r="AK189" s="145"/>
      <c r="AL189" s="145"/>
    </row>
    <row r="190" spans="1:38">
      <c r="A190" s="141" t="s">
        <v>536</v>
      </c>
      <c r="B190" s="145"/>
      <c r="C190" s="145"/>
      <c r="D190" s="145">
        <v>7.8</v>
      </c>
      <c r="E190" s="145"/>
      <c r="F190" s="145"/>
      <c r="G190" s="145">
        <v>4.42</v>
      </c>
      <c r="H190" s="145">
        <v>4.3</v>
      </c>
      <c r="I190" s="145">
        <v>1.3425266650948093</v>
      </c>
      <c r="J190" s="145">
        <v>4.7088305724027633</v>
      </c>
      <c r="K190" s="145">
        <v>2.1107550219579752</v>
      </c>
      <c r="L190" s="145"/>
      <c r="M190" s="145"/>
      <c r="N190" s="145">
        <v>9.1298964357940573</v>
      </c>
      <c r="O190" s="145">
        <v>3.7868409005476189</v>
      </c>
      <c r="P190" s="145"/>
      <c r="Q190" s="145">
        <v>3.04</v>
      </c>
      <c r="R190" s="145">
        <v>8.74</v>
      </c>
      <c r="S190" s="145">
        <v>10.07</v>
      </c>
      <c r="T190" s="168">
        <v>2.0988629249688557</v>
      </c>
      <c r="U190" s="145"/>
      <c r="V190" s="145">
        <v>3.8442313996683963</v>
      </c>
      <c r="W190" s="145">
        <v>2.9145513115381312</v>
      </c>
      <c r="X190" s="145">
        <v>2.7238879786123786</v>
      </c>
      <c r="Y190" s="145">
        <v>1.78277470341484</v>
      </c>
      <c r="Z190" s="145">
        <v>1.6211663719390705</v>
      </c>
      <c r="AA190" s="145">
        <v>4.3392158508538037</v>
      </c>
      <c r="AB190" s="145"/>
      <c r="AC190" s="168"/>
      <c r="AD190" s="145"/>
      <c r="AE190" s="145"/>
      <c r="AF190" s="145">
        <v>3.6</v>
      </c>
      <c r="AG190" s="145">
        <v>13.647819841705244</v>
      </c>
      <c r="AH190" s="145">
        <v>2.5873358886910762</v>
      </c>
      <c r="AI190" s="167"/>
      <c r="AK190" s="145"/>
      <c r="AL190" s="145"/>
    </row>
    <row r="191" spans="1:38">
      <c r="A191" s="141" t="s">
        <v>537</v>
      </c>
      <c r="B191" s="145"/>
      <c r="C191" s="145"/>
      <c r="D191" s="145">
        <v>8.1</v>
      </c>
      <c r="E191" s="145"/>
      <c r="F191" s="145"/>
      <c r="G191" s="145">
        <v>4.4000000000000004</v>
      </c>
      <c r="H191" s="145">
        <v>4.4000000000000004</v>
      </c>
      <c r="I191" s="145">
        <v>1.3</v>
      </c>
      <c r="J191" s="145">
        <v>4.6020377729077673</v>
      </c>
      <c r="K191" s="145">
        <v>2.1625220285966127</v>
      </c>
      <c r="L191" s="145"/>
      <c r="M191" s="145"/>
      <c r="N191" s="145">
        <v>9.1627544976279029</v>
      </c>
      <c r="O191" s="145">
        <v>3.8322388223215804</v>
      </c>
      <c r="P191" s="145"/>
      <c r="Q191" s="145">
        <v>3.26</v>
      </c>
      <c r="R191" s="145"/>
      <c r="S191" s="145"/>
      <c r="T191" s="168">
        <v>2.1447270603862663</v>
      </c>
      <c r="U191" s="145"/>
      <c r="V191" s="145">
        <v>3.7640208264680028</v>
      </c>
      <c r="W191" s="145">
        <v>2.9184671091981311</v>
      </c>
      <c r="X191" s="145">
        <v>3.0238062157185963</v>
      </c>
      <c r="Y191" s="145">
        <v>1.8697849372219699</v>
      </c>
      <c r="Z191" s="145">
        <v>1.6424396394262033</v>
      </c>
      <c r="AA191" s="145">
        <v>4.7046813140276873</v>
      </c>
      <c r="AB191" s="145"/>
      <c r="AC191" s="168"/>
      <c r="AD191" s="145"/>
      <c r="AE191" s="145"/>
      <c r="AF191" s="145"/>
      <c r="AG191" s="145">
        <v>13.829480577582437</v>
      </c>
      <c r="AH191" s="145">
        <v>2.656406133197255</v>
      </c>
      <c r="AI191" s="167"/>
      <c r="AK191" s="145"/>
      <c r="AL191" s="145"/>
    </row>
    <row r="192" spans="1:38">
      <c r="A192" s="141" t="s">
        <v>538</v>
      </c>
      <c r="B192" s="145"/>
      <c r="C192" s="145"/>
      <c r="D192" s="145">
        <v>8.8000000000000007</v>
      </c>
      <c r="E192" s="145"/>
      <c r="F192" s="145"/>
      <c r="G192" s="145">
        <v>4.2300000000000004</v>
      </c>
      <c r="H192" s="145">
        <v>4.4000000000000004</v>
      </c>
      <c r="I192" s="145">
        <v>1.2987461373034996</v>
      </c>
      <c r="J192" s="145">
        <v>4.8131519851868259</v>
      </c>
      <c r="K192" s="145">
        <v>2.1870174515119132</v>
      </c>
      <c r="L192" s="145"/>
      <c r="M192" s="145"/>
      <c r="N192" s="145">
        <v>9.2873544889172379</v>
      </c>
      <c r="O192" s="145">
        <v>4.0152593585597804</v>
      </c>
      <c r="P192" s="145"/>
      <c r="Q192" s="145">
        <v>3.2800000000000051</v>
      </c>
      <c r="R192" s="145"/>
      <c r="S192" s="145"/>
      <c r="T192" s="168">
        <v>1.9915510813640513</v>
      </c>
      <c r="U192" s="145"/>
      <c r="V192" s="145">
        <v>3.6090811101478346</v>
      </c>
      <c r="W192" s="145">
        <v>3.120228815269229</v>
      </c>
      <c r="X192" s="145">
        <v>3.2666150095274267</v>
      </c>
      <c r="Y192" s="145">
        <v>1.86721909119665</v>
      </c>
      <c r="Z192" s="145">
        <v>1.6940628972203398</v>
      </c>
      <c r="AA192" s="145">
        <v>4.6367836898742674</v>
      </c>
      <c r="AB192" s="145"/>
      <c r="AC192" s="168"/>
      <c r="AD192" s="145"/>
      <c r="AE192" s="145"/>
      <c r="AF192" s="145"/>
      <c r="AG192" s="145">
        <v>14.057019919910442</v>
      </c>
      <c r="AH192" s="145">
        <v>3.0158549316627554</v>
      </c>
      <c r="AI192" s="167"/>
      <c r="AK192" s="145"/>
      <c r="AL192" s="145"/>
    </row>
    <row r="193" spans="1:38">
      <c r="A193" s="141" t="s">
        <v>539</v>
      </c>
      <c r="B193" s="145"/>
      <c r="C193" s="145"/>
      <c r="D193" s="145">
        <v>9.1</v>
      </c>
      <c r="E193" s="145"/>
      <c r="F193" s="145"/>
      <c r="G193" s="145">
        <v>4.21</v>
      </c>
      <c r="H193" s="145">
        <v>4.5</v>
      </c>
      <c r="I193" s="145">
        <v>1.3169344201610227</v>
      </c>
      <c r="J193" s="145">
        <v>4.6030994449501774</v>
      </c>
      <c r="K193" s="145">
        <v>2.1917939527538954</v>
      </c>
      <c r="L193" s="145"/>
      <c r="M193" s="145"/>
      <c r="N193" s="145">
        <v>8.9932610514022358</v>
      </c>
      <c r="O193" s="145">
        <v>4.2092078050227428</v>
      </c>
      <c r="P193" s="145"/>
      <c r="Q193" s="145">
        <v>3.1900000000000039</v>
      </c>
      <c r="R193" s="145">
        <v>9.3800000000000008</v>
      </c>
      <c r="S193" s="145">
        <v>8.48</v>
      </c>
      <c r="T193" s="168">
        <v>1.8032144946393653</v>
      </c>
      <c r="U193" s="145"/>
      <c r="V193" s="145">
        <v>3.4333669615176676</v>
      </c>
      <c r="W193" s="145">
        <v>3.4357576068539633</v>
      </c>
      <c r="X193" s="145">
        <v>2.8703141627587145</v>
      </c>
      <c r="Y193" s="145">
        <v>1.7724750382953001</v>
      </c>
      <c r="Z193" s="145">
        <v>1.5817800900398256</v>
      </c>
      <c r="AA193" s="145">
        <v>4.3736313136094074</v>
      </c>
      <c r="AB193" s="145"/>
      <c r="AC193" s="168"/>
      <c r="AD193" s="145"/>
      <c r="AE193" s="145"/>
      <c r="AF193" s="145">
        <v>3.5</v>
      </c>
      <c r="AG193" s="145">
        <v>14.651385493247504</v>
      </c>
      <c r="AH193" s="145">
        <v>2.7539942184459276</v>
      </c>
      <c r="AI193" s="167"/>
      <c r="AK193" s="145"/>
      <c r="AL193" s="145"/>
    </row>
    <row r="194" spans="1:38">
      <c r="A194" s="141" t="s">
        <v>540</v>
      </c>
      <c r="B194" s="145"/>
      <c r="C194" s="145"/>
      <c r="D194" s="145">
        <v>8.6</v>
      </c>
      <c r="E194" s="145"/>
      <c r="F194" s="145"/>
      <c r="G194" s="145">
        <v>4.1100000000000003</v>
      </c>
      <c r="H194" s="145">
        <v>4.5</v>
      </c>
      <c r="I194" s="145">
        <v>1.3319674692953942</v>
      </c>
      <c r="J194" s="145">
        <v>4.6297170398031851</v>
      </c>
      <c r="K194" s="145">
        <v>2.2650931121259847</v>
      </c>
      <c r="L194" s="145"/>
      <c r="M194" s="145"/>
      <c r="N194" s="145">
        <v>9.0235952695425041</v>
      </c>
      <c r="O194" s="145">
        <v>4.3326391142905205</v>
      </c>
      <c r="P194" s="145"/>
      <c r="Q194" s="145">
        <v>3.2000000000000028</v>
      </c>
      <c r="R194" s="145"/>
      <c r="S194" s="145"/>
      <c r="T194" s="168">
        <v>1.96219222774517</v>
      </c>
      <c r="U194" s="145"/>
      <c r="V194" s="145">
        <v>3.3833394876334433</v>
      </c>
      <c r="W194" s="145">
        <v>3.6701100381290903</v>
      </c>
      <c r="X194" s="145">
        <v>2.7983513689314434</v>
      </c>
      <c r="Y194" s="145">
        <v>1.66813883014919</v>
      </c>
      <c r="Z194" s="145">
        <v>1.6275024829077305</v>
      </c>
      <c r="AA194" s="145">
        <v>4.3570501351881159</v>
      </c>
      <c r="AB194" s="145"/>
      <c r="AC194" s="168"/>
      <c r="AD194" s="145"/>
      <c r="AE194" s="145"/>
      <c r="AF194" s="145"/>
      <c r="AG194" s="145">
        <v>14.681982385015621</v>
      </c>
      <c r="AH194" s="145">
        <v>2.7890921018759771</v>
      </c>
      <c r="AI194" s="167"/>
      <c r="AK194" s="145"/>
      <c r="AL194" s="145"/>
    </row>
    <row r="195" spans="1:38">
      <c r="A195" s="146" t="s">
        <v>541</v>
      </c>
      <c r="B195" s="147"/>
      <c r="C195" s="147"/>
      <c r="D195" s="147">
        <v>9</v>
      </c>
      <c r="E195" s="147"/>
      <c r="F195" s="147"/>
      <c r="G195" s="147">
        <v>3.87</v>
      </c>
      <c r="H195" s="147">
        <v>4.4000000000000004</v>
      </c>
      <c r="I195" s="147">
        <v>1.3059597880967926</v>
      </c>
      <c r="J195" s="147">
        <v>4.7001227857659318</v>
      </c>
      <c r="K195" s="147">
        <v>2.14039746015521</v>
      </c>
      <c r="L195" s="147"/>
      <c r="M195" s="147"/>
      <c r="N195" s="147">
        <v>9.0838744380835301</v>
      </c>
      <c r="O195" s="147">
        <v>4.3662906826513508</v>
      </c>
      <c r="P195" s="147"/>
      <c r="Q195" s="147">
        <v>3.0399999999999983</v>
      </c>
      <c r="R195" s="147"/>
      <c r="S195" s="147"/>
      <c r="T195" s="169">
        <v>1.8991761786580998</v>
      </c>
      <c r="U195" s="147"/>
      <c r="V195" s="147">
        <v>3.3363666555982068</v>
      </c>
      <c r="W195" s="147">
        <v>3.6652065639092553</v>
      </c>
      <c r="X195" s="147">
        <v>3.2954049494609992</v>
      </c>
      <c r="Y195" s="147">
        <v>1.6641234303933601</v>
      </c>
      <c r="Z195" s="147">
        <v>1.6208444644323607</v>
      </c>
      <c r="AA195" s="147">
        <v>4.4827250060643555</v>
      </c>
      <c r="AB195" s="147"/>
      <c r="AC195" s="169"/>
      <c r="AD195" s="147"/>
      <c r="AE195" s="147"/>
      <c r="AF195" s="147"/>
      <c r="AG195" s="147">
        <v>12.623915070606891</v>
      </c>
      <c r="AH195" s="147">
        <v>2.7839992397088769</v>
      </c>
      <c r="AI195" s="167"/>
      <c r="AK195" s="145"/>
      <c r="AL195" s="145"/>
    </row>
    <row r="196" spans="1:38">
      <c r="A196" s="148" t="s">
        <v>542</v>
      </c>
      <c r="B196" s="149"/>
      <c r="C196" s="149">
        <v>3.46682830746549</v>
      </c>
      <c r="D196" s="149">
        <v>9.4</v>
      </c>
      <c r="E196" s="149">
        <v>7.9</v>
      </c>
      <c r="F196" s="149">
        <v>10.8</v>
      </c>
      <c r="G196" s="149">
        <v>3.53</v>
      </c>
      <c r="H196" s="149">
        <v>4.3</v>
      </c>
      <c r="I196" s="149">
        <v>1.3453818580432784</v>
      </c>
      <c r="J196" s="149">
        <v>4.1696553943677888</v>
      </c>
      <c r="K196" s="149">
        <v>2.0776341646484053</v>
      </c>
      <c r="L196" s="149"/>
      <c r="M196" s="149"/>
      <c r="N196" s="149">
        <v>8.08681169036287</v>
      </c>
      <c r="O196" s="149">
        <v>3.8342697162613453</v>
      </c>
      <c r="P196" s="149"/>
      <c r="Q196" s="149">
        <v>2.7100000000000013</v>
      </c>
      <c r="R196" s="149">
        <v>8.26</v>
      </c>
      <c r="S196" s="149">
        <v>8.6300000000000008</v>
      </c>
      <c r="T196" s="170">
        <v>1.5835645275808365</v>
      </c>
      <c r="U196" s="149"/>
      <c r="V196" s="149">
        <v>3.0690356117712652</v>
      </c>
      <c r="W196" s="171">
        <v>3.2590036360387451</v>
      </c>
      <c r="X196" s="149">
        <v>2.6264365229806343</v>
      </c>
      <c r="Y196" s="149">
        <v>1.59735017041134</v>
      </c>
      <c r="Z196" s="149">
        <v>1.5564941160262036</v>
      </c>
      <c r="AA196" s="149">
        <v>4.1016322442904389</v>
      </c>
      <c r="AB196" s="149"/>
      <c r="AC196" s="170"/>
      <c r="AD196" s="149"/>
      <c r="AE196" s="149">
        <v>7.9</v>
      </c>
      <c r="AF196" s="149">
        <v>5</v>
      </c>
      <c r="AG196" s="149">
        <v>7.5526628267753848</v>
      </c>
      <c r="AH196" s="149">
        <v>2.9641685680228806</v>
      </c>
      <c r="AI196" s="167"/>
      <c r="AK196" s="145"/>
      <c r="AL196" s="145"/>
    </row>
    <row r="197" spans="1:38">
      <c r="A197" s="141" t="s">
        <v>543</v>
      </c>
      <c r="B197" s="145"/>
      <c r="C197" s="145">
        <v>3.5094830312114982</v>
      </c>
      <c r="D197" s="145">
        <v>9.6</v>
      </c>
      <c r="E197" s="145"/>
      <c r="F197" s="145"/>
      <c r="G197" s="145">
        <v>3.71</v>
      </c>
      <c r="H197" s="145">
        <v>4.2</v>
      </c>
      <c r="I197" s="145">
        <v>1.3628353267056739</v>
      </c>
      <c r="J197" s="145">
        <v>4.4159070324239735</v>
      </c>
      <c r="K197" s="145">
        <v>2.2006931552608386</v>
      </c>
      <c r="L197" s="172"/>
      <c r="M197" s="145"/>
      <c r="N197" s="145">
        <v>4.9100868885114082</v>
      </c>
      <c r="O197" s="145">
        <v>3.9203266026037178</v>
      </c>
      <c r="P197" s="145"/>
      <c r="Q197" s="145">
        <v>2.8699999999999948</v>
      </c>
      <c r="R197" s="145"/>
      <c r="S197" s="145"/>
      <c r="T197" s="168">
        <v>1.8205911117674531</v>
      </c>
      <c r="U197" s="145"/>
      <c r="V197" s="145">
        <v>3.0524006488968833</v>
      </c>
      <c r="W197" s="154">
        <v>3.2516970863856893</v>
      </c>
      <c r="X197" s="145">
        <v>2.9581408387190073</v>
      </c>
      <c r="Y197" s="145">
        <v>1.6816806853425508</v>
      </c>
      <c r="Z197" s="145">
        <v>1.66</v>
      </c>
      <c r="AA197" s="145">
        <v>4.3727560651273176</v>
      </c>
      <c r="AB197" s="145"/>
      <c r="AC197" s="168"/>
      <c r="AD197" s="145"/>
      <c r="AE197" s="145"/>
      <c r="AF197" s="145"/>
      <c r="AG197" s="145">
        <v>7.8261933168677595</v>
      </c>
      <c r="AH197" s="145">
        <v>3.5906105059981668</v>
      </c>
      <c r="AI197" s="167"/>
      <c r="AK197" s="145"/>
      <c r="AL197" s="145"/>
    </row>
    <row r="198" spans="1:38">
      <c r="A198" s="141" t="s">
        <v>544</v>
      </c>
      <c r="B198" s="145"/>
      <c r="C198" s="145">
        <v>3.4146482152564586</v>
      </c>
      <c r="D198" s="145">
        <v>9.8000000000000007</v>
      </c>
      <c r="E198" s="145"/>
      <c r="F198" s="145"/>
      <c r="G198" s="145">
        <v>3.97</v>
      </c>
      <c r="H198" s="145">
        <v>4.2</v>
      </c>
      <c r="I198" s="145">
        <v>1.3738282683981748</v>
      </c>
      <c r="J198" s="145">
        <v>4.51194971901832</v>
      </c>
      <c r="K198" s="145">
        <v>2.1426179101875262</v>
      </c>
      <c r="L198" s="172"/>
      <c r="M198" s="145"/>
      <c r="N198" s="145">
        <v>5.2389647193327598</v>
      </c>
      <c r="O198" s="145">
        <v>4.0203137127093749</v>
      </c>
      <c r="P198" s="145"/>
      <c r="Q198" s="145">
        <v>2.8000000000000025</v>
      </c>
      <c r="R198" s="145"/>
      <c r="S198" s="145"/>
      <c r="T198" s="168">
        <v>1.915474428077105</v>
      </c>
      <c r="U198" s="145"/>
      <c r="V198" s="145">
        <v>2.9420737314567345</v>
      </c>
      <c r="W198" s="154">
        <v>3.1792454999960764</v>
      </c>
      <c r="X198" s="145">
        <v>2.518171847793429</v>
      </c>
      <c r="Y198" s="145">
        <v>1.6799464114099298</v>
      </c>
      <c r="Z198" s="145">
        <v>1.67</v>
      </c>
      <c r="AA198" s="145">
        <v>4.3635005352242606</v>
      </c>
      <c r="AB198" s="145"/>
      <c r="AC198" s="168"/>
      <c r="AD198" s="145"/>
      <c r="AE198" s="145"/>
      <c r="AF198" s="145"/>
      <c r="AG198" s="145">
        <v>7.7499384189410865</v>
      </c>
      <c r="AH198" s="145">
        <v>4.0056621000842734</v>
      </c>
      <c r="AI198" s="167"/>
      <c r="AK198" s="145"/>
      <c r="AL198" s="145"/>
    </row>
    <row r="199" spans="1:38">
      <c r="A199" s="141" t="s">
        <v>545</v>
      </c>
      <c r="B199" s="145"/>
      <c r="C199" s="145">
        <v>3.2835899049758401</v>
      </c>
      <c r="D199" s="145">
        <v>9.6999999999999993</v>
      </c>
      <c r="E199" s="145">
        <v>9.9</v>
      </c>
      <c r="F199" s="145"/>
      <c r="G199" s="145">
        <v>3.77</v>
      </c>
      <c r="H199" s="145">
        <v>4</v>
      </c>
      <c r="I199" s="145">
        <v>1.4187906220733948</v>
      </c>
      <c r="J199" s="145">
        <v>4.4584872406067966</v>
      </c>
      <c r="K199" s="145">
        <v>2.1739504905248177</v>
      </c>
      <c r="L199" s="172"/>
      <c r="M199" s="145"/>
      <c r="N199" s="145">
        <v>4.9319161702181775</v>
      </c>
      <c r="O199" s="145">
        <v>3.9831854031966567</v>
      </c>
      <c r="P199" s="145"/>
      <c r="Q199" s="145">
        <v>2.6599999999999957</v>
      </c>
      <c r="R199" s="145">
        <v>6.82</v>
      </c>
      <c r="S199" s="145">
        <v>12.3</v>
      </c>
      <c r="T199" s="145">
        <v>1.8420370740411312</v>
      </c>
      <c r="U199" s="145"/>
      <c r="V199" s="145">
        <v>2.7699547366312753</v>
      </c>
      <c r="W199" s="154">
        <v>3.1053046168425649</v>
      </c>
      <c r="X199" s="145">
        <v>2.7372373540703028</v>
      </c>
      <c r="Y199" s="145">
        <v>1.6088632616907079</v>
      </c>
      <c r="Z199" s="145">
        <v>1.73</v>
      </c>
      <c r="AA199" s="145">
        <v>4.2134581500441115</v>
      </c>
      <c r="AB199" s="145"/>
      <c r="AC199" s="145"/>
      <c r="AD199" s="145"/>
      <c r="AE199" s="145"/>
      <c r="AF199" s="145">
        <v>5.5</v>
      </c>
      <c r="AG199" s="145">
        <v>7.5292516876322839</v>
      </c>
      <c r="AH199" s="145">
        <v>3.3054899752723688</v>
      </c>
      <c r="AI199" s="167"/>
      <c r="AK199" s="145"/>
      <c r="AL199" s="145"/>
    </row>
    <row r="200" spans="1:38">
      <c r="A200" s="141" t="s">
        <v>546</v>
      </c>
      <c r="B200" s="145"/>
      <c r="C200" s="145">
        <v>3.1331575143856774</v>
      </c>
      <c r="D200" s="145">
        <v>9.8000000000000007</v>
      </c>
      <c r="E200" s="145"/>
      <c r="F200" s="145"/>
      <c r="G200" s="145">
        <v>3.64</v>
      </c>
      <c r="H200" s="145">
        <v>3.9</v>
      </c>
      <c r="I200" s="145">
        <v>1.4378092127320525</v>
      </c>
      <c r="J200" s="145">
        <v>4.4850463831624792</v>
      </c>
      <c r="K200" s="145">
        <v>2.2835809800250249</v>
      </c>
      <c r="L200" s="172"/>
      <c r="M200" s="145"/>
      <c r="N200" s="145">
        <v>4.7168919145023338</v>
      </c>
      <c r="O200" s="145">
        <v>4.0800179085754875</v>
      </c>
      <c r="P200" s="145"/>
      <c r="Q200" s="145">
        <v>2.739999999999998</v>
      </c>
      <c r="R200" s="145"/>
      <c r="S200" s="145"/>
      <c r="T200" s="145">
        <v>1.8130649350737418</v>
      </c>
      <c r="U200" s="145"/>
      <c r="V200" s="145">
        <v>2.8594107986103059</v>
      </c>
      <c r="W200" s="154">
        <v>3.3261866545956615</v>
      </c>
      <c r="X200" s="145">
        <v>2.7017783660725763</v>
      </c>
      <c r="Y200" s="145">
        <v>1.6631150306799021</v>
      </c>
      <c r="Z200" s="145">
        <v>1.72</v>
      </c>
      <c r="AA200" s="145">
        <v>4.0709798978740892</v>
      </c>
      <c r="AB200" s="145"/>
      <c r="AC200" s="145"/>
      <c r="AD200" s="145"/>
      <c r="AE200" s="145"/>
      <c r="AF200" s="145"/>
      <c r="AG200" s="145">
        <v>7.451260593785614</v>
      </c>
      <c r="AH200" s="145">
        <v>3.5723011972187324</v>
      </c>
      <c r="AI200" s="167"/>
      <c r="AK200" s="145"/>
      <c r="AL200" s="145"/>
    </row>
    <row r="201" spans="1:38">
      <c r="A201" s="141" t="s">
        <v>547</v>
      </c>
      <c r="B201" s="145"/>
      <c r="C201" s="145">
        <v>3.0736082284853565</v>
      </c>
      <c r="D201" s="145">
        <v>10.1</v>
      </c>
      <c r="E201" s="145"/>
      <c r="F201" s="145"/>
      <c r="G201" s="145">
        <v>3.5</v>
      </c>
      <c r="H201" s="145">
        <v>3.8</v>
      </c>
      <c r="I201" s="145">
        <v>1.4176860849228232</v>
      </c>
      <c r="J201" s="145">
        <v>4.2822315836018872</v>
      </c>
      <c r="K201" s="145">
        <v>2.4017401523953144</v>
      </c>
      <c r="L201" s="172"/>
      <c r="M201" s="145"/>
      <c r="N201" s="145">
        <v>4.7440839520794409</v>
      </c>
      <c r="O201" s="145">
        <v>4.2809420946468615</v>
      </c>
      <c r="P201" s="145"/>
      <c r="Q201" s="145">
        <v>2.8900000000000037</v>
      </c>
      <c r="R201" s="145"/>
      <c r="S201" s="145"/>
      <c r="T201" s="145">
        <v>1.8032455670630891</v>
      </c>
      <c r="U201" s="145"/>
      <c r="V201" s="145">
        <v>2.8775486206805869</v>
      </c>
      <c r="W201" s="154">
        <v>3.5079310332438363</v>
      </c>
      <c r="X201" s="145">
        <v>2.7997530186084658</v>
      </c>
      <c r="Y201" s="145">
        <v>1.7175599276075011</v>
      </c>
      <c r="Z201" s="145">
        <v>1.76</v>
      </c>
      <c r="AA201" s="145">
        <v>3.9081306525908985</v>
      </c>
      <c r="AB201" s="145"/>
      <c r="AC201" s="145"/>
      <c r="AD201" s="145"/>
      <c r="AE201" s="145"/>
      <c r="AF201" s="145"/>
      <c r="AG201" s="145">
        <v>7.4758447963098229</v>
      </c>
      <c r="AH201" s="145">
        <v>3.8188930594267112</v>
      </c>
      <c r="AI201" s="167"/>
      <c r="AK201" s="145"/>
      <c r="AL201" s="145"/>
    </row>
    <row r="202" spans="1:38" ht="11.25" customHeight="1">
      <c r="A202" s="141" t="s">
        <v>548</v>
      </c>
      <c r="B202" s="145"/>
      <c r="C202" s="145">
        <v>2.8863322897499608</v>
      </c>
      <c r="D202" s="145">
        <v>10.3</v>
      </c>
      <c r="E202" s="145">
        <v>10.6</v>
      </c>
      <c r="F202" s="145"/>
      <c r="G202" s="145">
        <v>3.11</v>
      </c>
      <c r="H202" s="145">
        <v>3.6</v>
      </c>
      <c r="I202" s="145">
        <v>1.4263648740156631</v>
      </c>
      <c r="J202" s="145">
        <v>3.9744505531237406</v>
      </c>
      <c r="K202" s="145">
        <v>2.16</v>
      </c>
      <c r="L202" s="172"/>
      <c r="M202" s="145"/>
      <c r="N202" s="145">
        <v>4.4310733138564444</v>
      </c>
      <c r="O202" s="145">
        <v>4.2764890738209766</v>
      </c>
      <c r="P202" s="145"/>
      <c r="Q202" s="145">
        <v>2.8000000000000025</v>
      </c>
      <c r="R202" s="145">
        <v>4.8600000000000003</v>
      </c>
      <c r="S202" s="145">
        <v>11.75</v>
      </c>
      <c r="T202" s="145">
        <v>1.8158025606306269</v>
      </c>
      <c r="U202" s="145"/>
      <c r="V202" s="145">
        <v>2.6782010344437328</v>
      </c>
      <c r="W202" s="154">
        <v>3.4682317514563472</v>
      </c>
      <c r="X202" s="145">
        <v>2.5573503997333238</v>
      </c>
      <c r="Y202" s="145">
        <v>1.6483109556265922</v>
      </c>
      <c r="Z202" s="145">
        <v>1.66</v>
      </c>
      <c r="AA202" s="145">
        <v>3.4681943814708474</v>
      </c>
      <c r="AB202" s="145"/>
      <c r="AC202" s="145"/>
      <c r="AD202" s="145"/>
      <c r="AE202" s="145"/>
      <c r="AF202" s="145">
        <v>5.3</v>
      </c>
      <c r="AG202" s="145">
        <v>7.3555721485601717</v>
      </c>
      <c r="AH202" s="145">
        <v>3.4286024975877543</v>
      </c>
      <c r="AI202" s="167"/>
      <c r="AK202" s="145"/>
      <c r="AL202" s="145"/>
    </row>
    <row r="203" spans="1:38">
      <c r="A203" s="141" t="s">
        <v>549</v>
      </c>
      <c r="B203" s="145"/>
      <c r="C203" s="145">
        <v>2.83078339829023</v>
      </c>
      <c r="D203" s="145">
        <v>10.1</v>
      </c>
      <c r="E203" s="145"/>
      <c r="F203" s="145"/>
      <c r="G203" s="145">
        <v>2.75</v>
      </c>
      <c r="H203" s="145">
        <v>3.6</v>
      </c>
      <c r="I203" s="145">
        <v>1.444522800161792</v>
      </c>
      <c r="J203" s="145">
        <v>4.0024623700912754</v>
      </c>
      <c r="K203" s="145">
        <v>2.2200000000000002</v>
      </c>
      <c r="L203" s="172"/>
      <c r="M203" s="145"/>
      <c r="N203" s="145">
        <v>4.5318769111122901</v>
      </c>
      <c r="O203" s="145">
        <v>4.2638495477861627</v>
      </c>
      <c r="P203" s="145"/>
      <c r="Q203" s="145">
        <v>2.8900000000000037</v>
      </c>
      <c r="R203" s="145"/>
      <c r="S203" s="145"/>
      <c r="T203" s="145">
        <v>1.6750621717997092</v>
      </c>
      <c r="U203" s="145"/>
      <c r="V203" s="145">
        <v>2.7048420282005976</v>
      </c>
      <c r="W203" s="154">
        <v>3.3820855994858978</v>
      </c>
      <c r="X203" s="145">
        <v>2.7741652704606774</v>
      </c>
      <c r="Y203" s="145">
        <v>1.6581144244693227</v>
      </c>
      <c r="Z203" s="145">
        <v>1.81</v>
      </c>
      <c r="AA203" s="145">
        <v>3.6291882628410699</v>
      </c>
      <c r="AB203" s="145"/>
      <c r="AC203" s="145"/>
      <c r="AD203" s="145"/>
      <c r="AE203" s="145"/>
      <c r="AF203" s="145"/>
      <c r="AG203" s="145">
        <v>7.2041875839934946</v>
      </c>
      <c r="AH203" s="145">
        <v>3.6532276040074545</v>
      </c>
      <c r="AI203" s="167"/>
      <c r="AK203" s="145"/>
      <c r="AL203" s="145"/>
    </row>
    <row r="204" spans="1:38">
      <c r="A204" s="141" t="s">
        <v>550</v>
      </c>
      <c r="B204" s="145"/>
      <c r="C204" s="145">
        <v>2.7431276664656825</v>
      </c>
      <c r="D204" s="145">
        <v>10.3</v>
      </c>
      <c r="E204" s="145"/>
      <c r="F204" s="145"/>
      <c r="G204" s="145">
        <v>2.66</v>
      </c>
      <c r="H204" s="145">
        <v>3.5</v>
      </c>
      <c r="I204" s="145">
        <v>1.401368280445155</v>
      </c>
      <c r="J204" s="145">
        <v>3.8333142886835496</v>
      </c>
      <c r="K204" s="145">
        <v>2.23</v>
      </c>
      <c r="L204" s="172"/>
      <c r="M204" s="145"/>
      <c r="N204" s="145">
        <v>4.518789734713577</v>
      </c>
      <c r="O204" s="145">
        <v>4.4120413455965366</v>
      </c>
      <c r="P204" s="145"/>
      <c r="Q204" s="145">
        <v>2.8399999999999981</v>
      </c>
      <c r="R204" s="145"/>
      <c r="S204" s="145"/>
      <c r="T204" s="145">
        <v>1.7541980209551868</v>
      </c>
      <c r="U204" s="145"/>
      <c r="V204" s="145">
        <v>2.6058869108490987</v>
      </c>
      <c r="W204" s="154">
        <v>2.6205594211393781</v>
      </c>
      <c r="X204" s="145">
        <v>2.6043129889503969</v>
      </c>
      <c r="Y204" s="145">
        <v>1.6885120001455054</v>
      </c>
      <c r="Z204" s="145">
        <v>1.75</v>
      </c>
      <c r="AA204" s="145">
        <v>3.8683233163273822</v>
      </c>
      <c r="AB204" s="145"/>
      <c r="AC204" s="145"/>
      <c r="AD204" s="145"/>
      <c r="AE204" s="145"/>
      <c r="AF204" s="145"/>
      <c r="AG204" s="145">
        <v>6.9448584608066177</v>
      </c>
      <c r="AH204" s="145">
        <v>3.8065217142415544</v>
      </c>
      <c r="AI204" s="167"/>
      <c r="AK204" s="145"/>
      <c r="AL204" s="145"/>
    </row>
    <row r="205" spans="1:38" ht="11.25" customHeight="1">
      <c r="A205" s="141" t="s">
        <v>551</v>
      </c>
      <c r="B205" s="145"/>
      <c r="C205" s="145">
        <v>2.527720423133502</v>
      </c>
      <c r="D205" s="145">
        <v>10.1</v>
      </c>
      <c r="E205" s="145">
        <v>10.6</v>
      </c>
      <c r="F205" s="145"/>
      <c r="G205" s="145">
        <v>2.5499999999999998</v>
      </c>
      <c r="H205" s="145">
        <v>3.4</v>
      </c>
      <c r="I205" s="145">
        <v>1.3575672632215092</v>
      </c>
      <c r="J205" s="145">
        <v>3.4908794616223195</v>
      </c>
      <c r="K205" s="145">
        <v>2.16</v>
      </c>
      <c r="L205" s="172"/>
      <c r="M205" s="145"/>
      <c r="N205" s="145">
        <v>4.4218710696014076</v>
      </c>
      <c r="O205" s="145">
        <v>4.4183518755066169</v>
      </c>
      <c r="P205" s="145"/>
      <c r="Q205" s="145">
        <v>2.6800000000000046</v>
      </c>
      <c r="R205" s="145">
        <v>5.98</v>
      </c>
      <c r="S205" s="145">
        <v>5.66</v>
      </c>
      <c r="T205" s="145">
        <v>1.7710492172232182</v>
      </c>
      <c r="U205" s="145">
        <v>5.6949490000000003</v>
      </c>
      <c r="V205" s="145">
        <v>2.477576164851405</v>
      </c>
      <c r="W205" s="154">
        <v>2.4288822505114762</v>
      </c>
      <c r="X205" s="145">
        <v>2.299919674701679</v>
      </c>
      <c r="Y205" s="145">
        <v>1.5398215263493884</v>
      </c>
      <c r="Z205" s="145">
        <v>1.64</v>
      </c>
      <c r="AA205" s="145">
        <v>3.5012354518061</v>
      </c>
      <c r="AB205" s="145"/>
      <c r="AC205" s="145"/>
      <c r="AD205" s="145"/>
      <c r="AE205" s="145"/>
      <c r="AF205" s="145">
        <v>5.2</v>
      </c>
      <c r="AG205" s="145">
        <v>6.7923327662383581</v>
      </c>
      <c r="AH205" s="145">
        <v>3.6866023906026104</v>
      </c>
      <c r="AI205" s="167"/>
      <c r="AK205" s="145"/>
      <c r="AL205" s="145"/>
    </row>
    <row r="206" spans="1:38">
      <c r="A206" s="141" t="s">
        <v>552</v>
      </c>
      <c r="B206" s="145"/>
      <c r="C206" s="145">
        <v>2.4126157029755095</v>
      </c>
      <c r="D206" s="145">
        <v>10.199999999999999</v>
      </c>
      <c r="E206" s="145"/>
      <c r="F206" s="145"/>
      <c r="G206" s="145">
        <v>2.5</v>
      </c>
      <c r="H206" s="145">
        <v>3.4</v>
      </c>
      <c r="I206" s="145">
        <v>1.3076929697325439</v>
      </c>
      <c r="J206" s="145">
        <v>3.4615688170527132</v>
      </c>
      <c r="K206" s="145">
        <v>2.09</v>
      </c>
      <c r="L206" s="172"/>
      <c r="M206" s="145"/>
      <c r="N206" s="145">
        <v>4.4529632010120483</v>
      </c>
      <c r="O206" s="145">
        <v>4.3383031596430559</v>
      </c>
      <c r="P206" s="145"/>
      <c r="Q206" s="145">
        <v>2.5599999999999956</v>
      </c>
      <c r="R206" s="145"/>
      <c r="S206" s="145"/>
      <c r="T206" s="145">
        <v>1.7137078942079327</v>
      </c>
      <c r="U206" s="145"/>
      <c r="V206" s="145">
        <v>2.4548321368512047</v>
      </c>
      <c r="W206" s="154">
        <v>2.2940120705346767</v>
      </c>
      <c r="X206" s="145">
        <v>2.0835545919611049</v>
      </c>
      <c r="Y206" s="145">
        <v>1.4567895829542341</v>
      </c>
      <c r="Z206" s="145">
        <v>1.63</v>
      </c>
      <c r="AA206" s="145">
        <v>3.4608672405440313</v>
      </c>
      <c r="AB206" s="145"/>
      <c r="AC206" s="145"/>
      <c r="AD206" s="145"/>
      <c r="AE206" s="145"/>
      <c r="AF206" s="145"/>
      <c r="AG206" s="145">
        <v>6.5884870692454136</v>
      </c>
      <c r="AH206" s="145">
        <v>3.5853077676252938</v>
      </c>
      <c r="AI206" s="167"/>
      <c r="AK206" s="145"/>
      <c r="AL206" s="145"/>
    </row>
    <row r="207" spans="1:38">
      <c r="A207" s="141" t="s">
        <v>553</v>
      </c>
      <c r="B207" s="145"/>
      <c r="C207" s="145">
        <v>2.2823393841409771</v>
      </c>
      <c r="D207" s="145">
        <v>10.3</v>
      </c>
      <c r="E207" s="145"/>
      <c r="F207" s="145"/>
      <c r="G207" s="145">
        <v>2.4500000000000002</v>
      </c>
      <c r="H207" s="145">
        <v>3.3</v>
      </c>
      <c r="I207" s="145">
        <v>1.2837456124688453</v>
      </c>
      <c r="J207" s="145">
        <v>3.294679892140691</v>
      </c>
      <c r="K207" s="145">
        <v>2.0099999999999998</v>
      </c>
      <c r="L207" s="172"/>
      <c r="M207" s="145"/>
      <c r="N207" s="145">
        <v>4.4957535792691292</v>
      </c>
      <c r="O207" s="145">
        <v>4.3025298150550411</v>
      </c>
      <c r="P207" s="145"/>
      <c r="Q207" s="145">
        <v>2.5000000000000022</v>
      </c>
      <c r="R207" s="145"/>
      <c r="S207" s="145"/>
      <c r="T207" s="145">
        <v>1.5561060676718936</v>
      </c>
      <c r="U207" s="145"/>
      <c r="V207" s="145">
        <v>2.4582837990088438</v>
      </c>
      <c r="W207" s="154">
        <v>2.1334044386401012</v>
      </c>
      <c r="X207" s="145">
        <v>2.22827809565766</v>
      </c>
      <c r="Y207" s="145">
        <v>1.5026309057134521</v>
      </c>
      <c r="Z207" s="145">
        <v>1.59</v>
      </c>
      <c r="AA207" s="145">
        <v>3.4605425782308408</v>
      </c>
      <c r="AB207" s="145"/>
      <c r="AC207" s="145"/>
      <c r="AD207" s="145"/>
      <c r="AE207" s="145"/>
      <c r="AF207" s="145"/>
      <c r="AG207" s="145">
        <v>5.1265698006033258</v>
      </c>
      <c r="AH207" s="145">
        <v>4.1325720768792706</v>
      </c>
      <c r="AI207" s="167"/>
      <c r="AK207" s="145"/>
      <c r="AL207" s="145"/>
    </row>
    <row r="208" spans="1:38">
      <c r="A208" s="148" t="s">
        <v>554</v>
      </c>
      <c r="B208" s="149"/>
      <c r="C208" s="149">
        <v>2.1170228738586196</v>
      </c>
      <c r="D208" s="149">
        <v>10.4</v>
      </c>
      <c r="E208" s="149">
        <v>10.8</v>
      </c>
      <c r="F208" s="149">
        <v>16.100000000000001</v>
      </c>
      <c r="G208" s="149">
        <v>2.2000000000000002</v>
      </c>
      <c r="H208" s="149">
        <v>3.2</v>
      </c>
      <c r="I208" s="149">
        <v>1.2531882455325396</v>
      </c>
      <c r="J208" s="149">
        <v>2.8790995491039602</v>
      </c>
      <c r="K208" s="149">
        <v>1.87</v>
      </c>
      <c r="L208" s="173"/>
      <c r="M208" s="149"/>
      <c r="N208" s="149">
        <v>3.8468878566526437</v>
      </c>
      <c r="O208" s="149">
        <v>4.1202357119134811</v>
      </c>
      <c r="P208" s="149"/>
      <c r="Q208" s="149">
        <v>2.1100000000000008</v>
      </c>
      <c r="R208" s="149">
        <v>6.52</v>
      </c>
      <c r="S208" s="149">
        <v>5.3939972197499797</v>
      </c>
      <c r="T208" s="149">
        <v>1.2410809624202861</v>
      </c>
      <c r="U208" s="149">
        <v>6.5</v>
      </c>
      <c r="V208" s="149">
        <v>2.3283858746573265</v>
      </c>
      <c r="W208" s="149">
        <v>2.9568629604117316</v>
      </c>
      <c r="X208" s="149">
        <v>2.454646166651699</v>
      </c>
      <c r="Y208" s="149">
        <v>1.2732267687893746</v>
      </c>
      <c r="Z208" s="149">
        <v>1.49</v>
      </c>
      <c r="AA208" s="149">
        <v>3.0284094312616867</v>
      </c>
      <c r="AB208" s="149"/>
      <c r="AC208" s="149"/>
      <c r="AD208" s="149"/>
      <c r="AE208" s="149">
        <v>7.9</v>
      </c>
      <c r="AF208" s="149">
        <v>6.2</v>
      </c>
      <c r="AG208" s="149">
        <v>4.6002726473094917</v>
      </c>
      <c r="AH208" s="149">
        <v>3.4291925848401883</v>
      </c>
      <c r="AI208" s="167"/>
      <c r="AK208" s="145"/>
      <c r="AL208" s="145"/>
    </row>
    <row r="209" spans="1:38">
      <c r="A209" s="141" t="s">
        <v>555</v>
      </c>
      <c r="B209" s="145"/>
      <c r="C209" s="145">
        <v>2.0371112977993562</v>
      </c>
      <c r="D209" s="145">
        <v>10.8</v>
      </c>
      <c r="E209" s="145"/>
      <c r="F209" s="145"/>
      <c r="G209" s="145">
        <v>2.36</v>
      </c>
      <c r="H209" s="145">
        <v>3.2</v>
      </c>
      <c r="I209" s="145">
        <v>1.24272999630609</v>
      </c>
      <c r="J209" s="145">
        <v>3.0776511314898762</v>
      </c>
      <c r="K209" s="145">
        <v>1.98</v>
      </c>
      <c r="L209" s="145"/>
      <c r="M209" s="145"/>
      <c r="N209" s="145">
        <v>4.1786117679316037</v>
      </c>
      <c r="O209" s="145">
        <v>4.1477439991891183</v>
      </c>
      <c r="P209" s="145"/>
      <c r="Q209" s="145">
        <v>2.1800000000000042</v>
      </c>
      <c r="R209" s="145"/>
      <c r="S209" s="145"/>
      <c r="T209" s="145">
        <v>1.3982827165516587</v>
      </c>
      <c r="U209" s="145"/>
      <c r="V209" s="145">
        <v>2.3280083339579991</v>
      </c>
      <c r="W209" s="145">
        <v>3.1984497310057849</v>
      </c>
      <c r="X209" s="145">
        <v>2.4314605448694833</v>
      </c>
      <c r="Y209" s="145">
        <v>1.3894690548512707</v>
      </c>
      <c r="Z209" s="145">
        <v>1.55</v>
      </c>
      <c r="AA209" s="145">
        <v>3.1722736260279545</v>
      </c>
      <c r="AB209" s="145"/>
      <c r="AC209" s="145"/>
      <c r="AD209" s="145"/>
      <c r="AE209" s="145"/>
      <c r="AF209" s="145"/>
      <c r="AG209" s="145">
        <v>4.6933006812126239</v>
      </c>
      <c r="AH209" s="145">
        <v>3.5380100632810487</v>
      </c>
      <c r="AI209" s="167"/>
      <c r="AK209" s="145"/>
      <c r="AL209" s="145"/>
    </row>
    <row r="210" spans="1:38">
      <c r="A210" s="141" t="s">
        <v>556</v>
      </c>
      <c r="B210" s="145"/>
      <c r="C210" s="145">
        <v>1.9558797153405738</v>
      </c>
      <c r="D210" s="145">
        <v>10.8</v>
      </c>
      <c r="E210" s="145"/>
      <c r="F210" s="145"/>
      <c r="G210" s="145">
        <v>2.38</v>
      </c>
      <c r="H210" s="145">
        <v>3.2</v>
      </c>
      <c r="I210" s="145">
        <v>1.2359611448200807</v>
      </c>
      <c r="J210" s="145">
        <v>3.1190471460579046</v>
      </c>
      <c r="K210" s="145">
        <v>1.91</v>
      </c>
      <c r="L210" s="145"/>
      <c r="M210" s="145"/>
      <c r="N210" s="145">
        <v>4.1258639212551804</v>
      </c>
      <c r="O210" s="145">
        <v>4.1436064620806841</v>
      </c>
      <c r="P210" s="145"/>
      <c r="Q210" s="145">
        <v>2.090000000000003</v>
      </c>
      <c r="R210" s="145"/>
      <c r="S210" s="145"/>
      <c r="T210" s="145">
        <v>1.4756044448623968</v>
      </c>
      <c r="U210" s="145"/>
      <c r="V210" s="145">
        <v>2.2206178241557337</v>
      </c>
      <c r="W210" s="154">
        <v>3.1994556926878546</v>
      </c>
      <c r="X210" s="145">
        <v>2.1616307129732792</v>
      </c>
      <c r="Y210" s="145">
        <v>1.4761348931211391</v>
      </c>
      <c r="Z210" s="145">
        <v>1.53</v>
      </c>
      <c r="AA210" s="145">
        <v>3.1396025793618891</v>
      </c>
      <c r="AB210" s="145"/>
      <c r="AC210" s="145"/>
      <c r="AD210" s="145"/>
      <c r="AE210" s="145"/>
      <c r="AF210" s="145"/>
      <c r="AG210" s="145">
        <v>3.2308274052518744</v>
      </c>
      <c r="AH210" s="145">
        <v>3.6672817942787326</v>
      </c>
      <c r="AI210" s="167"/>
      <c r="AK210" s="145"/>
      <c r="AL210" s="145"/>
    </row>
    <row r="211" spans="1:38">
      <c r="A211" s="141" t="s">
        <v>557</v>
      </c>
      <c r="B211" s="145"/>
      <c r="C211" s="145">
        <v>1.8639642837433938</v>
      </c>
      <c r="D211" s="145">
        <v>10.7</v>
      </c>
      <c r="E211" s="145">
        <v>10.5</v>
      </c>
      <c r="F211" s="145"/>
      <c r="G211" s="145">
        <v>2.33</v>
      </c>
      <c r="H211" s="145">
        <v>3.11</v>
      </c>
      <c r="I211" s="145">
        <v>1.2075935077919349</v>
      </c>
      <c r="J211" s="145">
        <v>3.0649395825362151</v>
      </c>
      <c r="K211" s="145">
        <v>1.94</v>
      </c>
      <c r="L211" s="145"/>
      <c r="M211" s="145"/>
      <c r="N211" s="145">
        <v>3.9660636038476067</v>
      </c>
      <c r="O211" s="145">
        <v>4.1564096754513047</v>
      </c>
      <c r="P211" s="145"/>
      <c r="Q211" s="145">
        <v>1.9399999999999973</v>
      </c>
      <c r="R211" s="145">
        <v>4.8</v>
      </c>
      <c r="S211" s="145">
        <v>4.8362277170618899</v>
      </c>
      <c r="T211" s="145">
        <v>1.4152627172367171</v>
      </c>
      <c r="U211" s="145">
        <v>7.5</v>
      </c>
      <c r="V211" s="145">
        <v>2.2311377227145095</v>
      </c>
      <c r="W211" s="154">
        <v>3.0729199237629858</v>
      </c>
      <c r="X211" s="145">
        <v>2.2407353229493894</v>
      </c>
      <c r="Y211" s="145">
        <v>1.4544522860113462</v>
      </c>
      <c r="Z211" s="145">
        <v>1.51</v>
      </c>
      <c r="AA211" s="145">
        <v>3.201114405146618</v>
      </c>
      <c r="AB211" s="145"/>
      <c r="AC211" s="145"/>
      <c r="AD211" s="145"/>
      <c r="AE211" s="145"/>
      <c r="AF211" s="145">
        <v>5.7</v>
      </c>
      <c r="AG211" s="145">
        <v>3.206933390644886</v>
      </c>
      <c r="AH211" s="145">
        <v>3.9415482508113513</v>
      </c>
      <c r="AI211" s="167"/>
      <c r="AK211" s="145"/>
      <c r="AL211" s="145"/>
    </row>
    <row r="212" spans="1:38">
      <c r="A212" s="141" t="s">
        <v>558</v>
      </c>
      <c r="B212" s="145"/>
      <c r="C212" s="168">
        <v>1.8002322928841674</v>
      </c>
      <c r="D212" s="145">
        <v>10.8</v>
      </c>
      <c r="E212" s="145"/>
      <c r="F212" s="145"/>
      <c r="G212" s="145">
        <v>2.2200000000000002</v>
      </c>
      <c r="H212" s="145">
        <v>3.17</v>
      </c>
      <c r="I212" s="145">
        <v>1.1868786833488041</v>
      </c>
      <c r="J212" s="145">
        <v>3.0770806103133914</v>
      </c>
      <c r="K212" s="145">
        <v>2.0499999999999998</v>
      </c>
      <c r="L212" s="145"/>
      <c r="M212" s="145"/>
      <c r="N212" s="145">
        <v>3.8992816793923954</v>
      </c>
      <c r="O212" s="145">
        <v>4.1246946162725662</v>
      </c>
      <c r="P212" s="145"/>
      <c r="Q212" s="145">
        <v>2.0199999999999996</v>
      </c>
      <c r="R212" s="145"/>
      <c r="S212" s="145"/>
      <c r="T212" s="145">
        <v>1.6678002308216886</v>
      </c>
      <c r="U212" s="145"/>
      <c r="V212" s="145">
        <v>2.2499351619087871</v>
      </c>
      <c r="W212" s="154">
        <v>3.0355116751855973</v>
      </c>
      <c r="X212" s="145">
        <v>2.2979895344126229</v>
      </c>
      <c r="Y212" s="145">
        <v>1.5275836660776514</v>
      </c>
      <c r="Z212" s="145">
        <v>1.51</v>
      </c>
      <c r="AA212" s="145">
        <v>3.0388274882258761</v>
      </c>
      <c r="AB212" s="145"/>
      <c r="AC212" s="145"/>
      <c r="AD212" s="145"/>
      <c r="AE212" s="145"/>
      <c r="AF212" s="145"/>
      <c r="AG212" s="145">
        <v>3.2377738511439826</v>
      </c>
      <c r="AH212" s="145">
        <v>3.9425349170076451</v>
      </c>
      <c r="AI212" s="167"/>
      <c r="AK212" s="145"/>
      <c r="AL212" s="145"/>
    </row>
    <row r="213" spans="1:38">
      <c r="A213" s="141" t="s">
        <v>559</v>
      </c>
      <c r="B213" s="145"/>
      <c r="C213" s="168">
        <v>1.7508362318814628</v>
      </c>
      <c r="D213" s="145">
        <v>10.9</v>
      </c>
      <c r="E213" s="145"/>
      <c r="F213" s="145"/>
      <c r="G213" s="145">
        <v>2.0699999999999998</v>
      </c>
      <c r="H213" s="145">
        <v>3.3</v>
      </c>
      <c r="I213" s="145">
        <v>1.1652444169272091</v>
      </c>
      <c r="J213" s="145">
        <v>2.8862108777778608</v>
      </c>
      <c r="K213" s="145">
        <v>2.17</v>
      </c>
      <c r="L213" s="145"/>
      <c r="M213" s="145"/>
      <c r="N213" s="145">
        <v>3.8490647576103059</v>
      </c>
      <c r="O213" s="145">
        <v>4.2192409479443809</v>
      </c>
      <c r="P213" s="145"/>
      <c r="Q213" s="145">
        <v>2.1199999999999997</v>
      </c>
      <c r="R213" s="145"/>
      <c r="S213" s="145"/>
      <c r="T213" s="145">
        <v>1.5479768193181787</v>
      </c>
      <c r="U213" s="145"/>
      <c r="V213" s="145">
        <v>2.547840279761302</v>
      </c>
      <c r="W213" s="154">
        <v>3.0338858433642804</v>
      </c>
      <c r="X213" s="145">
        <v>2.1786836430020684</v>
      </c>
      <c r="Y213" s="145">
        <v>1.5331162559674094</v>
      </c>
      <c r="Z213" s="145">
        <v>1.51</v>
      </c>
      <c r="AA213" s="145">
        <v>3.19207696291895</v>
      </c>
      <c r="AB213" s="145"/>
      <c r="AC213" s="145"/>
      <c r="AD213" s="145"/>
      <c r="AE213" s="145"/>
      <c r="AF213" s="145"/>
      <c r="AG213" s="145">
        <v>3.2138341566921897</v>
      </c>
      <c r="AH213" s="145">
        <v>3.7906354651439003</v>
      </c>
      <c r="AI213" s="167"/>
      <c r="AK213" s="145"/>
      <c r="AL213" s="145"/>
    </row>
    <row r="214" spans="1:38">
      <c r="A214" s="141" t="s">
        <v>560</v>
      </c>
      <c r="B214" s="145"/>
      <c r="C214" s="168">
        <v>1.6780151769490943</v>
      </c>
      <c r="D214" s="145">
        <v>10.7</v>
      </c>
      <c r="E214" s="145">
        <v>10.5</v>
      </c>
      <c r="F214" s="145"/>
      <c r="G214" s="145">
        <v>1.92</v>
      </c>
      <c r="H214" s="145">
        <v>3.25</v>
      </c>
      <c r="I214" s="145">
        <v>1.1481599899113393</v>
      </c>
      <c r="J214" s="145">
        <v>2.7995556052007662</v>
      </c>
      <c r="K214" s="145">
        <v>2.1203905397942644</v>
      </c>
      <c r="L214" s="145"/>
      <c r="M214" s="145"/>
      <c r="N214" s="145">
        <v>3.7534086471234733</v>
      </c>
      <c r="O214" s="145">
        <v>4.0892950785212996</v>
      </c>
      <c r="P214" s="145"/>
      <c r="Q214" s="145">
        <v>1.9399999999999973</v>
      </c>
      <c r="R214" s="145">
        <v>5.12</v>
      </c>
      <c r="S214" s="145">
        <v>4.9953725569315797</v>
      </c>
      <c r="T214" s="145">
        <v>1.230737205879004</v>
      </c>
      <c r="U214" s="145">
        <v>8.4</v>
      </c>
      <c r="V214" s="145">
        <v>2.6349007681108092</v>
      </c>
      <c r="W214" s="154">
        <v>2.8886450068138489</v>
      </c>
      <c r="X214" s="145">
        <v>2.0437104153984813</v>
      </c>
      <c r="Y214" s="145">
        <v>1.5750361258195817</v>
      </c>
      <c r="Z214" s="145">
        <v>1.51</v>
      </c>
      <c r="AA214" s="145">
        <v>3.0415795020652592</v>
      </c>
      <c r="AB214" s="145"/>
      <c r="AC214" s="145"/>
      <c r="AD214" s="145"/>
      <c r="AE214" s="145">
        <v>8.1999999999999993</v>
      </c>
      <c r="AF214" s="145">
        <v>6.5</v>
      </c>
      <c r="AG214" s="145">
        <v>2.9196484064384238</v>
      </c>
      <c r="AH214" s="145">
        <v>3.2318670022033307</v>
      </c>
      <c r="AI214" s="167"/>
      <c r="AK214" s="145"/>
      <c r="AL214" s="145"/>
    </row>
    <row r="215" spans="1:38">
      <c r="A215" s="141" t="s">
        <v>561</v>
      </c>
      <c r="B215" s="145"/>
      <c r="C215" s="168">
        <v>1.6130687801840695</v>
      </c>
      <c r="D215" s="145">
        <v>10.9</v>
      </c>
      <c r="E215" s="145"/>
      <c r="F215" s="145"/>
      <c r="G215" s="145">
        <v>1.95</v>
      </c>
      <c r="H215" s="145">
        <v>3.34</v>
      </c>
      <c r="I215" s="145">
        <v>1.1398993510241988</v>
      </c>
      <c r="J215" s="145">
        <v>2.9044442828750383</v>
      </c>
      <c r="K215" s="145">
        <v>2.2192493942766096</v>
      </c>
      <c r="L215" s="145"/>
      <c r="M215" s="145"/>
      <c r="N215" s="145">
        <v>3.9513995827158199</v>
      </c>
      <c r="O215" s="145">
        <v>4.0981835231782142</v>
      </c>
      <c r="P215" s="145"/>
      <c r="Q215" s="145">
        <v>2.0499999999999963</v>
      </c>
      <c r="R215" s="145"/>
      <c r="S215" s="145"/>
      <c r="T215" s="145">
        <v>1.4886857610109283</v>
      </c>
      <c r="U215" s="145"/>
      <c r="V215" s="145">
        <v>2.6794597689606015</v>
      </c>
      <c r="W215" s="154">
        <v>2.837946924662833</v>
      </c>
      <c r="X215" s="145">
        <v>1.9211427186972212</v>
      </c>
      <c r="Y215" s="145">
        <v>1.77768786182644</v>
      </c>
      <c r="Z215" s="145">
        <v>1.54</v>
      </c>
      <c r="AA215" s="145">
        <v>3.2628062230673969</v>
      </c>
      <c r="AB215" s="145"/>
      <c r="AC215" s="145"/>
      <c r="AD215" s="145"/>
      <c r="AE215" s="145"/>
      <c r="AF215" s="145"/>
      <c r="AG215" s="145">
        <v>2.8286530939818513</v>
      </c>
      <c r="AH215" s="145">
        <v>2.9554169322297588</v>
      </c>
      <c r="AI215" s="167"/>
      <c r="AK215" s="145"/>
      <c r="AL215" s="145"/>
    </row>
    <row r="216" spans="1:38">
      <c r="A216" s="141" t="s">
        <v>562</v>
      </c>
      <c r="B216" s="145"/>
      <c r="C216" s="168">
        <v>1.5577687695368485</v>
      </c>
      <c r="D216" s="145">
        <v>11.2</v>
      </c>
      <c r="E216" s="145"/>
      <c r="F216" s="145"/>
      <c r="G216" s="145">
        <v>1.87</v>
      </c>
      <c r="H216" s="145">
        <v>3.37</v>
      </c>
      <c r="I216" s="145">
        <v>1.1231650072637345</v>
      </c>
      <c r="J216" s="145">
        <v>2.8384801653683329</v>
      </c>
      <c r="K216" s="145">
        <v>2.0967277405952318</v>
      </c>
      <c r="L216" s="145"/>
      <c r="M216" s="145"/>
      <c r="N216" s="145">
        <v>3.9207465409346809</v>
      </c>
      <c r="O216" s="145">
        <v>4.126738902620998</v>
      </c>
      <c r="P216" s="145"/>
      <c r="Q216" s="145">
        <v>1.9399999999999973</v>
      </c>
      <c r="R216" s="145"/>
      <c r="S216" s="145"/>
      <c r="T216" s="145">
        <v>1.4340856846262195</v>
      </c>
      <c r="U216" s="145"/>
      <c r="V216" s="145">
        <v>2.6845159075041982</v>
      </c>
      <c r="W216" s="154">
        <v>2.7298391800481143</v>
      </c>
      <c r="X216" s="145">
        <v>2.032984589578283</v>
      </c>
      <c r="Y216" s="145">
        <v>1.7769658338152603</v>
      </c>
      <c r="Z216" s="145">
        <v>1.57</v>
      </c>
      <c r="AA216" s="145">
        <v>3.5388025083557468</v>
      </c>
      <c r="AB216" s="145"/>
      <c r="AC216" s="145"/>
      <c r="AD216" s="145"/>
      <c r="AE216" s="145"/>
      <c r="AF216" s="145"/>
      <c r="AG216" s="145">
        <v>2.8897365447892676</v>
      </c>
      <c r="AH216" s="145">
        <v>2.2582286081878116</v>
      </c>
      <c r="AI216" s="167"/>
      <c r="AK216" s="145"/>
      <c r="AL216" s="145"/>
    </row>
    <row r="217" spans="1:38">
      <c r="A217" s="141" t="s">
        <v>563</v>
      </c>
      <c r="B217" s="145"/>
      <c r="C217" s="168">
        <v>1.4287377551373266</v>
      </c>
      <c r="D217" s="145">
        <v>11.4</v>
      </c>
      <c r="E217" s="145">
        <v>10.6</v>
      </c>
      <c r="F217" s="145"/>
      <c r="G217" s="145">
        <v>1.85</v>
      </c>
      <c r="H217" s="145">
        <v>3.39</v>
      </c>
      <c r="I217" s="145">
        <v>1.1162201194993</v>
      </c>
      <c r="J217" s="145">
        <v>2.8332275208864806</v>
      </c>
      <c r="K217" s="145">
        <v>2.0617717936861966</v>
      </c>
      <c r="L217" s="145"/>
      <c r="M217" s="145"/>
      <c r="N217" s="145">
        <v>3.8243924049492581</v>
      </c>
      <c r="O217" s="145">
        <v>4.0229385028074773</v>
      </c>
      <c r="P217" s="145"/>
      <c r="Q217" s="145">
        <v>1.8399999999999972</v>
      </c>
      <c r="R217" s="145">
        <v>5.99</v>
      </c>
      <c r="S217" s="145">
        <v>3.6939108209207201</v>
      </c>
      <c r="T217" s="145">
        <v>1.3584797725364082</v>
      </c>
      <c r="U217" s="145">
        <v>8.2901331000000003</v>
      </c>
      <c r="V217" s="145">
        <v>2.814914466281965</v>
      </c>
      <c r="W217" s="154">
        <v>2.6437296104397228</v>
      </c>
      <c r="X217" s="145">
        <v>1.8472023565392952</v>
      </c>
      <c r="Y217" s="145">
        <v>1.8067057326198839</v>
      </c>
      <c r="Z217" s="145">
        <v>1.54</v>
      </c>
      <c r="AA217" s="145">
        <v>3.1660176590341074</v>
      </c>
      <c r="AB217" s="145"/>
      <c r="AC217" s="145"/>
      <c r="AD217" s="145"/>
      <c r="AE217" s="145"/>
      <c r="AF217" s="145">
        <v>7.5</v>
      </c>
      <c r="AG217" s="145">
        <v>2.8005733984545071</v>
      </c>
      <c r="AH217" s="145">
        <v>1.9590449681555637</v>
      </c>
      <c r="AI217" s="167"/>
      <c r="AK217" s="145"/>
      <c r="AL217" s="145"/>
    </row>
    <row r="218" spans="1:38">
      <c r="A218" s="141" t="s">
        <v>564</v>
      </c>
      <c r="B218" s="145"/>
      <c r="C218" s="168">
        <v>1.4209000967029948</v>
      </c>
      <c r="D218" s="145">
        <v>13.3</v>
      </c>
      <c r="E218" s="145"/>
      <c r="F218" s="145"/>
      <c r="G218" s="145">
        <v>1.88</v>
      </c>
      <c r="H218" s="145">
        <v>3.5</v>
      </c>
      <c r="I218" s="145">
        <v>1.1537376525284539</v>
      </c>
      <c r="J218" s="145">
        <v>2.9198666565693356</v>
      </c>
      <c r="K218" s="145">
        <v>2.06</v>
      </c>
      <c r="L218" s="145"/>
      <c r="M218" s="145"/>
      <c r="N218" s="145">
        <v>3.9653408937041577</v>
      </c>
      <c r="O218" s="145">
        <v>3.9911774805146321</v>
      </c>
      <c r="P218" s="145"/>
      <c r="Q218" s="145">
        <v>1.8900000000000028</v>
      </c>
      <c r="R218" s="145"/>
      <c r="S218" s="145"/>
      <c r="T218" s="145">
        <v>1.3363606599054001</v>
      </c>
      <c r="U218" s="145"/>
      <c r="V218" s="145">
        <v>2.9718516117186611</v>
      </c>
      <c r="W218" s="154">
        <v>2.5522543147803205</v>
      </c>
      <c r="X218" s="145">
        <v>1.879282405410732</v>
      </c>
      <c r="Y218" s="145">
        <v>1.75914916139598</v>
      </c>
      <c r="Z218" s="145">
        <v>1.57</v>
      </c>
      <c r="AA218" s="145">
        <v>3.2812620659590399</v>
      </c>
      <c r="AB218" s="145"/>
      <c r="AC218" s="145"/>
      <c r="AD218" s="145"/>
      <c r="AE218" s="145"/>
      <c r="AF218" s="145"/>
      <c r="AG218" s="145">
        <v>2.8580472245349582</v>
      </c>
      <c r="AH218" s="145">
        <v>1.7942222810888309</v>
      </c>
      <c r="AI218" s="167"/>
      <c r="AK218" s="145"/>
      <c r="AL218" s="145"/>
    </row>
    <row r="219" spans="1:38">
      <c r="A219" s="141" t="s">
        <v>565</v>
      </c>
      <c r="B219" s="145"/>
      <c r="C219" s="168">
        <v>1.389825791111071</v>
      </c>
      <c r="D219" s="145">
        <v>13.3</v>
      </c>
      <c r="E219" s="145"/>
      <c r="F219" s="145"/>
      <c r="G219" s="145">
        <v>1.8</v>
      </c>
      <c r="H219" s="145">
        <v>3.51</v>
      </c>
      <c r="I219" s="145">
        <v>1.1547487693507819</v>
      </c>
      <c r="J219" s="145">
        <v>2.8057501015243824</v>
      </c>
      <c r="K219" s="145">
        <v>1.9537593660989492</v>
      </c>
      <c r="L219" s="145"/>
      <c r="M219" s="145"/>
      <c r="N219" s="145">
        <v>4.0687502266830613</v>
      </c>
      <c r="O219" s="145">
        <v>3.9525096930957462</v>
      </c>
      <c r="P219" s="145"/>
      <c r="Q219" s="145">
        <v>1.8199999999999994</v>
      </c>
      <c r="R219" s="145"/>
      <c r="S219" s="145"/>
      <c r="T219" s="145">
        <v>1.3802378571066805</v>
      </c>
      <c r="U219" s="145"/>
      <c r="V219" s="145">
        <v>2.9679662046353541</v>
      </c>
      <c r="W219" s="154">
        <v>2.4894399857248941</v>
      </c>
      <c r="X219" s="145">
        <v>1.9852959416365494</v>
      </c>
      <c r="Y219" s="145">
        <v>1.7833582042071601</v>
      </c>
      <c r="Z219" s="145">
        <v>1.52</v>
      </c>
      <c r="AA219" s="145">
        <v>3.3355940368155665</v>
      </c>
      <c r="AB219" s="145"/>
      <c r="AC219" s="145"/>
      <c r="AD219" s="145"/>
      <c r="AE219" s="145"/>
      <c r="AF219" s="145"/>
      <c r="AG219" s="145">
        <v>2.7861551437462313</v>
      </c>
      <c r="AH219" s="145">
        <v>1.7423519049309828</v>
      </c>
      <c r="AI219" s="167"/>
      <c r="AK219" s="145"/>
      <c r="AL219" s="145"/>
    </row>
    <row r="220" spans="1:38">
      <c r="A220" s="148" t="s">
        <v>566</v>
      </c>
      <c r="B220" s="149"/>
      <c r="C220" s="170">
        <v>1.3955984062040188</v>
      </c>
      <c r="D220" s="149">
        <v>13</v>
      </c>
      <c r="E220" s="149">
        <v>11.1</v>
      </c>
      <c r="F220" s="149">
        <v>14.4</v>
      </c>
      <c r="G220" s="149">
        <v>1.7</v>
      </c>
      <c r="H220" s="149">
        <v>3.48</v>
      </c>
      <c r="I220" s="149">
        <v>1.0924760807600795</v>
      </c>
      <c r="J220" s="149">
        <v>2.5032736334050556</v>
      </c>
      <c r="K220" s="149">
        <v>1.8317805105505527</v>
      </c>
      <c r="L220" s="173"/>
      <c r="M220" s="149"/>
      <c r="N220" s="149">
        <v>3.4817620669305307</v>
      </c>
      <c r="O220" s="149">
        <v>3.6951951458969545</v>
      </c>
      <c r="P220" s="149"/>
      <c r="Q220" s="149">
        <v>1.6100000000000003</v>
      </c>
      <c r="R220" s="149">
        <v>5.4</v>
      </c>
      <c r="S220" s="149">
        <v>3.5849265689838434</v>
      </c>
      <c r="T220" s="149">
        <v>1.1495626137691672</v>
      </c>
      <c r="U220" s="149">
        <v>8.9</v>
      </c>
      <c r="V220" s="149">
        <v>2.4468513568912833</v>
      </c>
      <c r="W220" s="149">
        <v>2.2141127794706144</v>
      </c>
      <c r="X220" s="149">
        <v>1.7759801226080527</v>
      </c>
      <c r="Y220" s="149">
        <v>1.7109432733496399</v>
      </c>
      <c r="Z220" s="149">
        <v>1.47</v>
      </c>
      <c r="AA220" s="149">
        <v>2.8655024519196055</v>
      </c>
      <c r="AB220" s="149"/>
      <c r="AC220" s="149"/>
      <c r="AD220" s="149"/>
      <c r="AE220" s="149">
        <v>8</v>
      </c>
      <c r="AF220" s="149">
        <v>6.3</v>
      </c>
      <c r="AG220" s="149">
        <v>2.7068087618477552</v>
      </c>
      <c r="AH220" s="149">
        <v>1.4998152669750402</v>
      </c>
      <c r="AI220" s="167"/>
      <c r="AK220" s="145"/>
      <c r="AL220" s="145"/>
    </row>
    <row r="221" spans="1:38">
      <c r="A221" s="141" t="s">
        <v>567</v>
      </c>
      <c r="B221" s="145"/>
      <c r="C221" s="168">
        <v>1.4728128312082711</v>
      </c>
      <c r="D221" s="145">
        <v>13.2</v>
      </c>
      <c r="E221" s="145"/>
      <c r="F221" s="145"/>
      <c r="G221" s="145">
        <v>1.72</v>
      </c>
      <c r="H221" s="145">
        <v>3.6</v>
      </c>
      <c r="I221" s="145">
        <v>1.0893852259736645</v>
      </c>
      <c r="J221" s="145">
        <v>2.7328443274578387</v>
      </c>
      <c r="K221" s="145">
        <v>1.8888102154939592</v>
      </c>
      <c r="L221" s="145"/>
      <c r="M221" s="145"/>
      <c r="N221" s="145">
        <v>3.9278591297958321</v>
      </c>
      <c r="O221" s="145">
        <v>3.7711902199084983</v>
      </c>
      <c r="P221" s="145"/>
      <c r="Q221" s="145">
        <v>1.6800000000000037</v>
      </c>
      <c r="R221" s="145"/>
      <c r="S221" s="145"/>
      <c r="T221" s="145">
        <v>1.2089393942095172</v>
      </c>
      <c r="U221" s="145"/>
      <c r="V221" s="145">
        <v>2.4351131220261046</v>
      </c>
      <c r="W221" s="145">
        <v>2.1604512994865277</v>
      </c>
      <c r="X221" s="145">
        <v>1.7835238901546511</v>
      </c>
      <c r="Y221" s="145">
        <v>1.88000188498194</v>
      </c>
      <c r="Z221" s="145">
        <v>1.54</v>
      </c>
      <c r="AA221" s="145">
        <v>3.200653600181576</v>
      </c>
      <c r="AB221" s="145"/>
      <c r="AC221" s="145"/>
      <c r="AD221" s="145"/>
      <c r="AE221" s="145"/>
      <c r="AF221" s="145"/>
      <c r="AG221" s="145">
        <v>2.9892553460871296</v>
      </c>
      <c r="AH221" s="145">
        <v>1.5855599434673791</v>
      </c>
      <c r="AI221" s="167"/>
      <c r="AK221" s="145"/>
      <c r="AL221" s="145"/>
    </row>
    <row r="222" spans="1:38">
      <c r="A222" s="141" t="s">
        <v>568</v>
      </c>
      <c r="B222" s="145"/>
      <c r="C222" s="168">
        <v>1.5166171920755189</v>
      </c>
      <c r="D222" s="145">
        <v>13.1</v>
      </c>
      <c r="E222" s="145"/>
      <c r="F222" s="145"/>
      <c r="G222" s="145">
        <v>1.79</v>
      </c>
      <c r="H222" s="145">
        <v>3.65</v>
      </c>
      <c r="I222" s="145">
        <v>1.1197794652521518</v>
      </c>
      <c r="J222" s="145">
        <v>2.8403830298313841</v>
      </c>
      <c r="K222" s="145">
        <v>1.828800434019898</v>
      </c>
      <c r="L222" s="145"/>
      <c r="M222" s="145"/>
      <c r="N222" s="145">
        <v>4.3001679166572817</v>
      </c>
      <c r="O222" s="145">
        <v>3.7817018251441867</v>
      </c>
      <c r="P222" s="145"/>
      <c r="Q222" s="145">
        <v>1.6299999999999981</v>
      </c>
      <c r="R222" s="145"/>
      <c r="S222" s="145"/>
      <c r="T222" s="145">
        <v>1.1531624915747825</v>
      </c>
      <c r="U222" s="145"/>
      <c r="V222" s="145">
        <v>2.4424293886955986</v>
      </c>
      <c r="W222" s="154">
        <v>2.1105358425474692</v>
      </c>
      <c r="X222" s="145">
        <v>1.9597303411313043</v>
      </c>
      <c r="Y222" s="145">
        <v>2.0896094760978463</v>
      </c>
      <c r="Z222" s="145">
        <v>1.6</v>
      </c>
      <c r="AA222" s="145">
        <v>3.2688828774198315</v>
      </c>
      <c r="AB222" s="145"/>
      <c r="AC222" s="145"/>
      <c r="AD222" s="145"/>
      <c r="AE222" s="145"/>
      <c r="AF222" s="145"/>
      <c r="AG222" s="145">
        <v>2.7311013864715168</v>
      </c>
      <c r="AH222" s="145">
        <v>1.5765660004811679</v>
      </c>
      <c r="AI222" s="167"/>
      <c r="AK222" s="145"/>
      <c r="AL222" s="145"/>
    </row>
    <row r="223" spans="1:38">
      <c r="A223" s="141" t="s">
        <v>569</v>
      </c>
      <c r="B223" s="145"/>
      <c r="C223" s="168">
        <v>1.5496388977541908</v>
      </c>
      <c r="D223" s="145">
        <v>13.1</v>
      </c>
      <c r="E223" s="145">
        <v>12.1</v>
      </c>
      <c r="F223" s="145"/>
      <c r="G223" s="145">
        <v>1.72</v>
      </c>
      <c r="H223" s="145">
        <v>3.61</v>
      </c>
      <c r="I223" s="145">
        <v>1.1186945002780833</v>
      </c>
      <c r="J223" s="145">
        <v>2.830647087468448</v>
      </c>
      <c r="K223" s="145">
        <v>1.8598837111795476</v>
      </c>
      <c r="L223" s="145"/>
      <c r="M223" s="145"/>
      <c r="N223" s="145">
        <v>4.1021793868570819</v>
      </c>
      <c r="O223" s="145">
        <v>3.7272977332081854</v>
      </c>
      <c r="P223" s="145"/>
      <c r="Q223" s="145">
        <v>1.5100000000000002</v>
      </c>
      <c r="R223" s="145">
        <v>5.14</v>
      </c>
      <c r="S223" s="145">
        <v>3.6121742638430683</v>
      </c>
      <c r="T223" s="145">
        <v>1.1177561032905987</v>
      </c>
      <c r="U223" s="145">
        <v>8.6</v>
      </c>
      <c r="V223" s="145">
        <v>2.4439608221111184</v>
      </c>
      <c r="W223" s="154">
        <v>1.9808077731107745</v>
      </c>
      <c r="X223" s="145">
        <v>1.8007482382388127</v>
      </c>
      <c r="Y223" s="145">
        <v>1.9951591500009191</v>
      </c>
      <c r="Z223" s="145">
        <v>1.62</v>
      </c>
      <c r="AA223" s="145">
        <v>3.2892791208370156</v>
      </c>
      <c r="AB223" s="145"/>
      <c r="AC223" s="145"/>
      <c r="AD223" s="145"/>
      <c r="AE223" s="145"/>
      <c r="AF223" s="145">
        <v>6.8</v>
      </c>
      <c r="AG223" s="145">
        <v>2.6320601063833848</v>
      </c>
      <c r="AH223" s="145">
        <v>1.4593943324928658</v>
      </c>
      <c r="AI223" s="167"/>
      <c r="AK223" s="145"/>
      <c r="AL223" s="145"/>
    </row>
    <row r="224" spans="1:38">
      <c r="A224" s="141" t="s">
        <v>570</v>
      </c>
      <c r="B224" s="145"/>
      <c r="C224" s="168">
        <v>1.6364737570823216</v>
      </c>
      <c r="D224" s="145">
        <v>13.2</v>
      </c>
      <c r="E224" s="145"/>
      <c r="F224" s="145"/>
      <c r="G224" s="145">
        <v>1.74</v>
      </c>
      <c r="H224" s="145">
        <v>3.71</v>
      </c>
      <c r="I224" s="145">
        <v>1.1168014164884532</v>
      </c>
      <c r="J224" s="145">
        <v>2.991025159097445</v>
      </c>
      <c r="K224" s="145">
        <v>1.915203019496831</v>
      </c>
      <c r="L224" s="145"/>
      <c r="M224" s="145"/>
      <c r="N224" s="145">
        <v>4.3064965882643973</v>
      </c>
      <c r="O224" s="145">
        <v>3.6815052490271007</v>
      </c>
      <c r="P224" s="145"/>
      <c r="Q224" s="145">
        <v>1.529999999999998</v>
      </c>
      <c r="R224" s="145"/>
      <c r="S224" s="145"/>
      <c r="T224" s="145">
        <v>1.1043574530852815</v>
      </c>
      <c r="U224" s="145"/>
      <c r="V224" s="145">
        <v>2.5179506440964392</v>
      </c>
      <c r="W224" s="154">
        <v>1.9882837349430442</v>
      </c>
      <c r="X224" s="145">
        <v>1.7104714385143813</v>
      </c>
      <c r="Y224" s="145">
        <v>2.1217247871081755</v>
      </c>
      <c r="Z224" s="145">
        <v>1.71</v>
      </c>
      <c r="AA224" s="145">
        <v>3.5133272388931092</v>
      </c>
      <c r="AB224" s="145"/>
      <c r="AC224" s="145"/>
      <c r="AD224" s="145"/>
      <c r="AE224" s="145"/>
      <c r="AF224" s="145"/>
      <c r="AG224" s="145">
        <v>2.6987279698146445</v>
      </c>
      <c r="AH224" s="145">
        <v>1.4688879774997528</v>
      </c>
      <c r="AI224" s="167"/>
      <c r="AK224" s="145"/>
      <c r="AL224" s="145"/>
    </row>
    <row r="225" spans="1:38">
      <c r="A225" s="141" t="s">
        <v>571</v>
      </c>
      <c r="B225" s="145"/>
      <c r="C225" s="168">
        <v>1.7212430192795189</v>
      </c>
      <c r="D225" s="145">
        <v>13.4</v>
      </c>
      <c r="E225" s="145"/>
      <c r="F225" s="145"/>
      <c r="G225" s="145">
        <v>1.7</v>
      </c>
      <c r="H225" s="145">
        <v>3.71</v>
      </c>
      <c r="I225" s="145">
        <v>1.0859830083538633</v>
      </c>
      <c r="J225" s="145">
        <v>2.9374860398104854</v>
      </c>
      <c r="K225" s="145">
        <v>1.9734769436247073</v>
      </c>
      <c r="L225" s="145"/>
      <c r="M225" s="145"/>
      <c r="N225" s="145">
        <v>4.2226625029771148</v>
      </c>
      <c r="O225" s="145">
        <v>3.663484486754867</v>
      </c>
      <c r="P225" s="145"/>
      <c r="Q225" s="145">
        <v>1.5399999999999969</v>
      </c>
      <c r="R225" s="145"/>
      <c r="S225" s="145"/>
      <c r="T225" s="145">
        <v>1.092121156134443</v>
      </c>
      <c r="U225" s="145"/>
      <c r="V225" s="145">
        <v>2.5517997700767752</v>
      </c>
      <c r="W225" s="154">
        <v>1.9299964791835222</v>
      </c>
      <c r="X225" s="145">
        <v>1.8839324895037823</v>
      </c>
      <c r="Y225" s="145">
        <v>2.1977976445740461</v>
      </c>
      <c r="Z225" s="145">
        <v>1.72</v>
      </c>
      <c r="AA225" s="145">
        <v>3.3754308912354394</v>
      </c>
      <c r="AB225" s="145"/>
      <c r="AC225" s="145"/>
      <c r="AD225" s="145"/>
      <c r="AE225" s="145"/>
      <c r="AF225" s="145"/>
      <c r="AG225" s="145">
        <v>2.6605851209254956</v>
      </c>
      <c r="AH225" s="145">
        <v>1.4773230927662104</v>
      </c>
      <c r="AI225" s="167"/>
      <c r="AK225" s="145"/>
      <c r="AL225" s="145"/>
    </row>
    <row r="226" spans="1:38">
      <c r="A226" s="141" t="s">
        <v>572</v>
      </c>
      <c r="B226" s="145"/>
      <c r="C226" s="168">
        <v>1.6623538142862615</v>
      </c>
      <c r="D226" s="145">
        <v>13.3</v>
      </c>
      <c r="E226" s="145"/>
      <c r="F226" s="145"/>
      <c r="G226" s="145">
        <v>1.68</v>
      </c>
      <c r="H226" s="145">
        <v>3.67</v>
      </c>
      <c r="I226" s="145">
        <v>1.0982587451175663</v>
      </c>
      <c r="J226" s="145">
        <v>2.9009403608286477</v>
      </c>
      <c r="K226" s="145">
        <v>1.8804418072678291</v>
      </c>
      <c r="L226" s="145"/>
      <c r="M226" s="145"/>
      <c r="N226" s="145">
        <v>4.1823523967733278</v>
      </c>
      <c r="O226" s="145">
        <v>3.5555107922473503</v>
      </c>
      <c r="P226" s="145"/>
      <c r="Q226" s="145">
        <v>1.5000000000000013</v>
      </c>
      <c r="R226" s="145">
        <v>4.9400000000000004</v>
      </c>
      <c r="S226" s="145">
        <v>3.1583527171444747</v>
      </c>
      <c r="T226" s="145">
        <v>1.0350932238750177</v>
      </c>
      <c r="U226" s="145">
        <v>6.73</v>
      </c>
      <c r="V226" s="145">
        <v>2.4940353549270475</v>
      </c>
      <c r="W226" s="154">
        <v>1.9588299542912386</v>
      </c>
      <c r="X226" s="145">
        <v>1.7967161256575845</v>
      </c>
      <c r="Y226" s="145">
        <v>2.2344340314097364</v>
      </c>
      <c r="Z226" s="145">
        <v>1.73</v>
      </c>
      <c r="AA226" s="145">
        <v>3.2355083994108691</v>
      </c>
      <c r="AB226" s="145"/>
      <c r="AC226" s="145"/>
      <c r="AD226" s="145"/>
      <c r="AE226" s="145">
        <v>7.3</v>
      </c>
      <c r="AF226" s="145">
        <v>6.2</v>
      </c>
      <c r="AG226" s="145">
        <v>2.5320033131029835</v>
      </c>
      <c r="AH226" s="145">
        <v>1.2574528130939648</v>
      </c>
      <c r="AI226" s="167"/>
      <c r="AK226" s="145"/>
      <c r="AL226" s="145"/>
    </row>
    <row r="227" spans="1:38">
      <c r="A227" s="141" t="s">
        <v>573</v>
      </c>
      <c r="B227" s="145"/>
      <c r="C227" s="168">
        <v>1.7162556260762196</v>
      </c>
      <c r="D227" s="145">
        <v>13.1</v>
      </c>
      <c r="E227" s="145"/>
      <c r="F227" s="145"/>
      <c r="G227" s="145">
        <v>1.68</v>
      </c>
      <c r="H227" s="145">
        <v>3.67</v>
      </c>
      <c r="I227" s="145">
        <v>1.065486778794551</v>
      </c>
      <c r="J227" s="145">
        <v>3.006963094489203</v>
      </c>
      <c r="K227" s="145">
        <v>1.8823866490040673</v>
      </c>
      <c r="L227" s="145"/>
      <c r="M227" s="145"/>
      <c r="N227" s="145">
        <v>4.3214007378734953</v>
      </c>
      <c r="O227" s="145">
        <v>3.5021080698987204</v>
      </c>
      <c r="P227" s="145"/>
      <c r="Q227" s="145">
        <v>1.4900000000000024</v>
      </c>
      <c r="R227" s="145"/>
      <c r="S227" s="145"/>
      <c r="T227" s="145">
        <v>0.9855731583869598</v>
      </c>
      <c r="U227" s="145"/>
      <c r="V227" s="145">
        <v>2.5201746527951174</v>
      </c>
      <c r="W227" s="154">
        <v>1.9366929578409162</v>
      </c>
      <c r="X227" s="145">
        <v>1.6736527156647758</v>
      </c>
      <c r="Y227" s="145">
        <v>2.3423737945869618</v>
      </c>
      <c r="Z227" s="145">
        <v>1.72</v>
      </c>
      <c r="AA227" s="145">
        <v>3.3360387079339029</v>
      </c>
      <c r="AB227" s="145"/>
      <c r="AC227" s="145"/>
      <c r="AD227" s="145"/>
      <c r="AE227" s="145"/>
      <c r="AF227" s="145"/>
      <c r="AG227" s="145">
        <v>2.4614378312152136</v>
      </c>
      <c r="AH227" s="145">
        <v>1.2843047855583414</v>
      </c>
      <c r="AI227" s="167"/>
      <c r="AK227" s="145"/>
      <c r="AL227" s="145"/>
    </row>
    <row r="228" spans="1:38">
      <c r="A228" s="141" t="s">
        <v>574</v>
      </c>
      <c r="B228" s="145"/>
      <c r="C228" s="168">
        <v>1.7341851510707391</v>
      </c>
      <c r="D228" s="145">
        <v>13.3</v>
      </c>
      <c r="E228" s="145"/>
      <c r="F228" s="145"/>
      <c r="G228" s="145">
        <v>1.7</v>
      </c>
      <c r="H228" s="145">
        <v>3.71</v>
      </c>
      <c r="I228" s="145">
        <v>1.043565467180062</v>
      </c>
      <c r="J228" s="145">
        <v>2.9480664025501055</v>
      </c>
      <c r="K228" s="145">
        <v>1.8976110880619241</v>
      </c>
      <c r="L228" s="145"/>
      <c r="M228" s="145"/>
      <c r="N228" s="145">
        <v>3.9381541461565632</v>
      </c>
      <c r="O228" s="145">
        <v>3.4425021565396468</v>
      </c>
      <c r="P228" s="145"/>
      <c r="Q228" s="145">
        <v>1.4900000000000024</v>
      </c>
      <c r="R228" s="145"/>
      <c r="S228" s="145"/>
      <c r="T228" s="145">
        <v>0.93084680711772916</v>
      </c>
      <c r="U228" s="145">
        <v>6.33</v>
      </c>
      <c r="V228" s="145">
        <v>2.5937959039364737</v>
      </c>
      <c r="W228" s="154">
        <v>1.9130480318601812</v>
      </c>
      <c r="X228" s="145">
        <v>1.8039106682158295</v>
      </c>
      <c r="Y228" s="145">
        <v>2.3642041413584352</v>
      </c>
      <c r="Z228" s="145">
        <v>1.75</v>
      </c>
      <c r="AA228" s="145">
        <v>3.4659082368269933</v>
      </c>
      <c r="AB228" s="145"/>
      <c r="AC228" s="145"/>
      <c r="AD228" s="145"/>
      <c r="AE228" s="145"/>
      <c r="AF228" s="145"/>
      <c r="AG228" s="145">
        <v>2.4787675776495437</v>
      </c>
      <c r="AH228" s="145">
        <v>1.2038840126046149</v>
      </c>
      <c r="AI228" s="167"/>
      <c r="AK228" s="145"/>
      <c r="AL228" s="145"/>
    </row>
    <row r="229" spans="1:38">
      <c r="A229" s="141" t="s">
        <v>575</v>
      </c>
      <c r="B229" s="145"/>
      <c r="C229" s="168">
        <v>1.7189324701057509</v>
      </c>
      <c r="D229" s="145">
        <v>13.4</v>
      </c>
      <c r="E229" s="145">
        <v>12.4</v>
      </c>
      <c r="F229" s="145"/>
      <c r="G229" s="145">
        <v>1.72</v>
      </c>
      <c r="H229" s="145">
        <v>3.67</v>
      </c>
      <c r="I229" s="145">
        <v>1.0317646568791243</v>
      </c>
      <c r="J229" s="145">
        <v>2.9590893405330103</v>
      </c>
      <c r="K229" s="145">
        <v>1.8270655372765392</v>
      </c>
      <c r="L229" s="145"/>
      <c r="M229" s="145"/>
      <c r="N229" s="145">
        <v>3.9649678265728516</v>
      </c>
      <c r="O229" s="145">
        <v>3.1708120186934212</v>
      </c>
      <c r="P229" s="145"/>
      <c r="Q229" s="145">
        <v>1.5399999999999969</v>
      </c>
      <c r="R229" s="145">
        <v>5.6</v>
      </c>
      <c r="S229" s="145">
        <v>2.4200329348311924</v>
      </c>
      <c r="T229" s="145">
        <v>1.0171798205033475</v>
      </c>
      <c r="U229" s="145">
        <v>7.1</v>
      </c>
      <c r="V229" s="145">
        <v>2.5421795964592899</v>
      </c>
      <c r="W229" s="154">
        <v>1.8411100931066491</v>
      </c>
      <c r="X229" s="145">
        <v>1.6895139872463942</v>
      </c>
      <c r="Y229" s="145">
        <v>2.2934684090189577</v>
      </c>
      <c r="Z229" s="145">
        <v>1.72</v>
      </c>
      <c r="AA229" s="145">
        <v>3.4162321544778074</v>
      </c>
      <c r="AB229" s="145"/>
      <c r="AC229" s="145"/>
      <c r="AD229" s="145"/>
      <c r="AE229" s="145"/>
      <c r="AF229" s="145">
        <v>5.4</v>
      </c>
      <c r="AG229" s="145">
        <v>2.5365743026449432</v>
      </c>
      <c r="AH229" s="145">
        <v>1.1148545799414691</v>
      </c>
      <c r="AI229" s="167"/>
      <c r="AK229" s="145"/>
      <c r="AL229" s="145"/>
    </row>
    <row r="230" spans="1:38">
      <c r="A230" s="141" t="s">
        <v>576</v>
      </c>
      <c r="B230" s="145"/>
      <c r="C230" s="168">
        <v>1.7747570960867456</v>
      </c>
      <c r="D230" s="145">
        <v>13.4</v>
      </c>
      <c r="E230" s="145"/>
      <c r="F230" s="145"/>
      <c r="G230" s="145">
        <v>1.65</v>
      </c>
      <c r="H230" s="145">
        <v>3.72</v>
      </c>
      <c r="I230" s="145">
        <v>1.0306147478690093</v>
      </c>
      <c r="J230" s="145">
        <v>2.9421499811608864</v>
      </c>
      <c r="K230" s="145">
        <v>1.8435595493815609</v>
      </c>
      <c r="L230" s="145"/>
      <c r="M230" s="145"/>
      <c r="N230" s="145">
        <v>4.1485767862133329</v>
      </c>
      <c r="O230" s="145">
        <v>3.1637807821981312</v>
      </c>
      <c r="P230" s="145"/>
      <c r="Q230" s="145">
        <v>1.5199999999999991</v>
      </c>
      <c r="R230" s="145"/>
      <c r="S230" s="145"/>
      <c r="T230" s="145">
        <v>1.0098544402911607</v>
      </c>
      <c r="U230" s="145">
        <v>6.3</v>
      </c>
      <c r="V230" s="145">
        <v>2.504049954625148</v>
      </c>
      <c r="W230" s="154">
        <v>1.9713244760547672</v>
      </c>
      <c r="X230" s="145">
        <v>1.7970796513124394</v>
      </c>
      <c r="Y230" s="145">
        <v>2.235217293077151</v>
      </c>
      <c r="Z230" s="145">
        <v>1.79</v>
      </c>
      <c r="AA230" s="145">
        <v>3.6436336863268131</v>
      </c>
      <c r="AB230" s="145"/>
      <c r="AC230" s="145"/>
      <c r="AD230" s="145"/>
      <c r="AE230" s="145"/>
      <c r="AF230" s="145"/>
      <c r="AG230" s="145">
        <v>2.475109295083215</v>
      </c>
      <c r="AH230" s="145">
        <v>1.0972731410869323</v>
      </c>
      <c r="AI230" s="167"/>
      <c r="AK230" s="145"/>
      <c r="AL230" s="145"/>
    </row>
    <row r="231" spans="1:38">
      <c r="A231" s="141" t="s">
        <v>577</v>
      </c>
      <c r="B231" s="145"/>
      <c r="C231" s="168">
        <v>1.7470837745451642</v>
      </c>
      <c r="D231" s="145">
        <v>13.7</v>
      </c>
      <c r="E231" s="145"/>
      <c r="F231" s="145"/>
      <c r="G231" s="145">
        <v>1.63</v>
      </c>
      <c r="H231" s="145">
        <v>3.64</v>
      </c>
      <c r="I231" s="145">
        <v>1.0737197130016343</v>
      </c>
      <c r="J231" s="145">
        <v>2.995631448158866</v>
      </c>
      <c r="K231" s="145">
        <v>1.8207339115220198</v>
      </c>
      <c r="L231" s="145"/>
      <c r="M231" s="145"/>
      <c r="N231" s="145">
        <v>4.5852722028735533</v>
      </c>
      <c r="O231" s="145">
        <v>3.0439274802381453</v>
      </c>
      <c r="P231" s="145"/>
      <c r="Q231" s="145">
        <v>1.5100000000000002</v>
      </c>
      <c r="R231" s="145"/>
      <c r="S231" s="145"/>
      <c r="T231" s="145">
        <v>0.92241737480348396</v>
      </c>
      <c r="U231" s="145"/>
      <c r="V231" s="145">
        <v>2.5216874252495947</v>
      </c>
      <c r="W231" s="154">
        <v>1.8348601179610706</v>
      </c>
      <c r="X231" s="145">
        <v>1.9584641469927666</v>
      </c>
      <c r="Y231" s="145">
        <v>2.2648278669369049</v>
      </c>
      <c r="Z231" s="145">
        <v>1.79</v>
      </c>
      <c r="AA231" s="145">
        <v>3.7147652346724045</v>
      </c>
      <c r="AB231" s="145"/>
      <c r="AC231" s="145"/>
      <c r="AD231" s="145"/>
      <c r="AE231" s="145"/>
      <c r="AF231" s="145"/>
      <c r="AG231" s="145">
        <v>2.3747961490542968</v>
      </c>
      <c r="AH231" s="145">
        <v>1.0184238515005641</v>
      </c>
      <c r="AI231" s="167"/>
      <c r="AK231" s="145"/>
      <c r="AL231" s="145"/>
    </row>
    <row r="232" spans="1:38">
      <c r="A232" s="148" t="s">
        <v>578</v>
      </c>
      <c r="B232" s="149"/>
      <c r="C232" s="170">
        <v>1.7345487210843031</v>
      </c>
      <c r="D232" s="149">
        <v>13.9</v>
      </c>
      <c r="E232" s="149">
        <v>12.9</v>
      </c>
      <c r="F232" s="149">
        <v>11</v>
      </c>
      <c r="G232" s="149">
        <v>1.47</v>
      </c>
      <c r="H232" s="149">
        <v>3.53</v>
      </c>
      <c r="I232" s="149">
        <v>0.9883579720028195</v>
      </c>
      <c r="J232" s="149">
        <v>2.8395839224550605</v>
      </c>
      <c r="K232" s="149">
        <v>1.7605129944658349</v>
      </c>
      <c r="L232" s="173"/>
      <c r="M232" s="149"/>
      <c r="N232" s="149">
        <v>4.1152194402924032</v>
      </c>
      <c r="O232" s="149">
        <v>2.9933831032597267</v>
      </c>
      <c r="P232" s="149"/>
      <c r="Q232" s="149">
        <v>1.3399999999999967</v>
      </c>
      <c r="R232" s="149">
        <v>6.04</v>
      </c>
      <c r="S232" s="149">
        <v>2.4225480941470567</v>
      </c>
      <c r="T232" s="149">
        <v>0.87453297176214095</v>
      </c>
      <c r="U232" s="149">
        <v>6.82</v>
      </c>
      <c r="V232" s="149">
        <v>2.5292201184579461</v>
      </c>
      <c r="W232" s="149">
        <v>1.7130609740201184</v>
      </c>
      <c r="X232" s="149">
        <v>1.6975288036429022</v>
      </c>
      <c r="Y232" s="149">
        <v>2.0935869273832539</v>
      </c>
      <c r="Z232" s="149">
        <v>1.75</v>
      </c>
      <c r="AA232" s="149">
        <v>3.3753563057615161</v>
      </c>
      <c r="AB232" s="149"/>
      <c r="AC232" s="149"/>
      <c r="AD232" s="149"/>
      <c r="AE232" s="149">
        <v>6.2</v>
      </c>
      <c r="AF232" s="149">
        <v>5.4</v>
      </c>
      <c r="AG232" s="149">
        <v>2.3136894365978882</v>
      </c>
      <c r="AH232" s="149">
        <v>0.9082926258708095</v>
      </c>
      <c r="AI232" s="167"/>
      <c r="AK232" s="145"/>
      <c r="AL232" s="145"/>
    </row>
    <row r="233" spans="1:38">
      <c r="A233" s="141" t="s">
        <v>579</v>
      </c>
      <c r="B233" s="145"/>
      <c r="C233" s="168">
        <v>1.7853026519192301</v>
      </c>
      <c r="D233" s="145">
        <v>14.16</v>
      </c>
      <c r="E233" s="145"/>
      <c r="F233" s="145"/>
      <c r="G233" s="145">
        <v>1.53</v>
      </c>
      <c r="H233" s="145">
        <v>3.51</v>
      </c>
      <c r="I233" s="145">
        <v>1.0108497123243929</v>
      </c>
      <c r="J233" s="145">
        <v>3.0177942615688425</v>
      </c>
      <c r="K233" s="145">
        <v>2.006616976351038</v>
      </c>
      <c r="L233" s="145"/>
      <c r="M233" s="145"/>
      <c r="N233" s="145">
        <v>4.6026608815782275</v>
      </c>
      <c r="O233" s="145">
        <v>2.9376253391175826</v>
      </c>
      <c r="P233" s="145"/>
      <c r="Q233" s="145">
        <v>1.3599999999999994</v>
      </c>
      <c r="R233" s="145"/>
      <c r="S233" s="145"/>
      <c r="T233" s="145">
        <v>0.95105519417037976</v>
      </c>
      <c r="U233" s="145">
        <v>6.8</v>
      </c>
      <c r="V233" s="145">
        <v>2.6078402028852472</v>
      </c>
      <c r="W233" s="145">
        <v>1.6631628724259648</v>
      </c>
      <c r="X233" s="145">
        <v>1.6334926962859937</v>
      </c>
      <c r="Y233" s="145">
        <v>2.2181638488921736</v>
      </c>
      <c r="Z233" s="145">
        <v>1.88</v>
      </c>
      <c r="AA233" s="145">
        <v>3.3567447554952468</v>
      </c>
      <c r="AB233" s="145"/>
      <c r="AC233" s="145"/>
      <c r="AD233" s="145"/>
      <c r="AE233" s="145"/>
      <c r="AF233" s="145"/>
      <c r="AG233" s="145">
        <v>2.2956884027790041</v>
      </c>
      <c r="AH233" s="145">
        <v>0.98883817807421015</v>
      </c>
      <c r="AI233" s="167"/>
      <c r="AK233" s="145"/>
      <c r="AL233" s="145"/>
    </row>
    <row r="234" spans="1:38">
      <c r="A234" s="141" t="s">
        <v>580</v>
      </c>
      <c r="B234" s="145"/>
      <c r="C234" s="168">
        <v>1.8516411998620272</v>
      </c>
      <c r="D234" s="145">
        <v>14.26</v>
      </c>
      <c r="E234" s="145"/>
      <c r="F234" s="145"/>
      <c r="G234" s="145">
        <v>1.61</v>
      </c>
      <c r="H234" s="145">
        <v>3.49</v>
      </c>
      <c r="I234" s="145">
        <v>1.0202089739856253</v>
      </c>
      <c r="J234" s="145">
        <v>3.0666620268864651</v>
      </c>
      <c r="K234" s="145">
        <v>1.7973017813986576</v>
      </c>
      <c r="L234" s="145"/>
      <c r="M234" s="145"/>
      <c r="N234" s="145">
        <v>4.9324708334865282</v>
      </c>
      <c r="O234" s="145">
        <v>2.8557458825635451</v>
      </c>
      <c r="P234" s="145"/>
      <c r="Q234" s="145">
        <v>1.3599999999999994</v>
      </c>
      <c r="R234" s="145"/>
      <c r="S234" s="145"/>
      <c r="T234" s="145">
        <v>0.96289585329418659</v>
      </c>
      <c r="U234" s="145">
        <v>6.38</v>
      </c>
      <c r="V234" s="145">
        <v>2.6136182764371316</v>
      </c>
      <c r="W234" s="154">
        <v>1.6103914091478266</v>
      </c>
      <c r="X234" s="145">
        <v>1.5776414396633009</v>
      </c>
      <c r="Y234" s="145">
        <v>2.2665847851060765</v>
      </c>
      <c r="Z234" s="145">
        <v>1.91</v>
      </c>
      <c r="AA234" s="145">
        <v>3.2559787079113258</v>
      </c>
      <c r="AB234" s="145"/>
      <c r="AC234" s="145"/>
      <c r="AD234" s="145"/>
      <c r="AE234" s="145"/>
      <c r="AF234" s="145"/>
      <c r="AG234" s="145">
        <v>2.3194031186590158</v>
      </c>
      <c r="AH234" s="145">
        <v>0.97360923337184491</v>
      </c>
      <c r="AI234" s="167"/>
      <c r="AK234" s="145"/>
      <c r="AL234" s="145"/>
    </row>
    <row r="235" spans="1:38">
      <c r="A235" s="141" t="s">
        <v>581</v>
      </c>
      <c r="B235" s="145"/>
      <c r="C235" s="168">
        <v>1.8192052059596255</v>
      </c>
      <c r="D235" s="145">
        <v>14.19</v>
      </c>
      <c r="E235" s="145">
        <v>13.8</v>
      </c>
      <c r="F235" s="145"/>
      <c r="G235" s="145">
        <v>1.59</v>
      </c>
      <c r="H235" s="145">
        <v>3.43</v>
      </c>
      <c r="I235" s="145">
        <v>1.0136845165190533</v>
      </c>
      <c r="J235" s="145">
        <v>3.2395204096335042</v>
      </c>
      <c r="K235" s="145">
        <v>1.8407186288274215</v>
      </c>
      <c r="L235" s="145"/>
      <c r="M235" s="145"/>
      <c r="N235" s="145">
        <v>5.0632573135792942</v>
      </c>
      <c r="O235" s="145">
        <v>2.8838557830386908</v>
      </c>
      <c r="P235" s="145"/>
      <c r="Q235" s="145">
        <v>1.3499999999999943</v>
      </c>
      <c r="R235" s="145">
        <v>5.69</v>
      </c>
      <c r="S235" s="145">
        <v>2.6287389743405858</v>
      </c>
      <c r="T235" s="145">
        <v>0.94543026277703068</v>
      </c>
      <c r="U235" s="145">
        <v>6.33</v>
      </c>
      <c r="V235" s="145">
        <v>2.6410932715966542</v>
      </c>
      <c r="W235" s="154">
        <v>1.6438496103843954</v>
      </c>
      <c r="X235" s="145">
        <v>1.3962128056079115</v>
      </c>
      <c r="Y235" s="145">
        <v>2.2739841048828149</v>
      </c>
      <c r="Z235" s="145">
        <v>2</v>
      </c>
      <c r="AA235" s="145">
        <v>3.2942620391845319</v>
      </c>
      <c r="AB235" s="145"/>
      <c r="AC235" s="145"/>
      <c r="AD235" s="145"/>
      <c r="AE235" s="145"/>
      <c r="AF235" s="145">
        <v>4.7</v>
      </c>
      <c r="AG235" s="145">
        <v>2.3286271672194871</v>
      </c>
      <c r="AH235" s="145">
        <v>0.99197928961727755</v>
      </c>
      <c r="AI235" s="167"/>
      <c r="AK235" s="145"/>
      <c r="AL235" s="145"/>
    </row>
    <row r="236" spans="1:38">
      <c r="A236" s="141" t="s">
        <v>582</v>
      </c>
      <c r="B236" s="145"/>
      <c r="C236" s="168">
        <v>1.8842359047753072</v>
      </c>
      <c r="D236" s="145">
        <v>14.3</v>
      </c>
      <c r="E236" s="145"/>
      <c r="F236" s="145"/>
      <c r="G236" s="145">
        <v>1.58</v>
      </c>
      <c r="H236" s="145">
        <v>3.45</v>
      </c>
      <c r="I236" s="145">
        <v>1.013950476748817</v>
      </c>
      <c r="J236" s="145">
        <v>3.2482208749182493</v>
      </c>
      <c r="K236" s="145">
        <v>1.8839023467160507</v>
      </c>
      <c r="L236" s="145"/>
      <c r="M236" s="145"/>
      <c r="N236" s="145">
        <v>4.6041651250935205</v>
      </c>
      <c r="O236" s="145">
        <v>2.8097893948192696</v>
      </c>
      <c r="P236" s="145"/>
      <c r="Q236" s="145">
        <v>1.3900000000000006</v>
      </c>
      <c r="R236" s="145"/>
      <c r="S236" s="145"/>
      <c r="T236" s="145">
        <v>1.0246682237513498</v>
      </c>
      <c r="U236" s="145">
        <v>6.33</v>
      </c>
      <c r="V236" s="145">
        <v>2.7625678197586039</v>
      </c>
      <c r="W236" s="154">
        <v>1.3950156919701668</v>
      </c>
      <c r="X236" s="145">
        <v>1.5354442361268699</v>
      </c>
      <c r="Y236" s="145">
        <v>2.3448670220418371</v>
      </c>
      <c r="Z236" s="145">
        <v>2.06</v>
      </c>
      <c r="AA236" s="145">
        <v>3.2418302392007998</v>
      </c>
      <c r="AB236" s="145"/>
      <c r="AC236" s="145"/>
      <c r="AD236" s="145"/>
      <c r="AE236" s="145"/>
      <c r="AF236" s="145"/>
      <c r="AG236" s="145">
        <v>2.2845103993866491</v>
      </c>
      <c r="AH236" s="145">
        <v>0.99954667182304902</v>
      </c>
      <c r="AI236" s="167"/>
      <c r="AK236" s="145"/>
      <c r="AL236" s="145"/>
    </row>
    <row r="237" spans="1:38">
      <c r="A237" s="141" t="s">
        <v>583</v>
      </c>
      <c r="B237" s="145"/>
      <c r="C237" s="168">
        <v>1.9182132466232409</v>
      </c>
      <c r="D237" s="145">
        <v>14.3</v>
      </c>
      <c r="E237" s="145"/>
      <c r="F237" s="145"/>
      <c r="G237" s="145">
        <v>1.57</v>
      </c>
      <c r="H237" s="145">
        <v>3.45</v>
      </c>
      <c r="I237" s="145">
        <v>1.0318280955112764</v>
      </c>
      <c r="J237" s="145">
        <v>3.0881287661676882</v>
      </c>
      <c r="K237" s="145">
        <v>2.0848808429894388</v>
      </c>
      <c r="L237" s="145"/>
      <c r="M237" s="145"/>
      <c r="N237" s="145">
        <v>4.6384490093531632</v>
      </c>
      <c r="O237" s="145">
        <v>2.8267905409687</v>
      </c>
      <c r="P237" s="145"/>
      <c r="Q237" s="145">
        <v>1.3800000000000097</v>
      </c>
      <c r="R237" s="145"/>
      <c r="S237" s="145"/>
      <c r="T237" s="145">
        <v>1.0687535693284584</v>
      </c>
      <c r="U237" s="145">
        <v>6.3</v>
      </c>
      <c r="V237" s="145">
        <v>3.0837615874357889</v>
      </c>
      <c r="W237" s="154">
        <v>1.4209222109080302</v>
      </c>
      <c r="X237" s="145">
        <v>1.6734906382296022</v>
      </c>
      <c r="Y237" s="145">
        <v>2.4008546134465649</v>
      </c>
      <c r="Z237" s="145">
        <v>2.1</v>
      </c>
      <c r="AA237" s="145">
        <v>3.3044813497147372</v>
      </c>
      <c r="AB237" s="145"/>
      <c r="AC237" s="145"/>
      <c r="AD237" s="145"/>
      <c r="AE237" s="145"/>
      <c r="AF237" s="145"/>
      <c r="AG237" s="145">
        <v>2.2409443369113422</v>
      </c>
      <c r="AH237" s="145">
        <v>1.0073724341359664</v>
      </c>
      <c r="AI237" s="167"/>
      <c r="AK237" s="145"/>
      <c r="AL237" s="145"/>
    </row>
    <row r="238" spans="1:38">
      <c r="A238" s="141" t="s">
        <v>584</v>
      </c>
      <c r="B238" s="145"/>
      <c r="C238" s="168">
        <v>1.9107199202509486</v>
      </c>
      <c r="D238" s="145">
        <v>14</v>
      </c>
      <c r="E238" s="145"/>
      <c r="F238" s="145"/>
      <c r="G238" s="145">
        <v>1.59</v>
      </c>
      <c r="H238" s="145">
        <v>3.23</v>
      </c>
      <c r="I238" s="145">
        <v>1.0398534333262213</v>
      </c>
      <c r="J238" s="145">
        <v>3.0223400244049743</v>
      </c>
      <c r="K238" s="145">
        <v>1.9015168129486657</v>
      </c>
      <c r="L238" s="145"/>
      <c r="M238" s="145"/>
      <c r="N238" s="145">
        <v>4.6109927838001088</v>
      </c>
      <c r="O238" s="145">
        <v>2.7606437174313001</v>
      </c>
      <c r="P238" s="145"/>
      <c r="Q238" s="145">
        <v>1.3800000000000097</v>
      </c>
      <c r="R238" s="145">
        <v>5.44</v>
      </c>
      <c r="S238" s="145">
        <v>2.9525742026588202</v>
      </c>
      <c r="T238" s="145">
        <v>1.099336584810328</v>
      </c>
      <c r="U238" s="145">
        <v>5.83</v>
      </c>
      <c r="V238" s="145">
        <v>3.004123163165084</v>
      </c>
      <c r="W238" s="154">
        <v>1.4389889047965316</v>
      </c>
      <c r="X238" s="145">
        <v>1.5064635210038206</v>
      </c>
      <c r="Y238" s="145">
        <v>2.3514987227673068</v>
      </c>
      <c r="Z238" s="145">
        <v>2.06</v>
      </c>
      <c r="AA238" s="145">
        <v>3.0652510541584461</v>
      </c>
      <c r="AB238" s="145"/>
      <c r="AC238" s="145"/>
      <c r="AD238" s="145"/>
      <c r="AE238" s="145">
        <v>6.4</v>
      </c>
      <c r="AF238" s="145">
        <v>4.4000000000000004</v>
      </c>
      <c r="AG238" s="145">
        <v>2.0689334373915167</v>
      </c>
      <c r="AH238" s="145">
        <v>0.91267624042325124</v>
      </c>
      <c r="AI238" s="167"/>
      <c r="AK238" s="145"/>
      <c r="AL238" s="145"/>
    </row>
    <row r="239" spans="1:38">
      <c r="A239" s="141" t="s">
        <v>585</v>
      </c>
      <c r="B239" s="145"/>
      <c r="C239" s="168">
        <v>1.8979215531646012</v>
      </c>
      <c r="D239" s="145">
        <v>13.79</v>
      </c>
      <c r="E239" s="145"/>
      <c r="F239" s="145"/>
      <c r="G239" s="145">
        <v>1.6</v>
      </c>
      <c r="H239" s="145">
        <v>3.19</v>
      </c>
      <c r="I239" s="145">
        <v>1.0494652747036288</v>
      </c>
      <c r="J239" s="145">
        <v>2.9526913612706411</v>
      </c>
      <c r="K239" s="145">
        <v>1.9056586195953369</v>
      </c>
      <c r="L239" s="145"/>
      <c r="M239" s="145"/>
      <c r="N239" s="145">
        <v>4.4770310100741364</v>
      </c>
      <c r="O239" s="145">
        <v>2.6871600707373933</v>
      </c>
      <c r="P239" s="145"/>
      <c r="Q239" s="145">
        <v>1.3400000000000034</v>
      </c>
      <c r="R239" s="145"/>
      <c r="S239" s="145"/>
      <c r="T239" s="145">
        <v>0.98856928067797623</v>
      </c>
      <c r="U239" s="145">
        <v>5.75</v>
      </c>
      <c r="V239" s="145">
        <v>3.2483889665686059</v>
      </c>
      <c r="W239" s="154">
        <v>1.416076191898098</v>
      </c>
      <c r="X239" s="145">
        <v>1.6373116472602294</v>
      </c>
      <c r="Y239" s="145">
        <v>2.3807056673136517</v>
      </c>
      <c r="Z239" s="145">
        <v>2.11</v>
      </c>
      <c r="AA239" s="145">
        <v>3.3375070788723815</v>
      </c>
      <c r="AB239" s="145"/>
      <c r="AC239" s="145"/>
      <c r="AD239" s="145"/>
      <c r="AE239" s="145"/>
      <c r="AF239" s="145"/>
      <c r="AG239" s="145">
        <v>1.9928595400851339</v>
      </c>
      <c r="AH239" s="145">
        <v>0.91330142773599943</v>
      </c>
      <c r="AI239" s="167"/>
      <c r="AK239" s="145"/>
      <c r="AL239" s="145"/>
    </row>
    <row r="240" spans="1:38">
      <c r="A240" s="141" t="s">
        <v>586</v>
      </c>
      <c r="B240" s="145"/>
      <c r="C240" s="168">
        <v>1.878317110756188</v>
      </c>
      <c r="D240" s="145">
        <v>14.1</v>
      </c>
      <c r="E240" s="145"/>
      <c r="F240" s="145"/>
      <c r="G240" s="145">
        <v>1.63</v>
      </c>
      <c r="H240" s="145">
        <v>3.11</v>
      </c>
      <c r="I240" s="145">
        <v>1.0250930200058528</v>
      </c>
      <c r="J240" s="145">
        <v>3.0195269393475179</v>
      </c>
      <c r="K240" s="145">
        <v>1.8542936761289912</v>
      </c>
      <c r="L240" s="145"/>
      <c r="M240" s="145"/>
      <c r="N240" s="145">
        <v>4.516612928967831</v>
      </c>
      <c r="O240" s="145">
        <v>2.6679815309316872</v>
      </c>
      <c r="P240" s="145"/>
      <c r="Q240" s="145">
        <v>1.3299999999999983</v>
      </c>
      <c r="R240" s="145"/>
      <c r="S240" s="145"/>
      <c r="T240" s="145">
        <v>0.91536186925529839</v>
      </c>
      <c r="U240" s="145">
        <v>5.82</v>
      </c>
      <c r="V240" s="145">
        <v>3.2550367671886522</v>
      </c>
      <c r="W240" s="154">
        <v>1.4083318315945721</v>
      </c>
      <c r="X240" s="145">
        <v>1.6677019847123313</v>
      </c>
      <c r="Y240" s="145">
        <v>2.3414760820459293</v>
      </c>
      <c r="Z240" s="145">
        <v>2.11</v>
      </c>
      <c r="AA240" s="145">
        <v>3.0473581660460125</v>
      </c>
      <c r="AB240" s="145"/>
      <c r="AC240" s="145"/>
      <c r="AD240" s="145"/>
      <c r="AE240" s="145"/>
      <c r="AF240" s="145"/>
      <c r="AG240" s="145">
        <v>1.9967241163739238</v>
      </c>
      <c r="AH240" s="145">
        <v>0.86140864349495117</v>
      </c>
      <c r="AI240" s="167"/>
      <c r="AK240" s="145"/>
      <c r="AL240" s="145"/>
    </row>
    <row r="241" spans="1:38">
      <c r="A241" s="141" t="s">
        <v>587</v>
      </c>
      <c r="B241" s="145"/>
      <c r="C241" s="168">
        <v>1.8235397106228284</v>
      </c>
      <c r="D241" s="145">
        <v>13.9</v>
      </c>
      <c r="E241" s="145">
        <v>11.3</v>
      </c>
      <c r="F241" s="145"/>
      <c r="G241" s="145">
        <v>1.63</v>
      </c>
      <c r="H241" s="145">
        <v>3.12</v>
      </c>
      <c r="I241" s="145">
        <v>1.0381650305083656</v>
      </c>
      <c r="J241" s="145">
        <v>3.0176952482412083</v>
      </c>
      <c r="K241" s="145">
        <v>1.9048945131699728</v>
      </c>
      <c r="L241" s="145"/>
      <c r="M241" s="145"/>
      <c r="N241" s="145">
        <v>4.6395169222414463</v>
      </c>
      <c r="O241" s="145">
        <v>2.6268259790267723</v>
      </c>
      <c r="P241" s="145"/>
      <c r="Q241" s="145">
        <v>1.3299999999999983</v>
      </c>
      <c r="R241" s="145">
        <v>5.31</v>
      </c>
      <c r="S241" s="145">
        <v>2.43482332119149</v>
      </c>
      <c r="T241" s="145">
        <v>0.92868056978801428</v>
      </c>
      <c r="U241" s="145">
        <v>5.78</v>
      </c>
      <c r="V241" s="145">
        <v>3.4118298406102969</v>
      </c>
      <c r="W241" s="154">
        <v>1.4543686440832455</v>
      </c>
      <c r="X241" s="145">
        <v>1.683622634467858</v>
      </c>
      <c r="Y241" s="145">
        <v>2.2627600518181632</v>
      </c>
      <c r="Z241" s="145">
        <v>2.12</v>
      </c>
      <c r="AA241" s="145">
        <v>2.6084845321485415</v>
      </c>
      <c r="AB241" s="145"/>
      <c r="AC241" s="145"/>
      <c r="AD241" s="145"/>
      <c r="AE241" s="145"/>
      <c r="AF241" s="145">
        <v>4.5999999999999996</v>
      </c>
      <c r="AG241" s="145">
        <v>1.9748516728288021</v>
      </c>
      <c r="AH241" s="145">
        <v>0.7850775349055088</v>
      </c>
      <c r="AI241" s="167"/>
      <c r="AK241" s="145"/>
      <c r="AL241" s="145"/>
    </row>
    <row r="242" spans="1:38">
      <c r="A242" s="141" t="s">
        <v>588</v>
      </c>
      <c r="B242" s="145"/>
      <c r="C242" s="168">
        <v>1.7974830680396026</v>
      </c>
      <c r="D242" s="145">
        <v>13.7</v>
      </c>
      <c r="E242" s="145"/>
      <c r="F242" s="145"/>
      <c r="G242" s="145">
        <v>1.54</v>
      </c>
      <c r="H242" s="145">
        <v>3.04</v>
      </c>
      <c r="I242" s="145">
        <v>1.0286208027964174</v>
      </c>
      <c r="J242" s="145">
        <v>2.9826901360667071</v>
      </c>
      <c r="K242" s="145">
        <v>1.8341749691273446</v>
      </c>
      <c r="L242" s="145"/>
      <c r="M242" s="145"/>
      <c r="N242" s="145">
        <v>4.6594412445549915</v>
      </c>
      <c r="O242" s="145">
        <v>2.5182745318092681</v>
      </c>
      <c r="P242" s="145"/>
      <c r="Q242" s="145">
        <v>1.2999999999999972</v>
      </c>
      <c r="R242" s="145"/>
      <c r="S242" s="145"/>
      <c r="T242" s="145">
        <v>1.0463343799414175</v>
      </c>
      <c r="U242" s="145">
        <v>5.68</v>
      </c>
      <c r="V242" s="145">
        <v>3.4617406555562025</v>
      </c>
      <c r="W242" s="154">
        <v>0.927958345792396</v>
      </c>
      <c r="X242" s="145">
        <v>1.7698195148620171</v>
      </c>
      <c r="Y242" s="145">
        <v>2.2266830742761279</v>
      </c>
      <c r="Z242" s="145">
        <v>2.17</v>
      </c>
      <c r="AA242" s="145">
        <v>2.5802897195162022</v>
      </c>
      <c r="AB242" s="145"/>
      <c r="AC242" s="145"/>
      <c r="AD242" s="145"/>
      <c r="AE242" s="145"/>
      <c r="AF242" s="145"/>
      <c r="AG242" s="145">
        <v>1.8884325733933049</v>
      </c>
      <c r="AH242" s="145">
        <v>0.75223598106120915</v>
      </c>
      <c r="AI242" s="167"/>
      <c r="AK242" s="145"/>
      <c r="AL242" s="145"/>
    </row>
    <row r="243" spans="1:38">
      <c r="A243" s="141" t="s">
        <v>589</v>
      </c>
      <c r="B243" s="145"/>
      <c r="C243" s="168">
        <v>1.7582006044709608</v>
      </c>
      <c r="D243" s="145">
        <v>15.8</v>
      </c>
      <c r="E243" s="145"/>
      <c r="F243" s="145"/>
      <c r="G243" s="145">
        <v>1.66</v>
      </c>
      <c r="H243" s="145">
        <v>2.95</v>
      </c>
      <c r="I243" s="145">
        <v>1.0093437552160502</v>
      </c>
      <c r="J243" s="145">
        <v>3.0538128788098722</v>
      </c>
      <c r="K243" s="145">
        <v>1.8088112168444657</v>
      </c>
      <c r="L243" s="145"/>
      <c r="M243" s="145"/>
      <c r="N243" s="145">
        <v>4.4722253048147955</v>
      </c>
      <c r="O243" s="145">
        <v>2.4821768982298424</v>
      </c>
      <c r="P243" s="145"/>
      <c r="Q243" s="145">
        <v>1.2900000000000063</v>
      </c>
      <c r="R243" s="145"/>
      <c r="S243" s="145"/>
      <c r="T243" s="145">
        <v>1.0401060609021617</v>
      </c>
      <c r="U243" s="145">
        <v>5.61</v>
      </c>
      <c r="V243" s="145">
        <v>3.3718591576419201</v>
      </c>
      <c r="W243" s="154">
        <v>0.90483820578770913</v>
      </c>
      <c r="X243" s="145">
        <v>1.744334229593536</v>
      </c>
      <c r="Y243" s="145">
        <v>2.2043776522949838</v>
      </c>
      <c r="Z243" s="145">
        <v>2.1800000000000002</v>
      </c>
      <c r="AA243" s="145">
        <v>2.4829768929408975</v>
      </c>
      <c r="AB243" s="145"/>
      <c r="AC243" s="145"/>
      <c r="AD243" s="145"/>
      <c r="AE243" s="145"/>
      <c r="AF243" s="145"/>
      <c r="AG243" s="145">
        <v>1.8797201556587404</v>
      </c>
      <c r="AH243" s="145">
        <v>0.73463444945975021</v>
      </c>
      <c r="AI243" s="167"/>
      <c r="AK243" s="145"/>
      <c r="AL243" s="145"/>
    </row>
    <row r="244" spans="1:38">
      <c r="A244" s="148" t="s">
        <v>590</v>
      </c>
      <c r="B244" s="149"/>
      <c r="C244" s="170">
        <v>1.7325216051243029</v>
      </c>
      <c r="D244" s="149">
        <v>15.7</v>
      </c>
      <c r="E244" s="149">
        <v>11.7</v>
      </c>
      <c r="F244" s="149">
        <v>8.8000000000000007</v>
      </c>
      <c r="G244" s="149">
        <v>1.52</v>
      </c>
      <c r="H244" s="149">
        <v>2.84</v>
      </c>
      <c r="I244" s="149">
        <v>0.97178942254471035</v>
      </c>
      <c r="J244" s="149">
        <v>2.8304047035059003</v>
      </c>
      <c r="K244" s="149">
        <v>1.7626849565386393</v>
      </c>
      <c r="L244" s="173"/>
      <c r="M244" s="149"/>
      <c r="N244" s="149">
        <v>4.0091344742652222</v>
      </c>
      <c r="O244" s="149">
        <v>2.4119127875400346</v>
      </c>
      <c r="P244" s="149"/>
      <c r="Q244" s="149">
        <v>1.1899999999999977</v>
      </c>
      <c r="R244" s="149">
        <v>5.97</v>
      </c>
      <c r="S244" s="149">
        <v>4.2699999999999996</v>
      </c>
      <c r="T244" s="149">
        <v>0.90875842113004968</v>
      </c>
      <c r="U244" s="149">
        <v>5.16</v>
      </c>
      <c r="V244" s="149">
        <v>3.3615702308539124</v>
      </c>
      <c r="W244" s="149">
        <v>0.91009887803630496</v>
      </c>
      <c r="X244" s="149">
        <v>1.5849212433781215</v>
      </c>
      <c r="Y244" s="149">
        <v>2.0065173150959579</v>
      </c>
      <c r="Z244" s="149">
        <v>2.14</v>
      </c>
      <c r="AA244" s="149">
        <v>2.1851879136746888</v>
      </c>
      <c r="AB244" s="149"/>
      <c r="AC244" s="149"/>
      <c r="AD244" s="149"/>
      <c r="AE244" s="149"/>
      <c r="AF244" s="149">
        <v>4.2</v>
      </c>
      <c r="AG244" s="149">
        <v>1.7676246586935687</v>
      </c>
      <c r="AH244" s="149">
        <v>0.63739600673569663</v>
      </c>
      <c r="AI244" s="167"/>
      <c r="AK244" s="145"/>
      <c r="AL244" s="145"/>
    </row>
    <row r="245" spans="1:38">
      <c r="A245" s="141" t="s">
        <v>591</v>
      </c>
      <c r="B245" s="145"/>
      <c r="C245" s="168">
        <v>1.7600855993779225</v>
      </c>
      <c r="D245" s="145">
        <v>15.83</v>
      </c>
      <c r="E245" s="145"/>
      <c r="F245" s="145"/>
      <c r="G245" s="145">
        <v>1.52</v>
      </c>
      <c r="H245" s="174">
        <v>2.85</v>
      </c>
      <c r="I245" s="145">
        <v>0.96</v>
      </c>
      <c r="J245" s="145">
        <v>2.9626411994331456</v>
      </c>
      <c r="K245" s="145">
        <v>1.7440758693997775</v>
      </c>
      <c r="L245" s="145"/>
      <c r="M245" s="145"/>
      <c r="N245" s="145">
        <v>4.5024079614726178</v>
      </c>
      <c r="O245" s="145">
        <v>2.406305792342379</v>
      </c>
      <c r="P245" s="145"/>
      <c r="Q245" s="145">
        <v>1.3299999999999983</v>
      </c>
      <c r="R245" s="145"/>
      <c r="S245" s="145"/>
      <c r="T245" s="145">
        <v>1.044565946511558</v>
      </c>
      <c r="U245" s="145">
        <v>4.67</v>
      </c>
      <c r="V245" s="145">
        <v>3.4301255623575262</v>
      </c>
      <c r="W245" s="145">
        <v>0.86409540269931018</v>
      </c>
      <c r="X245" s="145">
        <v>1.673708039101478</v>
      </c>
      <c r="Y245" s="145">
        <v>2.0501806290785094</v>
      </c>
      <c r="Z245" s="145">
        <v>2.2799999999999998</v>
      </c>
      <c r="AA245" s="145">
        <v>2.2342965406547943</v>
      </c>
      <c r="AB245" s="145"/>
      <c r="AC245" s="145"/>
      <c r="AD245" s="145"/>
      <c r="AE245" s="145"/>
      <c r="AF245" s="145"/>
      <c r="AG245" s="145">
        <v>1.7619972768677634</v>
      </c>
      <c r="AH245" s="145">
        <v>0.69849850217591036</v>
      </c>
      <c r="AI245" s="167"/>
      <c r="AK245" s="145"/>
      <c r="AL245" s="145"/>
    </row>
    <row r="246" spans="1:38">
      <c r="A246" s="141" t="s">
        <v>592</v>
      </c>
      <c r="B246" s="145"/>
      <c r="C246" s="168">
        <v>1.8019393740941441</v>
      </c>
      <c r="D246" s="145">
        <v>15.9</v>
      </c>
      <c r="E246" s="145"/>
      <c r="F246" s="145"/>
      <c r="G246" s="145">
        <v>1.62</v>
      </c>
      <c r="H246" s="174">
        <v>2.86</v>
      </c>
      <c r="I246" s="145">
        <v>0.96</v>
      </c>
      <c r="J246" s="145">
        <v>3.0208646191610451</v>
      </c>
      <c r="K246" s="145">
        <v>1.6606465166929933</v>
      </c>
      <c r="L246" s="145"/>
      <c r="M246" s="145"/>
      <c r="N246" s="145">
        <v>4.6781187886252527</v>
      </c>
      <c r="O246" s="145">
        <v>2.3646550615752071</v>
      </c>
      <c r="P246" s="145"/>
      <c r="Q246" s="145">
        <v>1.2999999999999972</v>
      </c>
      <c r="R246" s="145"/>
      <c r="S246" s="145"/>
      <c r="T246" s="145">
        <v>1.0809390944219079</v>
      </c>
      <c r="U246" s="145">
        <v>4.66</v>
      </c>
      <c r="V246" s="145">
        <v>3.3870418413728558</v>
      </c>
      <c r="W246" s="154">
        <v>0.84258721126926805</v>
      </c>
      <c r="X246" s="145">
        <v>1.6089705042044968</v>
      </c>
      <c r="Y246" s="145">
        <v>2.1681558411697046</v>
      </c>
      <c r="Z246" s="145">
        <v>2.2999999999999998</v>
      </c>
      <c r="AA246" s="145">
        <v>2.2369761862857405</v>
      </c>
      <c r="AB246" s="145"/>
      <c r="AC246" s="145"/>
      <c r="AD246" s="145"/>
      <c r="AE246" s="145"/>
      <c r="AF246" s="145"/>
      <c r="AG246" s="145">
        <v>1.7216421750949684</v>
      </c>
      <c r="AH246" s="145">
        <v>0.71802907659463699</v>
      </c>
      <c r="AI246" s="167"/>
      <c r="AK246" s="145"/>
      <c r="AL246" s="145"/>
    </row>
    <row r="247" spans="1:38">
      <c r="A247" s="141" t="s">
        <v>593</v>
      </c>
      <c r="B247" s="145"/>
      <c r="C247" s="168">
        <v>1.8535425575840556</v>
      </c>
      <c r="D247" s="145">
        <v>16</v>
      </c>
      <c r="E247" s="145">
        <v>10.5</v>
      </c>
      <c r="F247" s="145"/>
      <c r="G247" s="145">
        <v>1.64</v>
      </c>
      <c r="H247" s="174">
        <v>2.89</v>
      </c>
      <c r="I247" s="145">
        <v>0.98</v>
      </c>
      <c r="J247" s="145">
        <v>3.0930857316787312</v>
      </c>
      <c r="K247" s="145">
        <v>1.6450885922036627</v>
      </c>
      <c r="L247" s="145"/>
      <c r="M247" s="145"/>
      <c r="N247" s="145">
        <v>4.7235037935250528</v>
      </c>
      <c r="O247" s="145">
        <v>2.4234910922359894</v>
      </c>
      <c r="P247" s="145"/>
      <c r="Q247" s="145">
        <v>1.3100000000000023</v>
      </c>
      <c r="R247" s="145">
        <v>5.56</v>
      </c>
      <c r="S247" s="145">
        <v>4.6435050386389518</v>
      </c>
      <c r="T247" s="145">
        <v>1.1327668224361727</v>
      </c>
      <c r="U247" s="145">
        <v>4.79</v>
      </c>
      <c r="V247" s="145">
        <v>3.3742117467626502</v>
      </c>
      <c r="W247" s="154">
        <v>0.85238843259994179</v>
      </c>
      <c r="X247" s="145">
        <v>1.8008445485938127</v>
      </c>
      <c r="Y247" s="145">
        <v>2.1913309268885661</v>
      </c>
      <c r="Z247" s="145">
        <v>2.34</v>
      </c>
      <c r="AA247" s="145">
        <v>2.067734294305724</v>
      </c>
      <c r="AB247" s="145"/>
      <c r="AC247" s="145"/>
      <c r="AD247" s="145"/>
      <c r="AE247" s="145"/>
      <c r="AF247" s="145">
        <v>4.2</v>
      </c>
      <c r="AG247" s="145">
        <v>1.744565861952633</v>
      </c>
      <c r="AH247" s="145">
        <v>0.70304926700972759</v>
      </c>
      <c r="AI247" s="167"/>
      <c r="AK247" s="145"/>
      <c r="AL247" s="145"/>
    </row>
    <row r="248" spans="1:38">
      <c r="A248" s="141" t="s">
        <v>594</v>
      </c>
      <c r="B248" s="145"/>
      <c r="C248" s="168">
        <v>1.9180422691757224</v>
      </c>
      <c r="D248" s="145">
        <v>15.9</v>
      </c>
      <c r="E248" s="145"/>
      <c r="F248" s="145"/>
      <c r="G248" s="145">
        <v>1.59</v>
      </c>
      <c r="H248" s="174">
        <v>2.93</v>
      </c>
      <c r="I248" s="145">
        <v>1</v>
      </c>
      <c r="J248" s="145">
        <v>3.1442841864840165</v>
      </c>
      <c r="K248" s="145">
        <v>1.6320346472061567</v>
      </c>
      <c r="L248" s="145"/>
      <c r="M248" s="145"/>
      <c r="N248" s="145">
        <v>4.5961796220744624</v>
      </c>
      <c r="O248" s="145">
        <v>2.4432245012538045</v>
      </c>
      <c r="P248" s="145"/>
      <c r="Q248" s="145">
        <v>1.4699999999999989</v>
      </c>
      <c r="R248" s="145"/>
      <c r="S248" s="145"/>
      <c r="T248" s="145">
        <v>1.2554644252434064</v>
      </c>
      <c r="U248" s="145">
        <v>4.84</v>
      </c>
      <c r="V248" s="145">
        <v>3.3829775026320883</v>
      </c>
      <c r="W248" s="154">
        <v>0.91241690320971736</v>
      </c>
      <c r="X248" s="145">
        <v>1.7521149358462913</v>
      </c>
      <c r="Y248" s="145">
        <v>2.3112648921663661</v>
      </c>
      <c r="Z248" s="145">
        <v>2.37</v>
      </c>
      <c r="AA248" s="145">
        <v>2.1465706303089993</v>
      </c>
      <c r="AB248" s="145"/>
      <c r="AC248" s="145"/>
      <c r="AD248" s="145"/>
      <c r="AE248" s="145"/>
      <c r="AF248" s="145"/>
      <c r="AG248" s="145">
        <v>1.8394502762445217</v>
      </c>
      <c r="AH248" s="145">
        <v>0.69241417825528129</v>
      </c>
      <c r="AI248" s="167"/>
      <c r="AK248" s="145"/>
      <c r="AL248" s="145"/>
    </row>
    <row r="249" spans="1:38">
      <c r="A249" s="141" t="s">
        <v>595</v>
      </c>
      <c r="B249" s="145"/>
      <c r="C249" s="168">
        <v>2.0372829954211533</v>
      </c>
      <c r="D249" s="145">
        <v>16.2</v>
      </c>
      <c r="E249" s="145"/>
      <c r="F249" s="145"/>
      <c r="G249" s="145">
        <v>1.61</v>
      </c>
      <c r="H249" s="174">
        <v>3</v>
      </c>
      <c r="I249" s="145">
        <v>0.98</v>
      </c>
      <c r="J249" s="145">
        <v>3.1011182318615584</v>
      </c>
      <c r="K249" s="145">
        <v>1.6739392370738533</v>
      </c>
      <c r="L249" s="145"/>
      <c r="M249" s="145"/>
      <c r="N249" s="145">
        <v>4.7293213871523463</v>
      </c>
      <c r="O249" s="145">
        <v>2.4602184792065298</v>
      </c>
      <c r="P249" s="175"/>
      <c r="Q249" s="145">
        <v>1.5499999999999972</v>
      </c>
      <c r="R249" s="145"/>
      <c r="S249" s="145"/>
      <c r="T249" s="145">
        <v>1.2372170869480776</v>
      </c>
      <c r="U249" s="145">
        <v>4.83</v>
      </c>
      <c r="V249" s="145">
        <v>3.356420589939721</v>
      </c>
      <c r="W249" s="154">
        <v>0.96920934135788051</v>
      </c>
      <c r="X249" s="145">
        <v>1.7295994420100873</v>
      </c>
      <c r="Y249" s="145">
        <v>2.4109368658500707</v>
      </c>
      <c r="Z249" s="145">
        <v>2.4500000000000002</v>
      </c>
      <c r="AA249" s="145">
        <v>2.2037487329680565</v>
      </c>
      <c r="AB249" s="145"/>
      <c r="AC249" s="145"/>
      <c r="AD249" s="145"/>
      <c r="AE249" s="145"/>
      <c r="AF249" s="145"/>
      <c r="AG249" s="145">
        <v>1.8511327706110441</v>
      </c>
      <c r="AH249" s="145">
        <v>0.65657409663873101</v>
      </c>
      <c r="AI249" s="167"/>
      <c r="AK249" s="145"/>
      <c r="AL249" s="145"/>
    </row>
    <row r="250" spans="1:38">
      <c r="A250" s="141" t="s">
        <v>596</v>
      </c>
      <c r="B250" s="145"/>
      <c r="C250" s="168">
        <v>2.0155542001805355</v>
      </c>
      <c r="D250" s="145">
        <v>16.399999999999999</v>
      </c>
      <c r="E250" s="145">
        <v>12</v>
      </c>
      <c r="F250" s="145"/>
      <c r="G250" s="145">
        <v>1.51</v>
      </c>
      <c r="H250" s="174">
        <v>2.91</v>
      </c>
      <c r="I250" s="145">
        <v>1.03</v>
      </c>
      <c r="J250" s="145">
        <v>3.1172263816095875</v>
      </c>
      <c r="K250" s="145">
        <v>1.6176891659587522</v>
      </c>
      <c r="L250" s="145"/>
      <c r="M250" s="145"/>
      <c r="N250" s="145">
        <v>4.6390636566212375</v>
      </c>
      <c r="O250" s="145">
        <v>2.4700925478419471</v>
      </c>
      <c r="P250" s="145"/>
      <c r="Q250" s="145">
        <v>1.5600000000000023</v>
      </c>
      <c r="R250" s="145">
        <v>5.97</v>
      </c>
      <c r="S250" s="145">
        <v>3.2754164772496952</v>
      </c>
      <c r="T250" s="145">
        <v>1.1202984472795416</v>
      </c>
      <c r="U250" s="145">
        <v>4.84</v>
      </c>
      <c r="V250" s="145">
        <v>3.3190221175350345</v>
      </c>
      <c r="W250" s="154">
        <v>1.002546719797957</v>
      </c>
      <c r="X250" s="145">
        <v>1.655274816252468</v>
      </c>
      <c r="Y250" s="145">
        <v>2.2751457976962151</v>
      </c>
      <c r="Z250" s="145">
        <v>2.36</v>
      </c>
      <c r="AA250" s="145">
        <v>2.1507825163243099</v>
      </c>
      <c r="AB250" s="145"/>
      <c r="AC250" s="145"/>
      <c r="AD250" s="145"/>
      <c r="AE250" s="145">
        <v>6.8</v>
      </c>
      <c r="AF250" s="145">
        <v>4</v>
      </c>
      <c r="AG250" s="145">
        <v>1.8252750996193297</v>
      </c>
      <c r="AH250" s="145">
        <v>0.60623671471838969</v>
      </c>
      <c r="AI250" s="167"/>
      <c r="AK250" s="145"/>
      <c r="AL250" s="145"/>
    </row>
    <row r="251" spans="1:38">
      <c r="A251" s="141" t="s">
        <v>597</v>
      </c>
      <c r="B251" s="145"/>
      <c r="C251" s="168">
        <v>2.0335872160048929</v>
      </c>
      <c r="D251" s="145">
        <v>16.7</v>
      </c>
      <c r="E251" s="145"/>
      <c r="F251" s="145"/>
      <c r="G251" s="145">
        <v>1.48</v>
      </c>
      <c r="H251" s="174">
        <v>2.96</v>
      </c>
      <c r="I251" s="145">
        <v>1.03</v>
      </c>
      <c r="J251" s="145">
        <v>3.0344227045109902</v>
      </c>
      <c r="K251" s="145">
        <v>1.6675207252189863</v>
      </c>
      <c r="L251" s="145"/>
      <c r="M251" s="145"/>
      <c r="N251" s="145">
        <v>4.5882154155419475</v>
      </c>
      <c r="O251" s="145">
        <v>2.5835352600468546</v>
      </c>
      <c r="P251" s="145"/>
      <c r="Q251" s="145">
        <v>1.5799999999999983</v>
      </c>
      <c r="R251" s="145"/>
      <c r="S251" s="145"/>
      <c r="T251" s="145">
        <v>1.1926290632502614</v>
      </c>
      <c r="U251" s="145"/>
      <c r="V251" s="145">
        <v>3.3520011548673225</v>
      </c>
      <c r="W251" s="154">
        <v>1.0201912610015682</v>
      </c>
      <c r="X251" s="145">
        <v>1.7191621463510602</v>
      </c>
      <c r="Y251" s="145">
        <v>2.2829429816726261</v>
      </c>
      <c r="Z251" s="145">
        <v>2.44</v>
      </c>
      <c r="AA251" s="145">
        <v>2.0906374258770279</v>
      </c>
      <c r="AB251" s="145"/>
      <c r="AC251" s="145"/>
      <c r="AD251" s="145"/>
      <c r="AE251" s="145"/>
      <c r="AF251" s="145"/>
      <c r="AG251" s="145">
        <v>2.114982996837206</v>
      </c>
      <c r="AH251" s="145">
        <v>0.57218538208840086</v>
      </c>
      <c r="AI251" s="167"/>
      <c r="AK251" s="145"/>
      <c r="AL251" s="145"/>
    </row>
    <row r="252" spans="1:38">
      <c r="A252" s="141" t="s">
        <v>598</v>
      </c>
      <c r="B252" s="145"/>
      <c r="C252" s="168">
        <v>2.0875800963544222</v>
      </c>
      <c r="D252" s="145">
        <v>17.100000000000001</v>
      </c>
      <c r="E252" s="145"/>
      <c r="F252" s="145"/>
      <c r="G252" s="145">
        <v>1.59</v>
      </c>
      <c r="H252" s="174">
        <v>2.98</v>
      </c>
      <c r="I252" s="145">
        <v>1.01</v>
      </c>
      <c r="J252" s="145">
        <v>3.1488162723706701</v>
      </c>
      <c r="K252" s="145">
        <v>1.7129130384299665</v>
      </c>
      <c r="L252" s="145"/>
      <c r="M252" s="145"/>
      <c r="N252" s="145">
        <v>4.6137826375266453</v>
      </c>
      <c r="O252" s="145">
        <v>2.5857759960342639</v>
      </c>
      <c r="P252" s="145"/>
      <c r="Q252" s="145">
        <v>1.5400000000000063</v>
      </c>
      <c r="R252" s="145"/>
      <c r="S252" s="145"/>
      <c r="T252" s="145">
        <v>1.1471518055166698</v>
      </c>
      <c r="U252" s="145"/>
      <c r="V252" s="145">
        <v>3.3468848488343457</v>
      </c>
      <c r="W252" s="154">
        <v>1.0223649676013669</v>
      </c>
      <c r="X252" s="145">
        <v>1.7870975831806277</v>
      </c>
      <c r="Y252" s="145">
        <v>2.2597219179965733</v>
      </c>
      <c r="Z252" s="145">
        <v>2.46</v>
      </c>
      <c r="AA252" s="145">
        <v>2.0469161754279082</v>
      </c>
      <c r="AB252" s="145"/>
      <c r="AC252" s="145"/>
      <c r="AD252" s="145"/>
      <c r="AE252" s="145"/>
      <c r="AF252" s="145"/>
      <c r="AG252" s="145">
        <v>1.8344757967620098</v>
      </c>
      <c r="AH252" s="145">
        <v>0.56035121113765141</v>
      </c>
      <c r="AI252" s="167"/>
      <c r="AK252" s="145"/>
      <c r="AL252" s="145"/>
    </row>
    <row r="253" spans="1:38">
      <c r="A253" s="141" t="s">
        <v>599</v>
      </c>
      <c r="B253" s="145"/>
      <c r="C253" s="168">
        <v>2.0267287808695724</v>
      </c>
      <c r="D253" s="145">
        <v>17.2</v>
      </c>
      <c r="E253" s="145">
        <v>12.2</v>
      </c>
      <c r="F253" s="145"/>
      <c r="G253" s="145">
        <v>1.6099999999999999</v>
      </c>
      <c r="H253" s="174">
        <v>2.92</v>
      </c>
      <c r="I253" s="145">
        <v>1.02</v>
      </c>
      <c r="J253" s="145">
        <v>3.1261081076641259</v>
      </c>
      <c r="K253" s="145">
        <v>1.6763201942787009</v>
      </c>
      <c r="L253" s="145"/>
      <c r="M253" s="145"/>
      <c r="N253" s="145">
        <v>4.6222063969823237</v>
      </c>
      <c r="O253" s="145">
        <v>2.53774537726511</v>
      </c>
      <c r="P253" s="145"/>
      <c r="Q253" s="145">
        <v>1.4099999999999966</v>
      </c>
      <c r="R253" s="145">
        <v>7.8</v>
      </c>
      <c r="S253" s="145">
        <v>3</v>
      </c>
      <c r="T253" s="145">
        <v>1.1054954557815724</v>
      </c>
      <c r="U253" s="145">
        <v>4.8099999999999996</v>
      </c>
      <c r="V253" s="145">
        <v>3.4062955643904824</v>
      </c>
      <c r="W253" s="154">
        <v>1.0222281842299379</v>
      </c>
      <c r="X253" s="145">
        <v>1.6126891552158522</v>
      </c>
      <c r="Y253" s="145">
        <v>2.1428683446885159</v>
      </c>
      <c r="Z253" s="145">
        <v>2.41</v>
      </c>
      <c r="AA253" s="145">
        <v>1.7779537614323133</v>
      </c>
      <c r="AB253" s="145"/>
      <c r="AC253" s="145"/>
      <c r="AD253" s="145"/>
      <c r="AE253" s="145"/>
      <c r="AF253" s="145">
        <v>4.3</v>
      </c>
      <c r="AG253" s="145">
        <v>1.7568319375336945</v>
      </c>
      <c r="AH253" s="145">
        <v>0.53936331572133744</v>
      </c>
      <c r="AI253" s="167"/>
      <c r="AK253" s="145"/>
      <c r="AL253" s="145"/>
    </row>
    <row r="254" spans="1:38">
      <c r="A254" s="141" t="s">
        <v>600</v>
      </c>
      <c r="B254" s="145"/>
      <c r="C254" s="168">
        <v>2.0340164193318904</v>
      </c>
      <c r="D254" s="145">
        <v>15.8</v>
      </c>
      <c r="E254" s="145"/>
      <c r="F254" s="145"/>
      <c r="G254" s="145">
        <v>1.6099999999999999</v>
      </c>
      <c r="H254" s="174">
        <v>2.96</v>
      </c>
      <c r="I254" s="145">
        <v>1</v>
      </c>
      <c r="J254" s="145">
        <v>3.0911514489001704</v>
      </c>
      <c r="K254" s="145">
        <v>1.6075296575938001</v>
      </c>
      <c r="L254" s="145"/>
      <c r="M254" s="145"/>
      <c r="N254" s="145">
        <v>4.6837048058106561</v>
      </c>
      <c r="O254" s="145">
        <v>2.5255525555330021</v>
      </c>
      <c r="P254" s="145"/>
      <c r="Q254" s="145">
        <v>1.3799999999999955</v>
      </c>
      <c r="R254" s="145"/>
      <c r="S254" s="145"/>
      <c r="T254" s="145">
        <v>1.1685554698779079</v>
      </c>
      <c r="U254" s="145">
        <v>4.74</v>
      </c>
      <c r="V254" s="145">
        <v>3.3900837523847178</v>
      </c>
      <c r="W254" s="154">
        <v>1.0662623959948505</v>
      </c>
      <c r="X254" s="145">
        <v>1.6614952628634498</v>
      </c>
      <c r="Y254" s="145">
        <v>2.1354981330022298</v>
      </c>
      <c r="Z254" s="145">
        <v>2.4700000000000002</v>
      </c>
      <c r="AA254" s="145">
        <v>1.8200489072586379</v>
      </c>
      <c r="AB254" s="145"/>
      <c r="AC254" s="145"/>
      <c r="AD254" s="145"/>
      <c r="AE254" s="145"/>
      <c r="AF254" s="145"/>
      <c r="AG254" s="145">
        <v>1.8531611129392549</v>
      </c>
      <c r="AH254" s="145">
        <v>0.52046534493713548</v>
      </c>
      <c r="AI254" s="167"/>
      <c r="AK254" s="145"/>
      <c r="AL254" s="145"/>
    </row>
    <row r="255" spans="1:38">
      <c r="A255" s="141" t="s">
        <v>601</v>
      </c>
      <c r="B255" s="145"/>
      <c r="C255" s="168">
        <v>2.0282591111344979</v>
      </c>
      <c r="D255" s="145">
        <v>16</v>
      </c>
      <c r="E255" s="145"/>
      <c r="F255" s="145"/>
      <c r="G255" s="145">
        <v>1.63</v>
      </c>
      <c r="H255" s="174">
        <v>2.85</v>
      </c>
      <c r="I255" s="145">
        <v>0.97</v>
      </c>
      <c r="J255" s="145">
        <v>3.1220626270839134</v>
      </c>
      <c r="K255" s="145">
        <v>1.5834495359287943</v>
      </c>
      <c r="L255" s="145"/>
      <c r="M255" s="145"/>
      <c r="N255" s="145">
        <v>4.6791373467956943</v>
      </c>
      <c r="O255" s="145">
        <v>2.5335919835250835</v>
      </c>
      <c r="P255" s="145"/>
      <c r="Q255" s="145">
        <v>1.3700000000000045</v>
      </c>
      <c r="R255" s="145"/>
      <c r="S255" s="145"/>
      <c r="T255" s="145">
        <v>1.2000073634289126</v>
      </c>
      <c r="U255" s="145">
        <v>4.8899999999999997</v>
      </c>
      <c r="V255" s="145">
        <v>3.3241159068666657</v>
      </c>
      <c r="W255" s="154">
        <v>1.0211336817940357</v>
      </c>
      <c r="X255" s="145">
        <v>1.7155906333692028</v>
      </c>
      <c r="Y255" s="145">
        <v>1.9660023008848195</v>
      </c>
      <c r="Z255" s="145">
        <v>2.46</v>
      </c>
      <c r="AA255" s="145">
        <v>1.7896684616203153</v>
      </c>
      <c r="AB255" s="145"/>
      <c r="AC255" s="145"/>
      <c r="AD255" s="145"/>
      <c r="AE255" s="145"/>
      <c r="AF255" s="145"/>
      <c r="AG255" s="145">
        <v>1.8276027415307521</v>
      </c>
      <c r="AH255" s="145">
        <v>0.51384930183565092</v>
      </c>
      <c r="AI255" s="167"/>
      <c r="AK255" s="145"/>
      <c r="AL255" s="145"/>
    </row>
    <row r="256" spans="1:38">
      <c r="A256" s="148" t="s">
        <v>602</v>
      </c>
      <c r="B256" s="149"/>
      <c r="C256" s="170">
        <v>1.9896363834242032</v>
      </c>
      <c r="D256" s="149">
        <v>16.100000000000001</v>
      </c>
      <c r="E256" s="149">
        <v>11.5</v>
      </c>
      <c r="F256" s="149">
        <v>7.03</v>
      </c>
      <c r="G256" s="149">
        <v>1.48</v>
      </c>
      <c r="H256" s="176">
        <v>2.73</v>
      </c>
      <c r="I256" s="149">
        <v>0.99</v>
      </c>
      <c r="J256" s="149">
        <v>2.9550300981937005</v>
      </c>
      <c r="K256" s="149">
        <v>1.5652152191441664</v>
      </c>
      <c r="L256" s="173"/>
      <c r="M256" s="149"/>
      <c r="N256" s="149">
        <v>3.9896113122539751</v>
      </c>
      <c r="O256" s="149">
        <v>2.42843511586047</v>
      </c>
      <c r="P256" s="149"/>
      <c r="Q256" s="149">
        <v>1.2900000000000063</v>
      </c>
      <c r="R256" s="149">
        <v>8.64</v>
      </c>
      <c r="S256" s="149">
        <v>4.2586031980094887</v>
      </c>
      <c r="T256" s="149">
        <v>1.0335539409066923</v>
      </c>
      <c r="U256" s="149">
        <v>4.91</v>
      </c>
      <c r="V256" s="149">
        <v>3.1340232867882492</v>
      </c>
      <c r="W256" s="149">
        <v>1.0009425649482986</v>
      </c>
      <c r="X256" s="149">
        <v>1.9953959951343907</v>
      </c>
      <c r="Y256" s="149">
        <v>1.8386214451069391</v>
      </c>
      <c r="Z256" s="149">
        <v>2.4700000000000002</v>
      </c>
      <c r="AA256" s="149">
        <v>1.4790529877882503</v>
      </c>
      <c r="AB256" s="149"/>
      <c r="AC256" s="149"/>
      <c r="AD256" s="149"/>
      <c r="AE256" s="149">
        <v>6.2</v>
      </c>
      <c r="AF256" s="149">
        <v>4.0999999999999996</v>
      </c>
      <c r="AG256" s="149">
        <v>1.6993900145393086</v>
      </c>
      <c r="AH256" s="149">
        <v>0.46963743961840548</v>
      </c>
      <c r="AI256" s="167"/>
      <c r="AK256" s="145"/>
      <c r="AL256" s="145"/>
    </row>
    <row r="257" spans="1:38">
      <c r="A257" s="141" t="s">
        <v>603</v>
      </c>
      <c r="B257" s="145"/>
      <c r="C257" s="168">
        <v>2.0142078014288218</v>
      </c>
      <c r="D257" s="145">
        <v>16</v>
      </c>
      <c r="E257" s="145"/>
      <c r="F257" s="145"/>
      <c r="G257" s="168">
        <v>1.53</v>
      </c>
      <c r="H257" s="174">
        <v>2.82</v>
      </c>
      <c r="I257" s="145">
        <v>1</v>
      </c>
      <c r="J257" s="167">
        <v>3.0461061143570882</v>
      </c>
      <c r="K257" s="167">
        <v>1.5965090057147593</v>
      </c>
      <c r="L257" s="145"/>
      <c r="M257" s="145"/>
      <c r="N257" s="145">
        <v>4.4995205560057077</v>
      </c>
      <c r="O257" s="145">
        <v>2.4385131284207566</v>
      </c>
      <c r="P257" s="145"/>
      <c r="Q257" s="145">
        <v>1.3499999999999943</v>
      </c>
      <c r="R257" s="145"/>
      <c r="S257" s="145"/>
      <c r="T257" s="145">
        <v>1.1564677274963362</v>
      </c>
      <c r="U257" s="145"/>
      <c r="V257" s="145">
        <v>3.1304786393803776</v>
      </c>
      <c r="W257" s="145">
        <v>0.97177679470405631</v>
      </c>
      <c r="X257" s="145">
        <v>2.0998480179428394</v>
      </c>
      <c r="Y257" s="145">
        <v>1.8953909933914004</v>
      </c>
      <c r="Z257" s="145">
        <v>2.58</v>
      </c>
      <c r="AA257" s="145">
        <v>1.6842363249427581</v>
      </c>
      <c r="AB257" s="145"/>
      <c r="AC257" s="145"/>
      <c r="AD257" s="145"/>
      <c r="AE257" s="145"/>
      <c r="AF257" s="145"/>
      <c r="AG257" s="145">
        <v>1.9054857113217225</v>
      </c>
      <c r="AH257" s="145">
        <v>0.50278357649801131</v>
      </c>
      <c r="AI257" s="167"/>
      <c r="AK257" s="145"/>
      <c r="AL257" s="145"/>
    </row>
    <row r="258" spans="1:38">
      <c r="A258" s="141" t="s">
        <v>604</v>
      </c>
      <c r="B258" s="145"/>
      <c r="C258" s="168">
        <v>1.9997714968243789</v>
      </c>
      <c r="D258" s="145">
        <v>15.9</v>
      </c>
      <c r="E258" s="145"/>
      <c r="F258" s="145"/>
      <c r="G258" s="168">
        <v>1.67</v>
      </c>
      <c r="H258" s="174">
        <v>2.85</v>
      </c>
      <c r="I258" s="145">
        <v>1.03</v>
      </c>
      <c r="J258" s="167">
        <v>3.0520154968346169</v>
      </c>
      <c r="K258" s="167">
        <v>1.5823082994860693</v>
      </c>
      <c r="L258" s="145"/>
      <c r="M258" s="145"/>
      <c r="N258" s="145">
        <v>4.71271552992821</v>
      </c>
      <c r="O258" s="145">
        <v>2.3889438694124601</v>
      </c>
      <c r="P258" s="145"/>
      <c r="Q258" s="145">
        <v>1.3400000000000034</v>
      </c>
      <c r="R258" s="145"/>
      <c r="S258" s="145"/>
      <c r="T258" s="145">
        <v>1.0197137784170534</v>
      </c>
      <c r="U258" s="145"/>
      <c r="V258" s="145">
        <v>3.1544892160815601</v>
      </c>
      <c r="W258" s="145">
        <v>0.92240219605573026</v>
      </c>
      <c r="X258" s="145">
        <v>2.0683758756874551</v>
      </c>
      <c r="Y258" s="145">
        <v>2.047498209221053</v>
      </c>
      <c r="Z258" s="145">
        <v>2.58</v>
      </c>
      <c r="AA258" s="145">
        <v>1.6331266013770169</v>
      </c>
      <c r="AB258" s="145"/>
      <c r="AC258" s="145"/>
      <c r="AD258" s="145"/>
      <c r="AE258" s="145"/>
      <c r="AF258" s="145"/>
      <c r="AG258" s="145">
        <v>1.948469228661345</v>
      </c>
      <c r="AH258" s="145">
        <v>0.47934293727066896</v>
      </c>
      <c r="AI258" s="167"/>
      <c r="AK258" s="145"/>
      <c r="AL258" s="145"/>
    </row>
    <row r="259" spans="1:38">
      <c r="A259" s="141" t="s">
        <v>605</v>
      </c>
      <c r="B259" s="145"/>
      <c r="C259" s="168">
        <v>1.9920656957845599</v>
      </c>
      <c r="D259" s="145">
        <v>15.7</v>
      </c>
      <c r="E259" s="145">
        <v>11.4</v>
      </c>
      <c r="F259" s="145"/>
      <c r="G259" s="168">
        <v>1.71</v>
      </c>
      <c r="H259" s="174">
        <v>2.83</v>
      </c>
      <c r="I259" s="145">
        <v>0.97</v>
      </c>
      <c r="J259" s="167">
        <v>3.015142291948675</v>
      </c>
      <c r="K259" s="167">
        <v>1.6125775339217878</v>
      </c>
      <c r="L259" s="145"/>
      <c r="M259" s="145"/>
      <c r="N259" s="145">
        <v>4.5469928185932398</v>
      </c>
      <c r="O259" s="145">
        <v>2.4121209730087112</v>
      </c>
      <c r="P259" s="145"/>
      <c r="Q259" s="145">
        <v>1.3499999999999943</v>
      </c>
      <c r="R259" s="145">
        <v>9.7100000000000009</v>
      </c>
      <c r="S259" s="145">
        <v>4.3967000047939298</v>
      </c>
      <c r="T259" s="145">
        <v>1.1215840229366916</v>
      </c>
      <c r="U259" s="145">
        <v>4.9152058948977002</v>
      </c>
      <c r="V259" s="145">
        <v>3.0387872876500457</v>
      </c>
      <c r="W259" s="145">
        <v>0.90646033237153034</v>
      </c>
      <c r="X259" s="145">
        <v>1.8280397198253207</v>
      </c>
      <c r="Y259" s="145">
        <v>2.0422563783730272</v>
      </c>
      <c r="Z259" s="145">
        <v>2.54</v>
      </c>
      <c r="AA259" s="145">
        <v>1.5275563636543599</v>
      </c>
      <c r="AB259" s="145"/>
      <c r="AC259" s="145"/>
      <c r="AD259" s="145"/>
      <c r="AE259" s="145"/>
      <c r="AF259" s="145">
        <v>4.0999999999999996</v>
      </c>
      <c r="AG259" s="145">
        <v>2.0219177081396982</v>
      </c>
      <c r="AH259" s="145">
        <v>0.44496066154594699</v>
      </c>
      <c r="AI259" s="167"/>
      <c r="AK259" s="145"/>
      <c r="AL259" s="145"/>
    </row>
    <row r="260" spans="1:38">
      <c r="A260" s="141" t="s">
        <v>606</v>
      </c>
      <c r="B260" s="145"/>
      <c r="C260" s="168">
        <v>2.0578167779976102</v>
      </c>
      <c r="D260" s="145">
        <v>15.5</v>
      </c>
      <c r="E260" s="145"/>
      <c r="F260" s="145"/>
      <c r="G260" s="168">
        <v>1.67</v>
      </c>
      <c r="H260" s="174">
        <v>2.96</v>
      </c>
      <c r="I260" s="145">
        <v>0.96</v>
      </c>
      <c r="J260" s="167">
        <v>3.084322800837509</v>
      </c>
      <c r="K260" s="167">
        <v>1.6758398910824737</v>
      </c>
      <c r="L260" s="145"/>
      <c r="M260" s="145"/>
      <c r="N260" s="145">
        <v>4.5454261393423323</v>
      </c>
      <c r="O260" s="145">
        <v>2.3986503214265289</v>
      </c>
      <c r="P260" s="145"/>
      <c r="Q260" s="145">
        <v>1.3599999999999994</v>
      </c>
      <c r="R260" s="145"/>
      <c r="S260" s="145"/>
      <c r="T260" s="145">
        <v>1.229877059036333</v>
      </c>
      <c r="U260" s="145">
        <v>4.83</v>
      </c>
      <c r="V260" s="145">
        <v>3.0514790358816435</v>
      </c>
      <c r="W260" s="145">
        <v>0.87729487229803571</v>
      </c>
      <c r="X260" s="145">
        <v>1.861798685757587</v>
      </c>
      <c r="Y260" s="145">
        <v>2.0576799904987122</v>
      </c>
      <c r="Z260" s="145">
        <v>2.6</v>
      </c>
      <c r="AA260" s="145">
        <v>1.5404975380195429</v>
      </c>
      <c r="AB260" s="145"/>
      <c r="AC260" s="145"/>
      <c r="AD260" s="145"/>
      <c r="AE260" s="145"/>
      <c r="AF260" s="145"/>
      <c r="AG260" s="145">
        <v>2.0392850376687792</v>
      </c>
      <c r="AH260" s="145">
        <v>0.45340615684579949</v>
      </c>
      <c r="AI260" s="167"/>
      <c r="AK260" s="145"/>
      <c r="AL260" s="145"/>
    </row>
    <row r="261" spans="1:38">
      <c r="A261" s="141" t="s">
        <v>607</v>
      </c>
      <c r="B261" s="145"/>
      <c r="C261" s="168">
        <v>2.0333922747044828</v>
      </c>
      <c r="D261" s="145">
        <v>15.8</v>
      </c>
      <c r="E261" s="145"/>
      <c r="F261" s="145"/>
      <c r="G261" s="168">
        <v>1.65</v>
      </c>
      <c r="H261" s="174">
        <v>3.02</v>
      </c>
      <c r="I261" s="145">
        <v>0.94</v>
      </c>
      <c r="J261" s="167">
        <v>3.07228129813091</v>
      </c>
      <c r="K261" s="167">
        <v>1.6946948982460446</v>
      </c>
      <c r="L261" s="145"/>
      <c r="M261" s="145"/>
      <c r="N261" s="145">
        <v>4.6087534532121852</v>
      </c>
      <c r="O261" s="145">
        <v>2.4399796984083033</v>
      </c>
      <c r="P261" s="145"/>
      <c r="Q261" s="145">
        <v>1.4300000000000068</v>
      </c>
      <c r="R261" s="145"/>
      <c r="S261" s="145"/>
      <c r="T261" s="145">
        <v>1.2037746129278342</v>
      </c>
      <c r="U261" s="145">
        <v>4.6900000000000004</v>
      </c>
      <c r="V261" s="145">
        <v>3.0552134941223681</v>
      </c>
      <c r="W261" s="145">
        <v>0.92214377135643022</v>
      </c>
      <c r="X261" s="145">
        <v>1.9193934370401835</v>
      </c>
      <c r="Y261" s="145">
        <v>2.1972992972557925</v>
      </c>
      <c r="Z261" s="145">
        <v>2.67</v>
      </c>
      <c r="AA261" s="145">
        <v>1.649765306522168</v>
      </c>
      <c r="AB261" s="145"/>
      <c r="AC261" s="145"/>
      <c r="AD261" s="145"/>
      <c r="AE261" s="145"/>
      <c r="AF261" s="145"/>
      <c r="AG261" s="145">
        <v>2.112079752530009</v>
      </c>
      <c r="AH261" s="145">
        <v>0.44252730084672143</v>
      </c>
      <c r="AI261" s="167"/>
      <c r="AK261" s="145"/>
      <c r="AL261" s="145"/>
    </row>
    <row r="262" spans="1:38">
      <c r="A262" s="141" t="s">
        <v>608</v>
      </c>
      <c r="C262" s="168">
        <v>1.9466594385695972</v>
      </c>
      <c r="D262" s="139">
        <v>15.3</v>
      </c>
      <c r="E262" s="139">
        <v>11</v>
      </c>
      <c r="G262" s="168">
        <v>1.57</v>
      </c>
      <c r="H262" s="145">
        <v>2.92</v>
      </c>
      <c r="I262" s="145">
        <v>0.93564098068347634</v>
      </c>
      <c r="J262" s="167">
        <v>3.0842501170085002</v>
      </c>
      <c r="K262" s="167">
        <v>1.63</v>
      </c>
      <c r="N262" s="145">
        <v>4.5150568053558517</v>
      </c>
      <c r="O262" s="145">
        <v>2.4511006236001003</v>
      </c>
      <c r="Q262" s="145">
        <v>1.45</v>
      </c>
      <c r="R262" s="145">
        <v>9.4700000000000006</v>
      </c>
      <c r="S262" s="145">
        <v>4.0235188423243402</v>
      </c>
      <c r="T262" s="145">
        <v>1.1612902781838219</v>
      </c>
      <c r="U262" s="145">
        <v>4.36740825153454</v>
      </c>
      <c r="V262" s="145">
        <v>3.0385586025239411</v>
      </c>
      <c r="W262" s="145">
        <v>0.91634754784147943</v>
      </c>
      <c r="X262" s="145">
        <v>1.8227069777136695</v>
      </c>
      <c r="Y262" s="145">
        <v>2.44302697580309</v>
      </c>
      <c r="Z262" s="145">
        <v>2.69</v>
      </c>
      <c r="AA262" s="145">
        <v>1.6211866869767455</v>
      </c>
      <c r="AE262" s="139">
        <v>7.7</v>
      </c>
      <c r="AF262" s="145">
        <v>4</v>
      </c>
      <c r="AG262" s="145">
        <v>2.0961918446284984</v>
      </c>
      <c r="AH262" s="145">
        <v>0.42511200981806213</v>
      </c>
    </row>
    <row r="263" spans="1:38">
      <c r="A263" s="141" t="s">
        <v>609</v>
      </c>
      <c r="C263" s="168">
        <v>1.8882891785956708</v>
      </c>
      <c r="D263" s="154">
        <v>15.2</v>
      </c>
      <c r="G263" s="168">
        <v>1.64</v>
      </c>
      <c r="H263" s="145">
        <v>3.04</v>
      </c>
      <c r="I263" s="145">
        <v>0.91934689064057795</v>
      </c>
      <c r="J263" s="167">
        <v>3.0174225175629199</v>
      </c>
      <c r="K263" s="167">
        <v>1.61</v>
      </c>
      <c r="N263" s="145">
        <v>4.5498705544714246</v>
      </c>
      <c r="O263" s="145">
        <v>2.4705088358353091</v>
      </c>
      <c r="Q263" s="145">
        <v>1.44</v>
      </c>
      <c r="R263" s="145"/>
      <c r="S263" s="145"/>
      <c r="T263" s="145">
        <v>1.1992801452715447</v>
      </c>
      <c r="U263" s="145"/>
      <c r="V263" s="145">
        <v>2.946674776185616</v>
      </c>
      <c r="W263" s="145">
        <v>0.91737980503995364</v>
      </c>
      <c r="X263" s="145">
        <v>1.8681320265637342</v>
      </c>
      <c r="Y263" s="145">
        <v>2.57980657248102</v>
      </c>
      <c r="Z263" s="145">
        <v>2.73</v>
      </c>
      <c r="AA263" s="145">
        <v>1.6392409941640342</v>
      </c>
      <c r="AF263" s="145"/>
      <c r="AG263" s="145">
        <v>2.0741048011419645</v>
      </c>
      <c r="AH263" s="145">
        <v>0.43072173306986355</v>
      </c>
    </row>
    <row r="264" spans="1:38">
      <c r="A264" s="141" t="s">
        <v>610</v>
      </c>
      <c r="C264" s="168">
        <v>1.8347309160729193</v>
      </c>
      <c r="D264" s="154">
        <v>15</v>
      </c>
      <c r="G264" s="168">
        <v>1.65</v>
      </c>
      <c r="H264" s="145">
        <v>3.12</v>
      </c>
      <c r="I264" s="145">
        <v>0.92068500976994005</v>
      </c>
      <c r="J264" s="167">
        <v>3.0304027586135298</v>
      </c>
      <c r="K264" s="167">
        <v>1.69</v>
      </c>
      <c r="N264" s="145">
        <v>4.6846736357553969</v>
      </c>
      <c r="O264" s="145">
        <v>2.504646598569213</v>
      </c>
      <c r="Q264" s="145">
        <v>1.43</v>
      </c>
      <c r="R264" s="145"/>
      <c r="S264" s="145"/>
      <c r="T264" s="145">
        <v>1.2529305071918175</v>
      </c>
      <c r="U264" s="145">
        <v>4.17</v>
      </c>
      <c r="V264" s="145">
        <v>2.9474880738566744</v>
      </c>
      <c r="W264" s="145">
        <v>0.93703426262238498</v>
      </c>
      <c r="X264" s="145">
        <v>1.9147284862426441</v>
      </c>
      <c r="Y264" s="145">
        <v>2.7481196062061102</v>
      </c>
      <c r="Z264" s="145">
        <v>2.7</v>
      </c>
      <c r="AA264" s="145">
        <v>1.7245587452404672</v>
      </c>
      <c r="AF264" s="145"/>
      <c r="AG264" s="145">
        <v>2.2306569912252745</v>
      </c>
      <c r="AH264" s="145">
        <v>0.39545546812885835</v>
      </c>
    </row>
    <row r="265" spans="1:38">
      <c r="A265" s="141" t="s">
        <v>611</v>
      </c>
      <c r="C265" s="168">
        <v>1.7653616922154329</v>
      </c>
      <c r="D265" s="154">
        <v>14.8</v>
      </c>
      <c r="E265" s="139">
        <v>10.8</v>
      </c>
      <c r="G265" s="168">
        <v>1.64</v>
      </c>
      <c r="H265" s="145">
        <v>3.12</v>
      </c>
      <c r="I265" s="145">
        <v>0.91263986277491926</v>
      </c>
      <c r="J265" s="167">
        <v>3.0128671525421602</v>
      </c>
      <c r="K265" s="167">
        <v>1.7</v>
      </c>
      <c r="N265" s="145">
        <v>4.7556227024722473</v>
      </c>
      <c r="O265" s="145">
        <v>2.5146185725217705</v>
      </c>
      <c r="Q265" s="145">
        <v>1.43</v>
      </c>
      <c r="R265" s="145">
        <v>10.75</v>
      </c>
      <c r="S265" s="145">
        <v>3.92716035276485</v>
      </c>
      <c r="T265" s="145">
        <v>1.2546550472990654</v>
      </c>
      <c r="U265" s="145">
        <v>4.07</v>
      </c>
      <c r="V265" s="145">
        <v>2.857682750460727</v>
      </c>
      <c r="W265" s="145">
        <v>0.91346700908909806</v>
      </c>
      <c r="X265" s="145">
        <v>1.9353899491113862</v>
      </c>
      <c r="Y265" s="145">
        <v>2.46757800888573</v>
      </c>
      <c r="Z265" s="145">
        <v>2.58</v>
      </c>
      <c r="AA265" s="145">
        <v>1.6984333956873856</v>
      </c>
      <c r="AF265" s="145">
        <v>3.5</v>
      </c>
      <c r="AG265" s="145">
        <v>2.1914392434035306</v>
      </c>
      <c r="AH265" s="145">
        <v>0.36301447180791818</v>
      </c>
    </row>
    <row r="266" spans="1:38">
      <c r="A266" s="141" t="s">
        <v>612</v>
      </c>
      <c r="C266" s="168">
        <v>1.6863372210722938</v>
      </c>
      <c r="D266" s="154">
        <v>15</v>
      </c>
      <c r="G266" s="168">
        <v>1.65</v>
      </c>
      <c r="H266" s="145">
        <v>3.24</v>
      </c>
      <c r="I266" s="145">
        <v>0.88113492902468626</v>
      </c>
      <c r="J266" s="167">
        <v>2.97613960869481</v>
      </c>
      <c r="K266" s="167">
        <v>1.69</v>
      </c>
      <c r="N266" s="145">
        <v>5.0660456583600437</v>
      </c>
      <c r="O266" s="145">
        <v>2.5155483239371206</v>
      </c>
      <c r="Q266" s="145">
        <v>1.4500000000000002</v>
      </c>
      <c r="R266" s="145"/>
      <c r="S266" s="145"/>
      <c r="T266" s="145">
        <v>1.119064111333131</v>
      </c>
      <c r="U266" s="145"/>
      <c r="V266" s="145">
        <v>2.8472752074006618</v>
      </c>
      <c r="W266" s="145">
        <v>0.94316640559311105</v>
      </c>
      <c r="X266" s="145">
        <v>2.0474689285291672</v>
      </c>
      <c r="Y266" s="145">
        <v>2.72387228138835</v>
      </c>
      <c r="Z266" s="145">
        <v>2.65</v>
      </c>
      <c r="AA266" s="145">
        <v>1.7222805738729121</v>
      </c>
      <c r="AF266" s="145"/>
      <c r="AG266" s="145">
        <v>2.167280607366719</v>
      </c>
      <c r="AH266" s="145">
        <v>0.37324812791836626</v>
      </c>
    </row>
    <row r="267" spans="1:38">
      <c r="A267" s="141" t="s">
        <v>613</v>
      </c>
      <c r="C267" s="168">
        <v>1.7289316831035124</v>
      </c>
      <c r="D267" s="154">
        <v>14.8</v>
      </c>
      <c r="G267" s="168">
        <v>1.66</v>
      </c>
      <c r="H267" s="145">
        <v>3.38</v>
      </c>
      <c r="I267" s="145">
        <v>0.85920606245836406</v>
      </c>
      <c r="J267" s="167">
        <v>3.0482792469208602</v>
      </c>
      <c r="K267" s="167">
        <v>1.7</v>
      </c>
      <c r="N267" s="145">
        <v>5.4094376824287309</v>
      </c>
      <c r="O267" s="145">
        <v>2.444246768105395</v>
      </c>
      <c r="Q267" s="145">
        <v>1.5</v>
      </c>
      <c r="R267" s="145"/>
      <c r="S267" s="145"/>
      <c r="T267" s="145">
        <v>1.1075409270176229</v>
      </c>
      <c r="U267" s="145"/>
      <c r="V267" s="145">
        <v>2.8030460823868548</v>
      </c>
      <c r="W267" s="145">
        <v>0.95279564770667702</v>
      </c>
      <c r="X267" s="145">
        <v>2.2112997868832083</v>
      </c>
      <c r="Y267" s="145">
        <v>2.7365404173873902</v>
      </c>
      <c r="Z267" s="145">
        <v>2.62</v>
      </c>
      <c r="AA267" s="145">
        <v>1.8277060627581161</v>
      </c>
      <c r="AF267" s="145"/>
      <c r="AG267" s="145">
        <v>2.317588573286264</v>
      </c>
      <c r="AH267" s="145">
        <v>0.34995427197064211</v>
      </c>
    </row>
    <row r="268" spans="1:38">
      <c r="A268" s="148" t="s">
        <v>614</v>
      </c>
      <c r="B268" s="149"/>
      <c r="C268" s="170">
        <v>1.7356953064147504</v>
      </c>
      <c r="D268" s="171">
        <v>14.8</v>
      </c>
      <c r="E268" s="149">
        <v>10.6</v>
      </c>
      <c r="F268" s="149">
        <v>6.7</v>
      </c>
      <c r="G268" s="170">
        <v>1.47</v>
      </c>
      <c r="H268" s="176">
        <v>3.38</v>
      </c>
      <c r="I268" s="149">
        <v>0.85567933966672194</v>
      </c>
      <c r="J268" s="177">
        <v>2.8631361542982599</v>
      </c>
      <c r="K268" s="177">
        <v>1.68</v>
      </c>
      <c r="L268" s="173"/>
      <c r="M268" s="149"/>
      <c r="N268" s="149">
        <v>4.6258406112938166</v>
      </c>
      <c r="O268" s="149">
        <v>2.3757563180332508</v>
      </c>
      <c r="P268" s="149"/>
      <c r="Q268" s="149">
        <v>1.35</v>
      </c>
      <c r="R268" s="149">
        <v>11.51</v>
      </c>
      <c r="S268" s="149">
        <v>4.83452249076909</v>
      </c>
      <c r="T268" s="149">
        <v>1.0046610559735611</v>
      </c>
      <c r="U268" s="149">
        <v>4.0649424968187899</v>
      </c>
      <c r="V268" s="149">
        <v>2.6044102243797393</v>
      </c>
      <c r="W268" s="149">
        <v>0.89704922643753293</v>
      </c>
      <c r="X268" s="149">
        <v>1.9724078629894244</v>
      </c>
      <c r="Y268" s="149">
        <v>2.4703816468449999</v>
      </c>
      <c r="Z268" s="149">
        <v>2.54</v>
      </c>
      <c r="AA268" s="149">
        <v>1.6838413342403615</v>
      </c>
      <c r="AB268" s="149"/>
      <c r="AC268" s="149"/>
      <c r="AD268" s="149"/>
      <c r="AE268" s="149"/>
      <c r="AF268" s="149">
        <v>3.4</v>
      </c>
      <c r="AG268" s="149">
        <v>2.1209016678246195</v>
      </c>
      <c r="AH268" s="149">
        <v>0.28381093220924608</v>
      </c>
      <c r="AI268" s="167"/>
      <c r="AK268" s="145"/>
      <c r="AL268" s="145"/>
    </row>
    <row r="269" spans="1:38">
      <c r="A269" s="141" t="s">
        <v>615</v>
      </c>
      <c r="C269" s="168">
        <v>1.7792129837307131</v>
      </c>
      <c r="D269" s="154">
        <v>15</v>
      </c>
      <c r="G269" s="168">
        <v>1.59</v>
      </c>
      <c r="H269" s="145">
        <v>3.47</v>
      </c>
      <c r="I269" s="145">
        <v>0.85492655983013743</v>
      </c>
      <c r="J269" s="167">
        <v>2.9495251515249299</v>
      </c>
      <c r="K269" s="167">
        <v>1.76</v>
      </c>
      <c r="N269" s="145">
        <v>5.5926169250061024</v>
      </c>
      <c r="O269" s="145">
        <v>2.3460209380138775</v>
      </c>
      <c r="Q269" s="145">
        <v>1.44</v>
      </c>
      <c r="R269" s="145"/>
      <c r="S269" s="145"/>
      <c r="T269" s="145">
        <v>0.98138229740816374</v>
      </c>
      <c r="U269" s="145"/>
      <c r="V269" s="145">
        <v>2.6010083011158689</v>
      </c>
      <c r="W269" s="145">
        <v>0.90746264149275868</v>
      </c>
      <c r="X269" s="145">
        <v>2.093147906552483</v>
      </c>
      <c r="Y269" s="145">
        <v>2.8062967044746401</v>
      </c>
      <c r="Z269" s="145">
        <v>2.64</v>
      </c>
      <c r="AA269" s="145">
        <v>1.8688928383531862</v>
      </c>
      <c r="AF269" s="145"/>
      <c r="AG269" s="145">
        <v>2.1547693814579429</v>
      </c>
      <c r="AH269" s="145">
        <v>0.30906151735339232</v>
      </c>
    </row>
    <row r="270" spans="1:38">
      <c r="A270" s="141" t="s">
        <v>616</v>
      </c>
      <c r="C270" s="168">
        <v>1.8079542054145123</v>
      </c>
      <c r="D270" s="154">
        <v>15.2</v>
      </c>
      <c r="G270" s="168">
        <v>1.75</v>
      </c>
      <c r="H270" s="145">
        <v>3.52</v>
      </c>
      <c r="I270" s="145">
        <v>0.84979236268695868</v>
      </c>
      <c r="J270" s="167">
        <v>3.0481769567354999</v>
      </c>
      <c r="K270" s="167">
        <v>1.72</v>
      </c>
      <c r="N270" s="145">
        <v>5.9719813162417701</v>
      </c>
      <c r="O270" s="145">
        <v>2.3597564227084904</v>
      </c>
      <c r="Q270" s="145">
        <v>1.48</v>
      </c>
      <c r="R270" s="145"/>
      <c r="S270" s="145"/>
      <c r="T270" s="145">
        <v>1.0695254295733676</v>
      </c>
      <c r="U270" s="145">
        <v>4.0199999999999996</v>
      </c>
      <c r="V270" s="145">
        <v>2.6002778446072918</v>
      </c>
      <c r="W270" s="145">
        <v>0.89030938852805708</v>
      </c>
      <c r="X270" s="145">
        <v>2.2679038191754195</v>
      </c>
      <c r="Y270" s="145">
        <v>2.8639154338260502</v>
      </c>
      <c r="Z270" s="145">
        <v>2.71</v>
      </c>
      <c r="AA270" s="145">
        <v>1.8886628187457364</v>
      </c>
      <c r="AF270" s="145"/>
      <c r="AG270" s="145">
        <v>2.5058084185309459</v>
      </c>
      <c r="AH270" s="145">
        <v>0.2863500778130238</v>
      </c>
    </row>
    <row r="271" spans="1:38">
      <c r="A271" s="141" t="s">
        <v>617</v>
      </c>
      <c r="C271" s="168">
        <v>1.8119950171650621</v>
      </c>
      <c r="D271" s="154">
        <v>15.1</v>
      </c>
      <c r="E271" s="139">
        <v>10.039999999999999</v>
      </c>
      <c r="G271" s="168">
        <v>1.69</v>
      </c>
      <c r="H271" s="145">
        <v>3.54</v>
      </c>
      <c r="I271" s="145">
        <v>0.8643526246173896</v>
      </c>
      <c r="J271" s="167">
        <v>3.1146628995238101</v>
      </c>
      <c r="K271" s="167">
        <v>1.69</v>
      </c>
      <c r="N271" s="145">
        <v>5.8644926077041895</v>
      </c>
      <c r="O271" s="145">
        <v>2.3638283034492242</v>
      </c>
      <c r="Q271" s="145">
        <v>1.47</v>
      </c>
      <c r="R271" s="145">
        <v>11.71</v>
      </c>
      <c r="S271" s="145">
        <v>4.5608759625027204</v>
      </c>
      <c r="T271" s="145">
        <v>1.1852257159220514</v>
      </c>
      <c r="U271" s="145">
        <v>3.9786101306765</v>
      </c>
      <c r="V271" s="145">
        <v>2.5601783750990692</v>
      </c>
      <c r="W271" s="145">
        <v>0.90420223853792003</v>
      </c>
      <c r="X271" s="145">
        <v>2.4152676931368879</v>
      </c>
      <c r="Y271" s="145">
        <v>2.7914992726949599</v>
      </c>
      <c r="Z271" s="145">
        <v>2.7</v>
      </c>
      <c r="AA271" s="145">
        <v>1.7191053830682952</v>
      </c>
      <c r="AF271" s="145">
        <v>3.4</v>
      </c>
      <c r="AG271" s="145">
        <v>2.6137879741656045</v>
      </c>
      <c r="AH271" s="145">
        <v>0.29100108578280387</v>
      </c>
    </row>
    <row r="272" spans="1:38">
      <c r="A272" s="141" t="s">
        <v>618</v>
      </c>
      <c r="C272" s="168">
        <v>1.8561148774049112</v>
      </c>
      <c r="D272" s="154">
        <v>14.6</v>
      </c>
      <c r="H272" s="145">
        <v>3.67</v>
      </c>
      <c r="I272" s="145">
        <v>0.84874392376178986</v>
      </c>
      <c r="J272" s="167">
        <v>3.1521043668265301</v>
      </c>
      <c r="K272" s="167">
        <v>1.58</v>
      </c>
      <c r="N272" s="145">
        <v>6.0980554737953119</v>
      </c>
      <c r="O272" s="145">
        <v>2.3583162656740062</v>
      </c>
      <c r="Q272" s="145">
        <v>1.52</v>
      </c>
      <c r="R272" s="145"/>
      <c r="S272" s="145"/>
      <c r="T272" s="145">
        <v>1.2799355375849255</v>
      </c>
      <c r="U272" s="145">
        <v>3.92</v>
      </c>
      <c r="V272" s="145">
        <v>2.5299999999999998</v>
      </c>
      <c r="W272" s="145">
        <v>0.90844682550974332</v>
      </c>
      <c r="X272" s="145">
        <v>2.3827473625984998</v>
      </c>
      <c r="Y272" s="145">
        <v>2.8354917394589001</v>
      </c>
      <c r="Z272" s="145">
        <v>2.77</v>
      </c>
      <c r="AA272" s="145">
        <v>1.7256839765615797</v>
      </c>
      <c r="AF272" s="145"/>
      <c r="AG272" s="145">
        <v>2.7081316963437181</v>
      </c>
      <c r="AH272" s="145">
        <v>0.29691181684119461</v>
      </c>
    </row>
    <row r="273" spans="1:34">
      <c r="A273" s="141" t="s">
        <v>619</v>
      </c>
      <c r="C273" s="168">
        <v>1.8814607328195496</v>
      </c>
      <c r="D273" s="139">
        <v>14.2</v>
      </c>
      <c r="H273" s="145">
        <v>3.76</v>
      </c>
      <c r="I273" s="145">
        <v>0.80083794406863607</v>
      </c>
      <c r="J273" s="167">
        <v>3.16041457828968</v>
      </c>
      <c r="K273" s="167">
        <v>1.62</v>
      </c>
      <c r="N273" s="145">
        <v>6.1253505816345442</v>
      </c>
      <c r="O273" s="145">
        <v>2.3630858929383209</v>
      </c>
      <c r="Q273" s="145">
        <v>1.61</v>
      </c>
      <c r="R273" s="145"/>
      <c r="S273" s="145"/>
      <c r="T273" s="145"/>
      <c r="U273" s="145"/>
      <c r="V273" s="145"/>
      <c r="W273" s="145">
        <v>0.96914638276710885</v>
      </c>
      <c r="X273" s="145">
        <v>2.2853060842198003</v>
      </c>
      <c r="Y273" s="145">
        <v>3.0642644311875</v>
      </c>
      <c r="Z273" s="145">
        <v>2.86</v>
      </c>
      <c r="AA273" s="145">
        <v>1.8406088023566591</v>
      </c>
      <c r="AF273" s="145"/>
      <c r="AG273" s="145">
        <v>3.0830669213401434</v>
      </c>
      <c r="AH273" s="145">
        <v>0.30248080421903417</v>
      </c>
    </row>
    <row r="274" spans="1:34">
      <c r="A274" s="141" t="s">
        <v>620</v>
      </c>
      <c r="J274" s="167"/>
      <c r="K274" s="167">
        <v>1.65</v>
      </c>
      <c r="O274" s="145">
        <v>2.1805681224044191</v>
      </c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  <c r="AA274" s="145">
        <v>1.7199102979521614</v>
      </c>
    </row>
    <row r="275" spans="1:34">
      <c r="A275" s="141" t="s">
        <v>621</v>
      </c>
    </row>
    <row r="276" spans="1:34">
      <c r="A276" s="141" t="s">
        <v>622</v>
      </c>
    </row>
    <row r="277" spans="1:34">
      <c r="A277" s="141" t="s">
        <v>623</v>
      </c>
    </row>
    <row r="278" spans="1:34">
      <c r="A278" s="141" t="s">
        <v>624</v>
      </c>
    </row>
    <row r="279" spans="1:34">
      <c r="A279" s="141" t="s">
        <v>625</v>
      </c>
    </row>
    <row r="280" spans="1:34">
      <c r="A280" s="148" t="s">
        <v>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Z358"/>
  <sheetViews>
    <sheetView tabSelected="1" zoomScale="76" zoomScaleNormal="76" workbookViewId="0">
      <pane xSplit="1" ySplit="5" topLeftCell="B198" activePane="bottomRight" state="frozen"/>
      <selection pane="topRight" activeCell="B1" sqref="B1"/>
      <selection pane="bottomLeft" activeCell="A6" sqref="A6"/>
      <selection pane="bottomRight" activeCell="DC6" sqref="DC6"/>
    </sheetView>
  </sheetViews>
  <sheetFormatPr defaultRowHeight="15"/>
  <cols>
    <col min="1" max="1" width="19.7109375" style="217" customWidth="1"/>
    <col min="2" max="4" width="10.5703125" style="179" customWidth="1"/>
    <col min="5" max="5" width="11.5703125" style="179" customWidth="1"/>
    <col min="6" max="6" width="10.5703125" style="179" customWidth="1"/>
    <col min="7" max="7" width="12.7109375" style="179" customWidth="1"/>
    <col min="8" max="11" width="10.5703125" style="179" customWidth="1"/>
    <col min="12" max="12" width="11.5703125" style="179" customWidth="1"/>
    <col min="13" max="13" width="10.5703125" style="179" customWidth="1"/>
    <col min="14" max="14" width="13.140625" style="179" customWidth="1"/>
    <col min="15" max="18" width="10.5703125" style="179" customWidth="1"/>
    <col min="19" max="19" width="11.5703125" style="179" customWidth="1"/>
    <col min="20" max="20" width="10.5703125" style="179" customWidth="1"/>
    <col min="21" max="21" width="12.5703125" style="179" customWidth="1"/>
    <col min="22" max="25" width="10.5703125" style="179" customWidth="1"/>
    <col min="26" max="26" width="11.5703125" style="179" customWidth="1"/>
    <col min="27" max="27" width="10.5703125" style="179" customWidth="1"/>
    <col min="28" max="28" width="12.5703125" style="179" customWidth="1"/>
    <col min="29" max="32" width="10.5703125" style="179" customWidth="1"/>
    <col min="33" max="33" width="11.5703125" style="179" customWidth="1"/>
    <col min="34" max="34" width="10.5703125" style="179" customWidth="1"/>
    <col min="35" max="35" width="13.140625" style="179" customWidth="1"/>
    <col min="36" max="36" width="10.5703125" style="179" customWidth="1"/>
    <col min="37" max="39" width="10.7109375" style="179" customWidth="1"/>
    <col min="40" max="40" width="11.85546875" style="179" customWidth="1"/>
    <col min="41" max="41" width="10.7109375" style="179" customWidth="1"/>
    <col min="42" max="42" width="13" style="179" customWidth="1"/>
    <col min="43" max="43" width="10.7109375" style="179" customWidth="1"/>
    <col min="44" max="46" width="10.5703125" style="179" customWidth="1"/>
    <col min="47" max="47" width="12" style="179" customWidth="1"/>
    <col min="48" max="48" width="10.5703125" style="179" customWidth="1"/>
    <col min="49" max="49" width="12.5703125" style="179" customWidth="1"/>
    <col min="50" max="50" width="10.5703125" style="179" customWidth="1"/>
    <col min="51" max="51" width="12.28515625" style="179" customWidth="1"/>
    <col min="52" max="52" width="10.7109375" style="179" customWidth="1"/>
    <col min="53" max="53" width="11.28515625" style="179" customWidth="1"/>
    <col min="54" max="54" width="12.7109375" style="179" customWidth="1"/>
    <col min="55" max="55" width="11.28515625" style="179" customWidth="1"/>
    <col min="56" max="56" width="12.5703125" style="179" customWidth="1"/>
    <col min="57" max="57" width="10.7109375" style="179" customWidth="1"/>
    <col min="58" max="58" width="12.28515625" style="179" customWidth="1"/>
    <col min="59" max="59" width="10.7109375" style="179" customWidth="1"/>
    <col min="60" max="60" width="12.28515625" style="179" customWidth="1"/>
    <col min="61" max="61" width="11.85546875" style="179" customWidth="1"/>
    <col min="62" max="62" width="12.7109375" style="179" bestFit="1" customWidth="1"/>
    <col min="63" max="63" width="12.85546875" style="179" customWidth="1"/>
    <col min="64" max="64" width="10.7109375" style="179" customWidth="1"/>
    <col min="65" max="65" width="11.140625" style="179" customWidth="1"/>
    <col min="66" max="67" width="10.7109375" style="179" customWidth="1"/>
    <col min="68" max="68" width="11.85546875" style="179" customWidth="1"/>
    <col min="69" max="69" width="10.7109375" style="179" customWidth="1"/>
    <col min="70" max="70" width="13" style="179" customWidth="1"/>
    <col min="71" max="74" width="10.7109375" style="179" customWidth="1"/>
    <col min="75" max="75" width="11.85546875" style="179" customWidth="1"/>
    <col min="76" max="76" width="10.7109375" style="179" customWidth="1"/>
    <col min="77" max="77" width="12.85546875" style="179" customWidth="1"/>
    <col min="78" max="81" width="10.7109375" style="179" customWidth="1"/>
    <col min="82" max="82" width="12" style="179" customWidth="1"/>
    <col min="83" max="83" width="10.7109375" style="179" customWidth="1"/>
    <col min="84" max="84" width="13.140625" style="179" customWidth="1"/>
    <col min="85" max="85" width="10.7109375" style="179" customWidth="1"/>
    <col min="86" max="86" width="11.28515625" style="179" customWidth="1"/>
    <col min="87" max="87" width="10.7109375" style="179" customWidth="1"/>
    <col min="88" max="88" width="11.28515625" style="179" customWidth="1"/>
    <col min="89" max="89" width="13.28515625" style="179" customWidth="1"/>
    <col min="90" max="90" width="10.7109375" style="179" customWidth="1"/>
    <col min="91" max="91" width="13.140625" style="179" customWidth="1"/>
    <col min="92" max="95" width="10.7109375" style="179" customWidth="1"/>
    <col min="96" max="96" width="12.42578125" style="179" customWidth="1"/>
    <col min="97" max="97" width="10.7109375" style="179" customWidth="1"/>
    <col min="98" max="98" width="12.5703125" style="179" customWidth="1"/>
    <col min="99" max="102" width="10.7109375" style="179" customWidth="1"/>
    <col min="103" max="103" width="11.85546875" style="179" customWidth="1"/>
    <col min="104" max="104" width="10.7109375" style="179" customWidth="1"/>
    <col min="105" max="105" width="13" style="179" customWidth="1"/>
    <col min="106" max="109" width="10.7109375" style="179" customWidth="1"/>
    <col min="110" max="110" width="12.140625" style="179" customWidth="1"/>
    <col min="111" max="111" width="10.7109375" style="179" customWidth="1"/>
    <col min="112" max="112" width="12.85546875" style="179" customWidth="1"/>
    <col min="113" max="116" width="10.7109375" style="179" customWidth="1"/>
    <col min="117" max="117" width="12.140625" style="179" customWidth="1"/>
    <col min="118" max="118" width="10.7109375" style="179" customWidth="1"/>
    <col min="119" max="119" width="12.5703125" style="179" customWidth="1"/>
    <col min="120" max="123" width="10.7109375" style="179" customWidth="1"/>
    <col min="124" max="124" width="12.28515625" style="179" customWidth="1"/>
    <col min="125" max="125" width="10.7109375" style="179" customWidth="1"/>
    <col min="126" max="126" width="13.140625" style="179" customWidth="1"/>
    <col min="127" max="130" width="10.7109375" style="179" customWidth="1"/>
    <col min="131" max="131" width="12.42578125" style="179" customWidth="1"/>
    <col min="132" max="132" width="10.7109375" style="179" customWidth="1"/>
    <col min="133" max="133" width="13" style="179" customWidth="1"/>
    <col min="134" max="137" width="10.7109375" style="179" customWidth="1"/>
    <col min="138" max="138" width="11.7109375" style="179" customWidth="1"/>
    <col min="139" max="139" width="10.7109375" style="179" customWidth="1"/>
    <col min="140" max="140" width="12.5703125" style="179" customWidth="1"/>
    <col min="141" max="144" width="10.7109375" style="179" customWidth="1"/>
    <col min="145" max="145" width="11.85546875" style="179" customWidth="1"/>
    <col min="146" max="146" width="10.7109375" style="179" customWidth="1"/>
    <col min="147" max="147" width="13.140625" style="179" customWidth="1"/>
    <col min="148" max="151" width="10.7109375" style="179" customWidth="1"/>
    <col min="152" max="152" width="12.42578125" style="179" customWidth="1"/>
    <col min="153" max="153" width="10.7109375" style="179" customWidth="1"/>
    <col min="154" max="154" width="12.5703125" style="179" customWidth="1"/>
    <col min="155" max="158" width="10.7109375" style="179" customWidth="1"/>
    <col min="159" max="159" width="12.140625" style="179" customWidth="1"/>
    <col min="160" max="160" width="10.7109375" style="179" customWidth="1"/>
    <col min="161" max="161" width="13" style="179" customWidth="1"/>
    <col min="162" max="162" width="10.7109375" style="179" customWidth="1"/>
    <col min="163" max="163" width="11.140625" style="179" customWidth="1"/>
    <col min="164" max="164" width="10.7109375" style="179" customWidth="1"/>
    <col min="165" max="165" width="11.28515625" style="179" customWidth="1"/>
    <col min="166" max="166" width="11.85546875" style="179" customWidth="1"/>
    <col min="167" max="167" width="12.42578125" style="179" customWidth="1"/>
    <col min="168" max="168" width="12.85546875" style="179" customWidth="1"/>
    <col min="169" max="172" width="11.140625" style="179" customWidth="1"/>
    <col min="173" max="173" width="12.140625" style="179" customWidth="1"/>
    <col min="174" max="174" width="11.140625" style="179" customWidth="1"/>
    <col min="175" max="175" width="13" style="179" customWidth="1"/>
    <col min="176" max="179" width="11.140625" style="179" customWidth="1"/>
    <col min="180" max="180" width="12" style="179" customWidth="1"/>
    <col min="181" max="181" width="11.140625" style="179" customWidth="1"/>
    <col min="182" max="182" width="13" style="179" customWidth="1"/>
    <col min="183" max="186" width="11.140625" style="179" customWidth="1"/>
    <col min="187" max="187" width="11.5703125" style="179" customWidth="1"/>
    <col min="188" max="188" width="11.140625" style="179" customWidth="1"/>
    <col min="189" max="189" width="12.5703125" style="179" customWidth="1"/>
    <col min="190" max="193" width="11.140625" style="179" customWidth="1"/>
    <col min="194" max="194" width="11.5703125" style="179" customWidth="1"/>
    <col min="195" max="195" width="11.140625" style="179" customWidth="1"/>
    <col min="196" max="196" width="13.140625" style="179" customWidth="1"/>
    <col min="197" max="200" width="11.140625" style="179" customWidth="1"/>
    <col min="201" max="201" width="11.5703125" style="179" customWidth="1"/>
    <col min="202" max="202" width="11.140625" style="179" customWidth="1"/>
    <col min="203" max="203" width="12.5703125" style="179" customWidth="1"/>
    <col min="204" max="207" width="11.140625" style="179" customWidth="1"/>
    <col min="208" max="208" width="12.140625" style="179" customWidth="1"/>
    <col min="209" max="209" width="11.140625" style="179" customWidth="1"/>
    <col min="210" max="210" width="12.85546875" style="179" customWidth="1"/>
    <col min="211" max="214" width="11.140625" style="179" customWidth="1"/>
    <col min="215" max="215" width="12" style="179" customWidth="1"/>
    <col min="216" max="216" width="11.140625" style="179" customWidth="1"/>
    <col min="217" max="217" width="13.28515625" style="179" customWidth="1"/>
    <col min="218" max="221" width="11.140625" style="179" customWidth="1"/>
    <col min="222" max="222" width="12" style="179" customWidth="1"/>
    <col min="223" max="223" width="11.140625" style="179" customWidth="1"/>
    <col min="224" max="224" width="13.28515625" style="179" bestFit="1" customWidth="1"/>
    <col min="225" max="225" width="11.140625" style="179" customWidth="1"/>
    <col min="226" max="226" width="12" style="179" customWidth="1"/>
    <col min="227" max="227" width="11.28515625" style="179" customWidth="1"/>
    <col min="228" max="228" width="12" style="179" customWidth="1"/>
    <col min="229" max="229" width="11.85546875" style="179" customWidth="1"/>
    <col min="230" max="230" width="11.42578125" style="179" customWidth="1"/>
    <col min="231" max="231" width="13.140625" style="179" bestFit="1" customWidth="1"/>
    <col min="232" max="232" width="11.140625" style="179" bestFit="1" customWidth="1"/>
    <col min="233" max="16384" width="9.140625" style="179"/>
  </cols>
  <sheetData>
    <row r="1" spans="1:232">
      <c r="A1" s="178" t="s">
        <v>627</v>
      </c>
      <c r="C1" s="180"/>
      <c r="F1" s="181"/>
      <c r="G1" s="181"/>
      <c r="CV1" s="182"/>
    </row>
    <row r="2" spans="1:232">
      <c r="A2" s="183"/>
      <c r="E2" s="183"/>
      <c r="F2" s="181"/>
      <c r="G2" s="181"/>
      <c r="AI2" s="183"/>
      <c r="AJ2" s="184"/>
      <c r="AW2" s="183"/>
      <c r="AX2" s="184"/>
    </row>
    <row r="3" spans="1:232">
      <c r="A3" s="181"/>
      <c r="E3" s="183"/>
      <c r="F3" s="181"/>
      <c r="G3" s="181"/>
      <c r="L3" s="183"/>
      <c r="M3" s="181"/>
      <c r="N3" s="181"/>
    </row>
    <row r="4" spans="1:232" ht="15" customHeight="1">
      <c r="A4" s="185" t="s">
        <v>628</v>
      </c>
      <c r="B4" s="230" t="s">
        <v>1</v>
      </c>
      <c r="C4" s="231"/>
      <c r="D4" s="231"/>
      <c r="E4" s="231"/>
      <c r="F4" s="231"/>
      <c r="G4" s="231"/>
      <c r="H4" s="232"/>
      <c r="I4" s="230" t="s">
        <v>2</v>
      </c>
      <c r="J4" s="231"/>
      <c r="K4" s="231"/>
      <c r="L4" s="231"/>
      <c r="M4" s="231"/>
      <c r="N4" s="231"/>
      <c r="O4" s="232"/>
      <c r="P4" s="230" t="s">
        <v>3</v>
      </c>
      <c r="Q4" s="231"/>
      <c r="R4" s="231"/>
      <c r="S4" s="231"/>
      <c r="T4" s="231"/>
      <c r="U4" s="231"/>
      <c r="V4" s="232"/>
      <c r="W4" s="230" t="s">
        <v>4</v>
      </c>
      <c r="X4" s="231"/>
      <c r="Y4" s="231"/>
      <c r="Z4" s="231"/>
      <c r="AA4" s="231"/>
      <c r="AB4" s="231"/>
      <c r="AC4" s="232"/>
      <c r="AD4" s="230" t="s">
        <v>5</v>
      </c>
      <c r="AE4" s="231"/>
      <c r="AF4" s="231"/>
      <c r="AG4" s="231"/>
      <c r="AH4" s="231"/>
      <c r="AI4" s="231"/>
      <c r="AJ4" s="231"/>
      <c r="AK4" s="227" t="s">
        <v>629</v>
      </c>
      <c r="AL4" s="228"/>
      <c r="AM4" s="228"/>
      <c r="AN4" s="228"/>
      <c r="AO4" s="228"/>
      <c r="AP4" s="228"/>
      <c r="AQ4" s="229"/>
      <c r="AR4" s="230" t="s">
        <v>7</v>
      </c>
      <c r="AS4" s="231"/>
      <c r="AT4" s="231"/>
      <c r="AU4" s="231"/>
      <c r="AV4" s="231"/>
      <c r="AW4" s="231"/>
      <c r="AX4" s="231"/>
      <c r="AY4" s="227" t="s">
        <v>8</v>
      </c>
      <c r="AZ4" s="228"/>
      <c r="BA4" s="228"/>
      <c r="BB4" s="228"/>
      <c r="BC4" s="228"/>
      <c r="BD4" s="228"/>
      <c r="BE4" s="229"/>
      <c r="BF4" s="227" t="s">
        <v>9</v>
      </c>
      <c r="BG4" s="228"/>
      <c r="BH4" s="228"/>
      <c r="BI4" s="228"/>
      <c r="BJ4" s="228"/>
      <c r="BK4" s="228"/>
      <c r="BL4" s="229"/>
      <c r="BM4" s="227" t="s">
        <v>10</v>
      </c>
      <c r="BN4" s="228"/>
      <c r="BO4" s="228"/>
      <c r="BP4" s="228"/>
      <c r="BQ4" s="228"/>
      <c r="BR4" s="228"/>
      <c r="BS4" s="229"/>
      <c r="BT4" s="227" t="s">
        <v>11</v>
      </c>
      <c r="BU4" s="228"/>
      <c r="BV4" s="228"/>
      <c r="BW4" s="228"/>
      <c r="BX4" s="228"/>
      <c r="BY4" s="228"/>
      <c r="BZ4" s="229"/>
      <c r="CA4" s="227" t="s">
        <v>12</v>
      </c>
      <c r="CB4" s="228"/>
      <c r="CC4" s="228"/>
      <c r="CD4" s="228"/>
      <c r="CE4" s="228"/>
      <c r="CF4" s="228"/>
      <c r="CG4" s="229"/>
      <c r="CH4" s="227" t="s">
        <v>630</v>
      </c>
      <c r="CI4" s="228"/>
      <c r="CJ4" s="228"/>
      <c r="CK4" s="228"/>
      <c r="CL4" s="228"/>
      <c r="CM4" s="228"/>
      <c r="CN4" s="229"/>
      <c r="CO4" s="227" t="s">
        <v>631</v>
      </c>
      <c r="CP4" s="228"/>
      <c r="CQ4" s="228"/>
      <c r="CR4" s="228"/>
      <c r="CS4" s="228"/>
      <c r="CT4" s="228"/>
      <c r="CU4" s="229"/>
      <c r="CV4" s="227" t="s">
        <v>15</v>
      </c>
      <c r="CW4" s="228"/>
      <c r="CX4" s="228"/>
      <c r="CY4" s="228"/>
      <c r="CZ4" s="228"/>
      <c r="DA4" s="228"/>
      <c r="DB4" s="229"/>
      <c r="DC4" s="227" t="s">
        <v>16</v>
      </c>
      <c r="DD4" s="228"/>
      <c r="DE4" s="228"/>
      <c r="DF4" s="228"/>
      <c r="DG4" s="228"/>
      <c r="DH4" s="228"/>
      <c r="DI4" s="229"/>
      <c r="DJ4" s="227" t="s">
        <v>17</v>
      </c>
      <c r="DK4" s="228"/>
      <c r="DL4" s="228"/>
      <c r="DM4" s="228"/>
      <c r="DN4" s="228"/>
      <c r="DO4" s="228"/>
      <c r="DP4" s="229"/>
      <c r="DQ4" s="227" t="s">
        <v>632</v>
      </c>
      <c r="DR4" s="228"/>
      <c r="DS4" s="228"/>
      <c r="DT4" s="228"/>
      <c r="DU4" s="228"/>
      <c r="DV4" s="228"/>
      <c r="DW4" s="229"/>
      <c r="DX4" s="227" t="s">
        <v>633</v>
      </c>
      <c r="DY4" s="228"/>
      <c r="DZ4" s="228"/>
      <c r="EA4" s="228"/>
      <c r="EB4" s="228"/>
      <c r="EC4" s="228"/>
      <c r="ED4" s="229"/>
      <c r="EE4" s="227" t="s">
        <v>20</v>
      </c>
      <c r="EF4" s="228"/>
      <c r="EG4" s="228"/>
      <c r="EH4" s="228"/>
      <c r="EI4" s="228"/>
      <c r="EJ4" s="228"/>
      <c r="EK4" s="229"/>
      <c r="EL4" s="227" t="s">
        <v>634</v>
      </c>
      <c r="EM4" s="228"/>
      <c r="EN4" s="228"/>
      <c r="EO4" s="228"/>
      <c r="EP4" s="228"/>
      <c r="EQ4" s="228"/>
      <c r="ER4" s="229"/>
      <c r="ES4" s="227" t="s">
        <v>635</v>
      </c>
      <c r="ET4" s="228"/>
      <c r="EU4" s="228"/>
      <c r="EV4" s="228"/>
      <c r="EW4" s="228"/>
      <c r="EX4" s="228"/>
      <c r="EY4" s="229"/>
      <c r="EZ4" s="227" t="s">
        <v>23</v>
      </c>
      <c r="FA4" s="228"/>
      <c r="FB4" s="228"/>
      <c r="FC4" s="228"/>
      <c r="FD4" s="228"/>
      <c r="FE4" s="228"/>
      <c r="FF4" s="229"/>
      <c r="FG4" s="227" t="s">
        <v>24</v>
      </c>
      <c r="FH4" s="228"/>
      <c r="FI4" s="228"/>
      <c r="FJ4" s="228"/>
      <c r="FK4" s="228"/>
      <c r="FL4" s="228"/>
      <c r="FM4" s="229"/>
      <c r="FN4" s="227" t="s">
        <v>636</v>
      </c>
      <c r="FO4" s="228"/>
      <c r="FP4" s="228"/>
      <c r="FQ4" s="228"/>
      <c r="FR4" s="228"/>
      <c r="FS4" s="228"/>
      <c r="FT4" s="229"/>
      <c r="FU4" s="227" t="s">
        <v>637</v>
      </c>
      <c r="FV4" s="228"/>
      <c r="FW4" s="228"/>
      <c r="FX4" s="228"/>
      <c r="FY4" s="228"/>
      <c r="FZ4" s="228"/>
      <c r="GA4" s="229"/>
      <c r="GB4" s="227" t="s">
        <v>27</v>
      </c>
      <c r="GC4" s="228"/>
      <c r="GD4" s="228"/>
      <c r="GE4" s="228"/>
      <c r="GF4" s="228"/>
      <c r="GG4" s="228"/>
      <c r="GH4" s="229"/>
      <c r="GI4" s="227" t="s">
        <v>638</v>
      </c>
      <c r="GJ4" s="228"/>
      <c r="GK4" s="228"/>
      <c r="GL4" s="228"/>
      <c r="GM4" s="228"/>
      <c r="GN4" s="228"/>
      <c r="GO4" s="229"/>
      <c r="GP4" s="227" t="s">
        <v>29</v>
      </c>
      <c r="GQ4" s="228"/>
      <c r="GR4" s="228"/>
      <c r="GS4" s="228"/>
      <c r="GT4" s="228"/>
      <c r="GU4" s="228"/>
      <c r="GV4" s="229"/>
      <c r="GW4" s="227" t="s">
        <v>30</v>
      </c>
      <c r="GX4" s="228"/>
      <c r="GY4" s="228"/>
      <c r="GZ4" s="228"/>
      <c r="HA4" s="228"/>
      <c r="HB4" s="228"/>
      <c r="HC4" s="229"/>
      <c r="HD4" s="227" t="s">
        <v>31</v>
      </c>
      <c r="HE4" s="228"/>
      <c r="HF4" s="228"/>
      <c r="HG4" s="228"/>
      <c r="HH4" s="228"/>
      <c r="HI4" s="228"/>
      <c r="HJ4" s="229"/>
      <c r="HK4" s="227" t="s">
        <v>639</v>
      </c>
      <c r="HL4" s="228"/>
      <c r="HM4" s="228"/>
      <c r="HN4" s="228"/>
      <c r="HO4" s="228"/>
      <c r="HP4" s="228"/>
      <c r="HQ4" s="229"/>
      <c r="HR4" s="227" t="s">
        <v>640</v>
      </c>
      <c r="HS4" s="228"/>
      <c r="HT4" s="228"/>
      <c r="HU4" s="228"/>
      <c r="HV4" s="228"/>
      <c r="HW4" s="228"/>
      <c r="HX4" s="228"/>
    </row>
    <row r="5" spans="1:232" s="196" customFormat="1" ht="30.75" thickBot="1">
      <c r="A5" s="186"/>
      <c r="B5" s="187" t="s">
        <v>641</v>
      </c>
      <c r="C5" s="188" t="s">
        <v>642</v>
      </c>
      <c r="D5" s="188" t="s">
        <v>643</v>
      </c>
      <c r="E5" s="188" t="s">
        <v>644</v>
      </c>
      <c r="F5" s="188" t="s">
        <v>645</v>
      </c>
      <c r="G5" s="188" t="s">
        <v>646</v>
      </c>
      <c r="H5" s="189" t="s">
        <v>486</v>
      </c>
      <c r="I5" s="187" t="s">
        <v>641</v>
      </c>
      <c r="J5" s="188" t="s">
        <v>642</v>
      </c>
      <c r="K5" s="188" t="s">
        <v>643</v>
      </c>
      <c r="L5" s="188" t="s">
        <v>644</v>
      </c>
      <c r="M5" s="188" t="s">
        <v>645</v>
      </c>
      <c r="N5" s="188" t="s">
        <v>646</v>
      </c>
      <c r="O5" s="189" t="s">
        <v>486</v>
      </c>
      <c r="P5" s="187" t="s">
        <v>641</v>
      </c>
      <c r="Q5" s="188" t="s">
        <v>642</v>
      </c>
      <c r="R5" s="188" t="s">
        <v>643</v>
      </c>
      <c r="S5" s="188" t="s">
        <v>644</v>
      </c>
      <c r="T5" s="188" t="s">
        <v>645</v>
      </c>
      <c r="U5" s="188" t="s">
        <v>646</v>
      </c>
      <c r="V5" s="189" t="s">
        <v>486</v>
      </c>
      <c r="W5" s="187" t="s">
        <v>641</v>
      </c>
      <c r="X5" s="188" t="s">
        <v>642</v>
      </c>
      <c r="Y5" s="188" t="s">
        <v>643</v>
      </c>
      <c r="Z5" s="188" t="s">
        <v>644</v>
      </c>
      <c r="AA5" s="188" t="s">
        <v>645</v>
      </c>
      <c r="AB5" s="188" t="s">
        <v>646</v>
      </c>
      <c r="AC5" s="189" t="s">
        <v>486</v>
      </c>
      <c r="AD5" s="187" t="s">
        <v>641</v>
      </c>
      <c r="AE5" s="188" t="s">
        <v>642</v>
      </c>
      <c r="AF5" s="188" t="s">
        <v>643</v>
      </c>
      <c r="AG5" s="188" t="s">
        <v>644</v>
      </c>
      <c r="AH5" s="188" t="s">
        <v>645</v>
      </c>
      <c r="AI5" s="188" t="s">
        <v>646</v>
      </c>
      <c r="AJ5" s="189" t="s">
        <v>486</v>
      </c>
      <c r="AK5" s="187" t="s">
        <v>488</v>
      </c>
      <c r="AL5" s="188" t="s">
        <v>647</v>
      </c>
      <c r="AM5" s="188" t="s">
        <v>648</v>
      </c>
      <c r="AN5" s="188" t="s">
        <v>649</v>
      </c>
      <c r="AO5" s="188" t="s">
        <v>645</v>
      </c>
      <c r="AP5" s="188" t="s">
        <v>646</v>
      </c>
      <c r="AQ5" s="189" t="s">
        <v>486</v>
      </c>
      <c r="AR5" s="187" t="s">
        <v>488</v>
      </c>
      <c r="AS5" s="188" t="s">
        <v>647</v>
      </c>
      <c r="AT5" s="188" t="s">
        <v>648</v>
      </c>
      <c r="AU5" s="188" t="s">
        <v>649</v>
      </c>
      <c r="AV5" s="188" t="s">
        <v>645</v>
      </c>
      <c r="AW5" s="188" t="s">
        <v>646</v>
      </c>
      <c r="AX5" s="189" t="s">
        <v>486</v>
      </c>
      <c r="AY5" s="190" t="s">
        <v>488</v>
      </c>
      <c r="AZ5" s="191" t="s">
        <v>647</v>
      </c>
      <c r="BA5" s="191" t="s">
        <v>648</v>
      </c>
      <c r="BB5" s="191" t="s">
        <v>649</v>
      </c>
      <c r="BC5" s="191" t="s">
        <v>645</v>
      </c>
      <c r="BD5" s="191" t="s">
        <v>646</v>
      </c>
      <c r="BE5" s="191" t="s">
        <v>486</v>
      </c>
      <c r="BF5" s="190" t="s">
        <v>488</v>
      </c>
      <c r="BG5" s="191" t="s">
        <v>647</v>
      </c>
      <c r="BH5" s="191" t="s">
        <v>648</v>
      </c>
      <c r="BI5" s="191" t="s">
        <v>649</v>
      </c>
      <c r="BJ5" s="191" t="s">
        <v>645</v>
      </c>
      <c r="BK5" s="191" t="s">
        <v>646</v>
      </c>
      <c r="BL5" s="191" t="s">
        <v>486</v>
      </c>
      <c r="BM5" s="190" t="s">
        <v>488</v>
      </c>
      <c r="BN5" s="191" t="s">
        <v>647</v>
      </c>
      <c r="BO5" s="191" t="s">
        <v>648</v>
      </c>
      <c r="BP5" s="191" t="s">
        <v>649</v>
      </c>
      <c r="BQ5" s="191" t="s">
        <v>645</v>
      </c>
      <c r="BR5" s="191" t="s">
        <v>646</v>
      </c>
      <c r="BS5" s="191" t="s">
        <v>486</v>
      </c>
      <c r="BT5" s="187" t="s">
        <v>488</v>
      </c>
      <c r="BU5" s="188" t="s">
        <v>647</v>
      </c>
      <c r="BV5" s="188" t="s">
        <v>648</v>
      </c>
      <c r="BW5" s="188" t="s">
        <v>649</v>
      </c>
      <c r="BX5" s="188" t="s">
        <v>645</v>
      </c>
      <c r="BY5" s="188" t="s">
        <v>646</v>
      </c>
      <c r="BZ5" s="188" t="s">
        <v>486</v>
      </c>
      <c r="CA5" s="187" t="s">
        <v>641</v>
      </c>
      <c r="CB5" s="188" t="s">
        <v>642</v>
      </c>
      <c r="CC5" s="188" t="s">
        <v>643</v>
      </c>
      <c r="CD5" s="188" t="s">
        <v>644</v>
      </c>
      <c r="CE5" s="188" t="s">
        <v>645</v>
      </c>
      <c r="CF5" s="188" t="s">
        <v>646</v>
      </c>
      <c r="CG5" s="188" t="s">
        <v>486</v>
      </c>
      <c r="CH5" s="190" t="s">
        <v>488</v>
      </c>
      <c r="CI5" s="191" t="s">
        <v>647</v>
      </c>
      <c r="CJ5" s="191" t="s">
        <v>648</v>
      </c>
      <c r="CK5" s="191" t="s">
        <v>649</v>
      </c>
      <c r="CL5" s="191" t="s">
        <v>645</v>
      </c>
      <c r="CM5" s="191" t="s">
        <v>646</v>
      </c>
      <c r="CN5" s="191" t="s">
        <v>486</v>
      </c>
      <c r="CO5" s="190" t="s">
        <v>488</v>
      </c>
      <c r="CP5" s="191" t="s">
        <v>647</v>
      </c>
      <c r="CQ5" s="191" t="s">
        <v>648</v>
      </c>
      <c r="CR5" s="191" t="s">
        <v>649</v>
      </c>
      <c r="CS5" s="191" t="s">
        <v>645</v>
      </c>
      <c r="CT5" s="191" t="s">
        <v>646</v>
      </c>
      <c r="CU5" s="191" t="s">
        <v>486</v>
      </c>
      <c r="CV5" s="187" t="s">
        <v>641</v>
      </c>
      <c r="CW5" s="188" t="s">
        <v>642</v>
      </c>
      <c r="CX5" s="188" t="s">
        <v>643</v>
      </c>
      <c r="CY5" s="188" t="s">
        <v>644</v>
      </c>
      <c r="CZ5" s="188" t="s">
        <v>645</v>
      </c>
      <c r="DA5" s="188" t="s">
        <v>646</v>
      </c>
      <c r="DB5" s="188" t="s">
        <v>486</v>
      </c>
      <c r="DC5" s="190" t="s">
        <v>488</v>
      </c>
      <c r="DD5" s="191" t="s">
        <v>647</v>
      </c>
      <c r="DE5" s="191" t="s">
        <v>648</v>
      </c>
      <c r="DF5" s="191" t="s">
        <v>649</v>
      </c>
      <c r="DG5" s="191" t="s">
        <v>645</v>
      </c>
      <c r="DH5" s="191" t="s">
        <v>646</v>
      </c>
      <c r="DI5" s="191" t="s">
        <v>486</v>
      </c>
      <c r="DJ5" s="190" t="s">
        <v>488</v>
      </c>
      <c r="DK5" s="191" t="s">
        <v>647</v>
      </c>
      <c r="DL5" s="191" t="s">
        <v>648</v>
      </c>
      <c r="DM5" s="191" t="s">
        <v>649</v>
      </c>
      <c r="DN5" s="191" t="s">
        <v>645</v>
      </c>
      <c r="DO5" s="191" t="s">
        <v>646</v>
      </c>
      <c r="DP5" s="191" t="s">
        <v>486</v>
      </c>
      <c r="DQ5" s="192" t="s">
        <v>488</v>
      </c>
      <c r="DR5" s="191" t="s">
        <v>647</v>
      </c>
      <c r="DS5" s="191" t="s">
        <v>648</v>
      </c>
      <c r="DT5" s="191" t="s">
        <v>649</v>
      </c>
      <c r="DU5" s="191" t="s">
        <v>645</v>
      </c>
      <c r="DV5" s="191" t="s">
        <v>646</v>
      </c>
      <c r="DW5" s="191" t="s">
        <v>486</v>
      </c>
      <c r="DX5" s="192" t="s">
        <v>488</v>
      </c>
      <c r="DY5" s="191" t="s">
        <v>647</v>
      </c>
      <c r="DZ5" s="191" t="s">
        <v>648</v>
      </c>
      <c r="EA5" s="191" t="s">
        <v>649</v>
      </c>
      <c r="EB5" s="191" t="s">
        <v>645</v>
      </c>
      <c r="EC5" s="191" t="s">
        <v>646</v>
      </c>
      <c r="ED5" s="191" t="s">
        <v>486</v>
      </c>
      <c r="EE5" s="192" t="s">
        <v>488</v>
      </c>
      <c r="EF5" s="191" t="s">
        <v>647</v>
      </c>
      <c r="EG5" s="191" t="s">
        <v>643</v>
      </c>
      <c r="EH5" s="191" t="s">
        <v>644</v>
      </c>
      <c r="EI5" s="191" t="s">
        <v>645</v>
      </c>
      <c r="EJ5" s="191" t="s">
        <v>646</v>
      </c>
      <c r="EK5" s="193" t="s">
        <v>486</v>
      </c>
      <c r="EL5" s="192" t="s">
        <v>488</v>
      </c>
      <c r="EM5" s="191" t="s">
        <v>647</v>
      </c>
      <c r="EN5" s="191" t="s">
        <v>648</v>
      </c>
      <c r="EO5" s="191" t="s">
        <v>649</v>
      </c>
      <c r="EP5" s="191" t="s">
        <v>645</v>
      </c>
      <c r="EQ5" s="191" t="s">
        <v>646</v>
      </c>
      <c r="ER5" s="193" t="s">
        <v>486</v>
      </c>
      <c r="ES5" s="192" t="s">
        <v>488</v>
      </c>
      <c r="ET5" s="191" t="s">
        <v>647</v>
      </c>
      <c r="EU5" s="191" t="s">
        <v>648</v>
      </c>
      <c r="EV5" s="191" t="s">
        <v>649</v>
      </c>
      <c r="EW5" s="191" t="s">
        <v>645</v>
      </c>
      <c r="EX5" s="191" t="s">
        <v>646</v>
      </c>
      <c r="EY5" s="193" t="s">
        <v>486</v>
      </c>
      <c r="EZ5" s="192" t="s">
        <v>488</v>
      </c>
      <c r="FA5" s="191" t="s">
        <v>647</v>
      </c>
      <c r="FB5" s="191" t="s">
        <v>648</v>
      </c>
      <c r="FC5" s="191" t="s">
        <v>649</v>
      </c>
      <c r="FD5" s="191" t="s">
        <v>645</v>
      </c>
      <c r="FE5" s="191" t="s">
        <v>646</v>
      </c>
      <c r="FF5" s="191" t="s">
        <v>486</v>
      </c>
      <c r="FG5" s="192" t="s">
        <v>488</v>
      </c>
      <c r="FH5" s="191" t="s">
        <v>647</v>
      </c>
      <c r="FI5" s="191" t="s">
        <v>648</v>
      </c>
      <c r="FJ5" s="191" t="s">
        <v>649</v>
      </c>
      <c r="FK5" s="191" t="s">
        <v>645</v>
      </c>
      <c r="FL5" s="191" t="s">
        <v>646</v>
      </c>
      <c r="FM5" s="191" t="s">
        <v>486</v>
      </c>
      <c r="FN5" s="192" t="s">
        <v>488</v>
      </c>
      <c r="FO5" s="191" t="s">
        <v>647</v>
      </c>
      <c r="FP5" s="188" t="s">
        <v>648</v>
      </c>
      <c r="FQ5" s="188" t="s">
        <v>649</v>
      </c>
      <c r="FR5" s="188" t="s">
        <v>645</v>
      </c>
      <c r="FS5" s="188" t="s">
        <v>646</v>
      </c>
      <c r="FT5" s="188" t="s">
        <v>486</v>
      </c>
      <c r="FU5" s="192" t="s">
        <v>488</v>
      </c>
      <c r="FV5" s="191" t="s">
        <v>647</v>
      </c>
      <c r="FW5" s="188" t="s">
        <v>648</v>
      </c>
      <c r="FX5" s="188" t="s">
        <v>649</v>
      </c>
      <c r="FY5" s="188" t="s">
        <v>645</v>
      </c>
      <c r="FZ5" s="188" t="s">
        <v>646</v>
      </c>
      <c r="GA5" s="188" t="s">
        <v>486</v>
      </c>
      <c r="GB5" s="192" t="s">
        <v>488</v>
      </c>
      <c r="GC5" s="191" t="s">
        <v>647</v>
      </c>
      <c r="GD5" s="188" t="s">
        <v>643</v>
      </c>
      <c r="GE5" s="188" t="s">
        <v>644</v>
      </c>
      <c r="GF5" s="188" t="s">
        <v>645</v>
      </c>
      <c r="GG5" s="188" t="s">
        <v>646</v>
      </c>
      <c r="GH5" s="188" t="s">
        <v>486</v>
      </c>
      <c r="GI5" s="192" t="s">
        <v>488</v>
      </c>
      <c r="GJ5" s="191" t="s">
        <v>647</v>
      </c>
      <c r="GK5" s="188" t="s">
        <v>643</v>
      </c>
      <c r="GL5" s="188" t="s">
        <v>644</v>
      </c>
      <c r="GM5" s="188" t="s">
        <v>645</v>
      </c>
      <c r="GN5" s="188" t="s">
        <v>646</v>
      </c>
      <c r="GO5" s="188" t="s">
        <v>486</v>
      </c>
      <c r="GP5" s="192" t="s">
        <v>488</v>
      </c>
      <c r="GQ5" s="191" t="s">
        <v>647</v>
      </c>
      <c r="GR5" s="188" t="s">
        <v>643</v>
      </c>
      <c r="GS5" s="188" t="s">
        <v>644</v>
      </c>
      <c r="GT5" s="188" t="s">
        <v>645</v>
      </c>
      <c r="GU5" s="188" t="s">
        <v>646</v>
      </c>
      <c r="GV5" s="188" t="s">
        <v>486</v>
      </c>
      <c r="GW5" s="192" t="s">
        <v>488</v>
      </c>
      <c r="GX5" s="191" t="s">
        <v>647</v>
      </c>
      <c r="GY5" s="191" t="s">
        <v>648</v>
      </c>
      <c r="GZ5" s="191" t="s">
        <v>649</v>
      </c>
      <c r="HA5" s="191" t="s">
        <v>645</v>
      </c>
      <c r="HB5" s="191" t="s">
        <v>646</v>
      </c>
      <c r="HC5" s="193" t="s">
        <v>486</v>
      </c>
      <c r="HD5" s="192" t="s">
        <v>488</v>
      </c>
      <c r="HE5" s="191" t="s">
        <v>647</v>
      </c>
      <c r="HF5" s="191" t="s">
        <v>648</v>
      </c>
      <c r="HG5" s="191" t="s">
        <v>649</v>
      </c>
      <c r="HH5" s="191" t="s">
        <v>645</v>
      </c>
      <c r="HI5" s="191" t="s">
        <v>646</v>
      </c>
      <c r="HJ5" s="193" t="s">
        <v>486</v>
      </c>
      <c r="HK5" s="192" t="s">
        <v>488</v>
      </c>
      <c r="HL5" s="191" t="s">
        <v>647</v>
      </c>
      <c r="HM5" s="191" t="s">
        <v>648</v>
      </c>
      <c r="HN5" s="191" t="s">
        <v>649</v>
      </c>
      <c r="HO5" s="191" t="s">
        <v>645</v>
      </c>
      <c r="HP5" s="191" t="s">
        <v>646</v>
      </c>
      <c r="HQ5" s="191" t="s">
        <v>486</v>
      </c>
      <c r="HR5" s="194" t="s">
        <v>650</v>
      </c>
      <c r="HS5" s="191" t="s">
        <v>651</v>
      </c>
      <c r="HT5" s="191" t="s">
        <v>652</v>
      </c>
      <c r="HU5" s="191" t="s">
        <v>653</v>
      </c>
      <c r="HV5" s="191" t="s">
        <v>654</v>
      </c>
      <c r="HW5" s="191" t="s">
        <v>646</v>
      </c>
      <c r="HX5" s="195" t="s">
        <v>486</v>
      </c>
    </row>
    <row r="6" spans="1:232">
      <c r="A6" s="185" t="s">
        <v>655</v>
      </c>
      <c r="B6" s="197"/>
      <c r="C6" s="198"/>
      <c r="D6" s="198"/>
      <c r="E6" s="198"/>
      <c r="F6" s="198"/>
      <c r="G6" s="198"/>
      <c r="H6" s="199"/>
      <c r="I6" s="197"/>
      <c r="J6" s="198"/>
      <c r="K6" s="198"/>
      <c r="L6" s="198"/>
      <c r="M6" s="198"/>
      <c r="N6" s="198"/>
      <c r="O6" s="199"/>
      <c r="P6" s="198"/>
      <c r="Q6" s="198"/>
      <c r="R6" s="198"/>
      <c r="S6" s="198"/>
      <c r="T6" s="198"/>
      <c r="U6" s="198"/>
      <c r="V6" s="198"/>
      <c r="W6" s="197"/>
      <c r="X6" s="198"/>
      <c r="Y6" s="198"/>
      <c r="Z6" s="198"/>
      <c r="AA6" s="198"/>
      <c r="AB6" s="198"/>
      <c r="AC6" s="199"/>
      <c r="AD6" s="198"/>
      <c r="AE6" s="198">
        <v>15.071</v>
      </c>
      <c r="AF6" s="198">
        <v>58.594000000000001</v>
      </c>
      <c r="AG6" s="198">
        <v>28.934000000000001</v>
      </c>
      <c r="AH6" s="198">
        <v>14.956</v>
      </c>
      <c r="AI6" s="198"/>
      <c r="AJ6" s="198"/>
      <c r="AK6" s="197"/>
      <c r="AL6" s="198"/>
      <c r="AM6" s="198"/>
      <c r="AN6" s="198"/>
      <c r="AO6" s="198"/>
      <c r="AP6" s="198"/>
      <c r="AQ6" s="199"/>
      <c r="AR6" s="198"/>
      <c r="AS6" s="198"/>
      <c r="AT6" s="198"/>
      <c r="AU6" s="198"/>
      <c r="AV6" s="198"/>
      <c r="AW6" s="198"/>
      <c r="AX6" s="198"/>
      <c r="AY6" s="197"/>
      <c r="AZ6" s="198"/>
      <c r="BA6" s="198"/>
      <c r="BB6" s="198"/>
      <c r="BC6" s="198"/>
      <c r="BD6" s="198"/>
      <c r="BE6" s="198"/>
      <c r="BF6" s="197"/>
      <c r="BG6" s="198"/>
      <c r="BH6" s="198"/>
      <c r="BI6" s="198"/>
      <c r="BJ6" s="198"/>
      <c r="BK6" s="198"/>
      <c r="BL6" s="198"/>
      <c r="BM6" s="200"/>
      <c r="BN6" s="198"/>
      <c r="BO6" s="198"/>
      <c r="BP6" s="198"/>
      <c r="BQ6" s="198"/>
      <c r="BR6" s="198"/>
      <c r="BS6" s="198"/>
      <c r="BT6" s="200"/>
      <c r="BU6" s="198"/>
      <c r="BV6" s="198"/>
      <c r="BW6" s="198"/>
      <c r="BX6" s="198"/>
      <c r="BY6" s="198"/>
      <c r="BZ6" s="198"/>
      <c r="CA6" s="200"/>
      <c r="CB6" s="198"/>
      <c r="CC6" s="198"/>
      <c r="CD6" s="198"/>
      <c r="CE6" s="198"/>
      <c r="CF6" s="198"/>
      <c r="CG6" s="198"/>
      <c r="CH6" s="200"/>
      <c r="CI6" s="198"/>
      <c r="CJ6" s="198"/>
      <c r="CK6" s="198"/>
      <c r="CL6" s="198"/>
      <c r="CM6" s="198"/>
      <c r="CN6" s="198"/>
      <c r="CO6" s="200"/>
      <c r="CP6" s="198"/>
      <c r="CQ6" s="198"/>
      <c r="CR6" s="198"/>
      <c r="CS6" s="198"/>
      <c r="CT6" s="198"/>
      <c r="CU6" s="198"/>
      <c r="CV6" s="200"/>
      <c r="CW6" s="198"/>
      <c r="CX6" s="198"/>
      <c r="CY6" s="198"/>
      <c r="CZ6" s="198"/>
      <c r="DA6" s="198"/>
      <c r="DB6" s="198"/>
      <c r="DC6" s="200"/>
      <c r="DD6" s="198"/>
      <c r="DE6" s="198"/>
      <c r="DF6" s="198"/>
      <c r="DG6" s="198"/>
      <c r="DH6" s="198"/>
      <c r="DI6" s="198"/>
      <c r="DJ6" s="200"/>
      <c r="DK6" s="198"/>
      <c r="DL6" s="198"/>
      <c r="DM6" s="198"/>
      <c r="DN6" s="198"/>
      <c r="DO6" s="198"/>
      <c r="DP6" s="198"/>
      <c r="DQ6" s="197"/>
      <c r="DR6" s="198"/>
      <c r="DS6" s="198"/>
      <c r="DT6" s="198"/>
      <c r="DU6" s="198"/>
      <c r="DV6" s="198"/>
      <c r="DW6" s="198"/>
      <c r="DX6" s="197"/>
      <c r="DY6" s="198"/>
      <c r="DZ6" s="198"/>
      <c r="EA6" s="198"/>
      <c r="EB6" s="198"/>
      <c r="EC6" s="198"/>
      <c r="ED6" s="198"/>
      <c r="EE6" s="197"/>
      <c r="EF6" s="198"/>
      <c r="EG6" s="198"/>
      <c r="EH6" s="198"/>
      <c r="EI6" s="198"/>
      <c r="EJ6" s="198"/>
      <c r="EK6" s="198"/>
      <c r="EL6" s="197"/>
      <c r="EM6" s="198"/>
      <c r="EN6" s="198"/>
      <c r="EO6" s="198"/>
      <c r="EP6" s="198"/>
      <c r="EQ6" s="198"/>
      <c r="ER6" s="199"/>
      <c r="ES6" s="198"/>
      <c r="ET6" s="198"/>
      <c r="EU6" s="198"/>
      <c r="EV6" s="198"/>
      <c r="EW6" s="198"/>
      <c r="EX6" s="198"/>
      <c r="EY6" s="199"/>
      <c r="EZ6" s="198"/>
      <c r="FA6" s="198"/>
      <c r="FB6" s="198"/>
      <c r="FC6" s="198"/>
      <c r="FD6" s="198"/>
      <c r="FE6" s="198"/>
      <c r="FF6" s="198"/>
      <c r="FG6" s="197"/>
      <c r="FH6" s="198"/>
      <c r="FI6" s="198"/>
      <c r="FJ6" s="198"/>
      <c r="FK6" s="198"/>
      <c r="FL6" s="198"/>
      <c r="FM6" s="198"/>
      <c r="FN6" s="197"/>
      <c r="FO6" s="198"/>
      <c r="FP6" s="198"/>
      <c r="FQ6" s="198"/>
      <c r="FR6" s="198"/>
      <c r="FS6" s="198"/>
      <c r="FT6" s="199"/>
      <c r="FU6" s="197"/>
      <c r="FV6" s="198"/>
      <c r="FW6" s="198"/>
      <c r="FX6" s="198"/>
      <c r="FY6" s="198"/>
      <c r="FZ6" s="198"/>
      <c r="GA6" s="199"/>
      <c r="GB6" s="197"/>
      <c r="GC6" s="198"/>
      <c r="GD6" s="198"/>
      <c r="GE6" s="198"/>
      <c r="GF6" s="198"/>
      <c r="GG6" s="198"/>
      <c r="GH6" s="199"/>
      <c r="GI6" s="197"/>
      <c r="GJ6" s="198"/>
      <c r="GK6" s="198"/>
      <c r="GL6" s="198"/>
      <c r="GM6" s="198"/>
      <c r="GN6" s="198"/>
      <c r="GO6" s="199"/>
      <c r="GP6" s="197"/>
      <c r="GQ6" s="198"/>
      <c r="GR6" s="198"/>
      <c r="GS6" s="198"/>
      <c r="GT6" s="198"/>
      <c r="GU6" s="198"/>
      <c r="GV6" s="199"/>
      <c r="GW6" s="197"/>
      <c r="GX6" s="198"/>
      <c r="GY6" s="198"/>
      <c r="GZ6" s="198"/>
      <c r="HA6" s="198"/>
      <c r="HB6" s="198"/>
      <c r="HC6" s="199"/>
      <c r="HD6" s="197"/>
      <c r="HE6" s="198"/>
      <c r="HF6" s="198"/>
      <c r="HG6" s="198"/>
      <c r="HH6" s="198"/>
      <c r="HI6" s="198"/>
      <c r="HJ6" s="199"/>
      <c r="HK6" s="197"/>
      <c r="HL6" s="198"/>
      <c r="HM6" s="198"/>
      <c r="HN6" s="198"/>
      <c r="HO6" s="198"/>
      <c r="HP6" s="198"/>
      <c r="HQ6" s="198"/>
      <c r="HR6" s="197"/>
      <c r="HT6" s="201"/>
      <c r="HU6" s="201"/>
      <c r="HV6" s="201"/>
      <c r="HW6" s="201"/>
      <c r="HX6" s="198"/>
    </row>
    <row r="7" spans="1:232">
      <c r="A7" s="185" t="s">
        <v>490</v>
      </c>
      <c r="B7" s="197"/>
      <c r="C7" s="198"/>
      <c r="D7" s="198"/>
      <c r="E7" s="198"/>
      <c r="F7" s="198"/>
      <c r="G7" s="198"/>
      <c r="H7" s="199"/>
      <c r="I7" s="197"/>
      <c r="J7" s="198"/>
      <c r="K7" s="198"/>
      <c r="L7" s="198"/>
      <c r="M7" s="198"/>
      <c r="N7" s="198"/>
      <c r="O7" s="199"/>
      <c r="P7" s="198"/>
      <c r="Q7" s="198"/>
      <c r="R7" s="198"/>
      <c r="S7" s="198"/>
      <c r="T7" s="198"/>
      <c r="U7" s="198"/>
      <c r="V7" s="198"/>
      <c r="W7" s="197"/>
      <c r="X7" s="198"/>
      <c r="Y7" s="198"/>
      <c r="Z7" s="198"/>
      <c r="AA7" s="198"/>
      <c r="AB7" s="198"/>
      <c r="AC7" s="199"/>
      <c r="AD7" s="198"/>
      <c r="AE7" s="198">
        <v>15.351000000000001</v>
      </c>
      <c r="AF7" s="198">
        <v>59.073</v>
      </c>
      <c r="AG7" s="198">
        <v>30.193999999999999</v>
      </c>
      <c r="AH7" s="198">
        <v>14.323</v>
      </c>
      <c r="AI7" s="198"/>
      <c r="AJ7" s="198"/>
      <c r="AK7" s="197"/>
      <c r="AL7" s="198"/>
      <c r="AM7" s="198"/>
      <c r="AN7" s="198"/>
      <c r="AO7" s="198"/>
      <c r="AP7" s="198"/>
      <c r="AQ7" s="199"/>
      <c r="AR7" s="198"/>
      <c r="AS7" s="198"/>
      <c r="AT7" s="198"/>
      <c r="AU7" s="198"/>
      <c r="AV7" s="198"/>
      <c r="AW7" s="198"/>
      <c r="AX7" s="198"/>
      <c r="AY7" s="197"/>
      <c r="AZ7" s="198"/>
      <c r="BA7" s="198"/>
      <c r="BB7" s="198"/>
      <c r="BC7" s="198"/>
      <c r="BD7" s="198"/>
      <c r="BE7" s="198"/>
      <c r="BF7" s="197"/>
      <c r="BG7" s="198"/>
      <c r="BH7" s="198"/>
      <c r="BI7" s="198"/>
      <c r="BJ7" s="198"/>
      <c r="BK7" s="198"/>
      <c r="BL7" s="198"/>
      <c r="BM7" s="197"/>
      <c r="BN7" s="198"/>
      <c r="BO7" s="198"/>
      <c r="BP7" s="198"/>
      <c r="BQ7" s="198"/>
      <c r="BR7" s="198"/>
      <c r="BS7" s="198"/>
      <c r="BT7" s="197"/>
      <c r="BU7" s="198"/>
      <c r="BV7" s="198"/>
      <c r="BW7" s="198"/>
      <c r="BX7" s="198"/>
      <c r="BY7" s="198"/>
      <c r="BZ7" s="198"/>
      <c r="CA7" s="197"/>
      <c r="CB7" s="198"/>
      <c r="CC7" s="198"/>
      <c r="CD7" s="198"/>
      <c r="CE7" s="198"/>
      <c r="CF7" s="198"/>
      <c r="CG7" s="198"/>
      <c r="CH7" s="197"/>
      <c r="CI7" s="198"/>
      <c r="CJ7" s="198"/>
      <c r="CK7" s="198"/>
      <c r="CL7" s="198"/>
      <c r="CM7" s="198"/>
      <c r="CN7" s="198"/>
      <c r="CO7" s="197"/>
      <c r="CP7" s="198"/>
      <c r="CQ7" s="198"/>
      <c r="CR7" s="198"/>
      <c r="CS7" s="198"/>
      <c r="CT7" s="198"/>
      <c r="CU7" s="198"/>
      <c r="CV7" s="197"/>
      <c r="CW7" s="198"/>
      <c r="CX7" s="198"/>
      <c r="CY7" s="198"/>
      <c r="CZ7" s="198"/>
      <c r="DA7" s="198"/>
      <c r="DB7" s="198"/>
      <c r="DC7" s="197"/>
      <c r="DD7" s="198"/>
      <c r="DE7" s="198"/>
      <c r="DF7" s="198"/>
      <c r="DG7" s="198"/>
      <c r="DH7" s="198"/>
      <c r="DI7" s="198"/>
      <c r="DJ7" s="197"/>
      <c r="DK7" s="198"/>
      <c r="DL7" s="198"/>
      <c r="DM7" s="198"/>
      <c r="DN7" s="198"/>
      <c r="DO7" s="198"/>
      <c r="DP7" s="198"/>
      <c r="DQ7" s="197"/>
      <c r="DR7" s="198"/>
      <c r="DS7" s="198"/>
      <c r="DT7" s="198"/>
      <c r="DU7" s="198"/>
      <c r="DV7" s="198"/>
      <c r="DW7" s="198"/>
      <c r="DX7" s="197"/>
      <c r="DY7" s="198"/>
      <c r="DZ7" s="198"/>
      <c r="EA7" s="198"/>
      <c r="EB7" s="198"/>
      <c r="EC7" s="198"/>
      <c r="ED7" s="198"/>
      <c r="EE7" s="197"/>
      <c r="EF7" s="198"/>
      <c r="EG7" s="198"/>
      <c r="EH7" s="198"/>
      <c r="EI7" s="198"/>
      <c r="EJ7" s="198"/>
      <c r="EK7" s="198"/>
      <c r="EL7" s="197"/>
      <c r="EM7" s="198"/>
      <c r="EN7" s="198"/>
      <c r="EO7" s="198"/>
      <c r="EP7" s="198"/>
      <c r="EQ7" s="198"/>
      <c r="ER7" s="199"/>
      <c r="ES7" s="198"/>
      <c r="ET7" s="198"/>
      <c r="EU7" s="198"/>
      <c r="EV7" s="198"/>
      <c r="EW7" s="198"/>
      <c r="EX7" s="198"/>
      <c r="EY7" s="199"/>
      <c r="EZ7" s="198"/>
      <c r="FA7" s="198"/>
      <c r="FB7" s="198"/>
      <c r="FC7" s="198"/>
      <c r="FD7" s="198"/>
      <c r="FE7" s="198"/>
      <c r="FF7" s="198"/>
      <c r="FG7" s="197"/>
      <c r="FH7" s="198"/>
      <c r="FI7" s="198"/>
      <c r="FJ7" s="198"/>
      <c r="FK7" s="198"/>
      <c r="FL7" s="198"/>
      <c r="FM7" s="198"/>
      <c r="FN7" s="197"/>
      <c r="FO7" s="198"/>
      <c r="FP7" s="198"/>
      <c r="FQ7" s="198"/>
      <c r="FR7" s="198"/>
      <c r="FS7" s="198"/>
      <c r="FT7" s="199"/>
      <c r="FU7" s="197"/>
      <c r="FV7" s="198"/>
      <c r="FW7" s="198"/>
      <c r="FX7" s="198"/>
      <c r="FY7" s="198"/>
      <c r="FZ7" s="198"/>
      <c r="GA7" s="199"/>
      <c r="GB7" s="197"/>
      <c r="GC7" s="198"/>
      <c r="GD7" s="198"/>
      <c r="GE7" s="198"/>
      <c r="GF7" s="198"/>
      <c r="GG7" s="198"/>
      <c r="GH7" s="199"/>
      <c r="GI7" s="197"/>
      <c r="GJ7" s="198"/>
      <c r="GK7" s="198"/>
      <c r="GL7" s="198"/>
      <c r="GM7" s="198"/>
      <c r="GN7" s="198"/>
      <c r="GO7" s="199"/>
      <c r="GP7" s="197"/>
      <c r="GQ7" s="198"/>
      <c r="GR7" s="198"/>
      <c r="GS7" s="198"/>
      <c r="GT7" s="198"/>
      <c r="GU7" s="198"/>
      <c r="GV7" s="199"/>
      <c r="GW7" s="197"/>
      <c r="GX7" s="198"/>
      <c r="GY7" s="198"/>
      <c r="GZ7" s="198"/>
      <c r="HA7" s="198"/>
      <c r="HB7" s="198"/>
      <c r="HC7" s="199"/>
      <c r="HD7" s="197"/>
      <c r="HE7" s="198"/>
      <c r="HF7" s="198"/>
      <c r="HG7" s="198"/>
      <c r="HH7" s="198"/>
      <c r="HI7" s="198"/>
      <c r="HJ7" s="199"/>
      <c r="HK7" s="197"/>
      <c r="HL7" s="198"/>
      <c r="HM7" s="198"/>
      <c r="HN7" s="198"/>
      <c r="HO7" s="198"/>
      <c r="HP7" s="198"/>
      <c r="HQ7" s="198"/>
      <c r="HR7" s="197"/>
      <c r="HT7" s="198"/>
      <c r="HU7" s="198"/>
      <c r="HV7" s="198"/>
      <c r="HW7" s="198"/>
      <c r="HX7" s="198"/>
    </row>
    <row r="8" spans="1:232">
      <c r="A8" s="185" t="s">
        <v>491</v>
      </c>
      <c r="B8" s="197"/>
      <c r="C8" s="198"/>
      <c r="D8" s="198"/>
      <c r="E8" s="198"/>
      <c r="F8" s="198"/>
      <c r="G8" s="198"/>
      <c r="H8" s="199"/>
      <c r="I8" s="197"/>
      <c r="J8" s="198"/>
      <c r="K8" s="198"/>
      <c r="L8" s="198"/>
      <c r="M8" s="198"/>
      <c r="N8" s="198"/>
      <c r="O8" s="199"/>
      <c r="P8" s="198"/>
      <c r="Q8" s="198"/>
      <c r="R8" s="198"/>
      <c r="S8" s="198"/>
      <c r="T8" s="198"/>
      <c r="U8" s="198"/>
      <c r="V8" s="198"/>
      <c r="W8" s="197"/>
      <c r="X8" s="198"/>
      <c r="Y8" s="198"/>
      <c r="Z8" s="198"/>
      <c r="AA8" s="198"/>
      <c r="AB8" s="198"/>
      <c r="AC8" s="199"/>
      <c r="AD8" s="198">
        <f>[1]datos!$S140</f>
        <v>207.40700000000001</v>
      </c>
      <c r="AE8" s="198">
        <v>18.483000000000001</v>
      </c>
      <c r="AF8" s="198">
        <v>56.153999999999996</v>
      </c>
      <c r="AG8" s="198">
        <v>27.611000000000001</v>
      </c>
      <c r="AH8" s="198">
        <v>16.928999999999998</v>
      </c>
      <c r="AI8" s="198">
        <f>[1]datos!$U140</f>
        <v>36.090000000000003</v>
      </c>
      <c r="AJ8" s="198">
        <f>AD8-AE8-AF8-AG8-AH8-AI8</f>
        <v>52.14</v>
      </c>
      <c r="AK8" s="197"/>
      <c r="AL8" s="198"/>
      <c r="AM8" s="198"/>
      <c r="AN8" s="198"/>
      <c r="AO8" s="198"/>
      <c r="AP8" s="198"/>
      <c r="AQ8" s="199"/>
      <c r="AR8" s="198"/>
      <c r="AS8" s="198"/>
      <c r="AT8" s="198"/>
      <c r="AU8" s="198"/>
      <c r="AV8" s="198"/>
      <c r="AW8" s="198"/>
      <c r="AX8" s="198"/>
      <c r="AY8" s="197"/>
      <c r="AZ8" s="198"/>
      <c r="BA8" s="198"/>
      <c r="BB8" s="198"/>
      <c r="BC8" s="198"/>
      <c r="BD8" s="198"/>
      <c r="BE8" s="198"/>
      <c r="BF8" s="197"/>
      <c r="BG8" s="198"/>
      <c r="BH8" s="198"/>
      <c r="BI8" s="198"/>
      <c r="BJ8" s="198"/>
      <c r="BK8" s="198"/>
      <c r="BL8" s="198"/>
      <c r="BM8" s="197"/>
      <c r="BN8" s="198"/>
      <c r="BO8" s="198"/>
      <c r="BP8" s="198"/>
      <c r="BQ8" s="198"/>
      <c r="BR8" s="198"/>
      <c r="BS8" s="198"/>
      <c r="BT8" s="197"/>
      <c r="BU8" s="198"/>
      <c r="BV8" s="198"/>
      <c r="BW8" s="198"/>
      <c r="BX8" s="198"/>
      <c r="BY8" s="198"/>
      <c r="BZ8" s="198"/>
      <c r="CA8" s="197"/>
      <c r="CB8" s="198"/>
      <c r="CC8" s="198"/>
      <c r="CD8" s="198"/>
      <c r="CE8" s="198"/>
      <c r="CF8" s="198"/>
      <c r="CG8" s="198"/>
      <c r="CH8" s="197"/>
      <c r="CI8" s="198"/>
      <c r="CJ8" s="198"/>
      <c r="CK8" s="198"/>
      <c r="CL8" s="198"/>
      <c r="CM8" s="198"/>
      <c r="CN8" s="198"/>
      <c r="CO8" s="197"/>
      <c r="CP8" s="198"/>
      <c r="CQ8" s="198"/>
      <c r="CR8" s="198"/>
      <c r="CS8" s="198"/>
      <c r="CT8" s="198"/>
      <c r="CU8" s="198"/>
      <c r="CV8" s="197"/>
      <c r="CW8" s="198"/>
      <c r="CX8" s="198"/>
      <c r="CY8" s="198"/>
      <c r="CZ8" s="198"/>
      <c r="DA8" s="198"/>
      <c r="DB8" s="198"/>
      <c r="DC8" s="197"/>
      <c r="DD8" s="198"/>
      <c r="DE8" s="198"/>
      <c r="DF8" s="198"/>
      <c r="DG8" s="198"/>
      <c r="DH8" s="198"/>
      <c r="DI8" s="198"/>
      <c r="DJ8" s="197"/>
      <c r="DK8" s="198"/>
      <c r="DL8" s="198"/>
      <c r="DM8" s="198"/>
      <c r="DN8" s="198"/>
      <c r="DO8" s="198"/>
      <c r="DP8" s="198"/>
      <c r="DQ8" s="197"/>
      <c r="DR8" s="198"/>
      <c r="DS8" s="198"/>
      <c r="DT8" s="198"/>
      <c r="DU8" s="198"/>
      <c r="DV8" s="198"/>
      <c r="DW8" s="198"/>
      <c r="DX8" s="197"/>
      <c r="DY8" s="198"/>
      <c r="DZ8" s="198"/>
      <c r="EA8" s="198"/>
      <c r="EB8" s="198"/>
      <c r="EC8" s="198"/>
      <c r="ED8" s="198"/>
      <c r="EE8" s="197"/>
      <c r="EF8" s="198"/>
      <c r="EG8" s="198"/>
      <c r="EH8" s="198"/>
      <c r="EI8" s="198"/>
      <c r="EJ8" s="198"/>
      <c r="EK8" s="199"/>
      <c r="EL8" s="197"/>
      <c r="EM8" s="198"/>
      <c r="EN8" s="198"/>
      <c r="EO8" s="198"/>
      <c r="EP8" s="198"/>
      <c r="EQ8" s="198"/>
      <c r="ER8" s="199"/>
      <c r="ES8" s="198"/>
      <c r="ET8" s="198"/>
      <c r="EU8" s="198"/>
      <c r="EV8" s="198"/>
      <c r="EW8" s="198"/>
      <c r="EX8" s="198"/>
      <c r="EY8" s="199"/>
      <c r="EZ8" s="198"/>
      <c r="FA8" s="198"/>
      <c r="FB8" s="198"/>
      <c r="FC8" s="198"/>
      <c r="FD8" s="198"/>
      <c r="FE8" s="198"/>
      <c r="FF8" s="198"/>
      <c r="FG8" s="197"/>
      <c r="FH8" s="198"/>
      <c r="FI8" s="198"/>
      <c r="FJ8" s="198"/>
      <c r="FK8" s="198"/>
      <c r="FL8" s="198"/>
      <c r="FM8" s="198"/>
      <c r="FN8" s="197"/>
      <c r="FO8" s="198"/>
      <c r="FP8" s="198"/>
      <c r="FQ8" s="198"/>
      <c r="FR8" s="198"/>
      <c r="FS8" s="198"/>
      <c r="FT8" s="199"/>
      <c r="FU8" s="197"/>
      <c r="FV8" s="198"/>
      <c r="FW8" s="198"/>
      <c r="FX8" s="198"/>
      <c r="FY8" s="198"/>
      <c r="FZ8" s="198"/>
      <c r="GA8" s="199"/>
      <c r="GB8" s="197"/>
      <c r="GC8" s="198"/>
      <c r="GD8" s="198"/>
      <c r="GE8" s="198"/>
      <c r="GF8" s="198"/>
      <c r="GG8" s="198"/>
      <c r="GH8" s="199"/>
      <c r="GI8" s="197"/>
      <c r="GJ8" s="198"/>
      <c r="GK8" s="198"/>
      <c r="GL8" s="198"/>
      <c r="GM8" s="198"/>
      <c r="GN8" s="198"/>
      <c r="GO8" s="199"/>
      <c r="GP8" s="197"/>
      <c r="GQ8" s="198"/>
      <c r="GR8" s="198"/>
      <c r="GS8" s="198"/>
      <c r="GT8" s="198"/>
      <c r="GU8" s="198"/>
      <c r="GV8" s="199"/>
      <c r="GW8" s="197"/>
      <c r="GX8" s="198"/>
      <c r="GY8" s="198"/>
      <c r="GZ8" s="198"/>
      <c r="HA8" s="198"/>
      <c r="HB8" s="198"/>
      <c r="HC8" s="199"/>
      <c r="HD8" s="197"/>
      <c r="HE8" s="198"/>
      <c r="HF8" s="198"/>
      <c r="HG8" s="198"/>
      <c r="HH8" s="198"/>
      <c r="HI8" s="198"/>
      <c r="HJ8" s="199"/>
      <c r="HK8" s="197"/>
      <c r="HL8" s="198"/>
      <c r="HM8" s="198"/>
      <c r="HN8" s="198"/>
      <c r="HO8" s="198"/>
      <c r="HP8" s="198"/>
      <c r="HQ8" s="198"/>
      <c r="HR8" s="197"/>
      <c r="HT8" s="198"/>
      <c r="HU8" s="198"/>
      <c r="HV8" s="198"/>
      <c r="HW8" s="198"/>
      <c r="HX8" s="198"/>
    </row>
    <row r="9" spans="1:232">
      <c r="A9" s="185" t="s">
        <v>492</v>
      </c>
      <c r="B9" s="197"/>
      <c r="C9" s="198"/>
      <c r="D9" s="198"/>
      <c r="E9" s="198"/>
      <c r="F9" s="198"/>
      <c r="G9" s="198"/>
      <c r="H9" s="199"/>
      <c r="I9" s="197"/>
      <c r="J9" s="198"/>
      <c r="K9" s="198"/>
      <c r="L9" s="198"/>
      <c r="M9" s="198"/>
      <c r="N9" s="198"/>
      <c r="O9" s="199"/>
      <c r="P9" s="198"/>
      <c r="Q9" s="198"/>
      <c r="R9" s="198"/>
      <c r="S9" s="198"/>
      <c r="T9" s="198"/>
      <c r="U9" s="198"/>
      <c r="V9" s="198"/>
      <c r="W9" s="197"/>
      <c r="X9" s="198"/>
      <c r="Y9" s="198"/>
      <c r="Z9" s="198"/>
      <c r="AA9" s="198"/>
      <c r="AB9" s="198"/>
      <c r="AC9" s="199"/>
      <c r="AD9" s="198"/>
      <c r="AE9" s="198">
        <v>15.996</v>
      </c>
      <c r="AF9" s="198">
        <v>57.243000000000009</v>
      </c>
      <c r="AG9" s="198">
        <v>32.838000000000001</v>
      </c>
      <c r="AH9" s="198">
        <v>19.88</v>
      </c>
      <c r="AI9" s="198"/>
      <c r="AJ9" s="198"/>
      <c r="AK9" s="197"/>
      <c r="AL9" s="198"/>
      <c r="AM9" s="198"/>
      <c r="AN9" s="198"/>
      <c r="AO9" s="198"/>
      <c r="AP9" s="198"/>
      <c r="AQ9" s="199"/>
      <c r="AR9" s="198"/>
      <c r="AS9" s="198"/>
      <c r="AT9" s="198"/>
      <c r="AU9" s="198"/>
      <c r="AV9" s="198"/>
      <c r="AW9" s="198"/>
      <c r="AX9" s="198"/>
      <c r="AY9" s="197"/>
      <c r="AZ9" s="198"/>
      <c r="BA9" s="198"/>
      <c r="BB9" s="198"/>
      <c r="BC9" s="198"/>
      <c r="BD9" s="198"/>
      <c r="BE9" s="198"/>
      <c r="BF9" s="197"/>
      <c r="BG9" s="198"/>
      <c r="BH9" s="198"/>
      <c r="BI9" s="198"/>
      <c r="BJ9" s="198"/>
      <c r="BK9" s="198"/>
      <c r="BL9" s="198"/>
      <c r="BM9" s="197"/>
      <c r="BN9" s="198"/>
      <c r="BO9" s="198"/>
      <c r="BP9" s="198"/>
      <c r="BQ9" s="198"/>
      <c r="BR9" s="198"/>
      <c r="BS9" s="198"/>
      <c r="BT9" s="197"/>
      <c r="BU9" s="198"/>
      <c r="BV9" s="198"/>
      <c r="BW9" s="198"/>
      <c r="BX9" s="198"/>
      <c r="BY9" s="198"/>
      <c r="BZ9" s="198"/>
      <c r="CA9" s="197"/>
      <c r="CB9" s="198"/>
      <c r="CC9" s="198"/>
      <c r="CD9" s="198"/>
      <c r="CE9" s="198"/>
      <c r="CF9" s="198"/>
      <c r="CG9" s="198"/>
      <c r="CH9" s="197"/>
      <c r="CI9" s="198"/>
      <c r="CJ9" s="198"/>
      <c r="CK9" s="198"/>
      <c r="CL9" s="198"/>
      <c r="CM9" s="198"/>
      <c r="CN9" s="198"/>
      <c r="CO9" s="197"/>
      <c r="CP9" s="198"/>
      <c r="CQ9" s="198"/>
      <c r="CR9" s="198"/>
      <c r="CS9" s="198"/>
      <c r="CT9" s="198"/>
      <c r="CU9" s="198"/>
      <c r="CV9" s="197"/>
      <c r="CW9" s="198"/>
      <c r="CX9" s="198"/>
      <c r="CY9" s="198"/>
      <c r="CZ9" s="198"/>
      <c r="DA9" s="198"/>
      <c r="DB9" s="198"/>
      <c r="DC9" s="197"/>
      <c r="DD9" s="198"/>
      <c r="DE9" s="198"/>
      <c r="DF9" s="198"/>
      <c r="DG9" s="198"/>
      <c r="DH9" s="198"/>
      <c r="DI9" s="198"/>
      <c r="DJ9" s="197"/>
      <c r="DK9" s="198"/>
      <c r="DL9" s="198"/>
      <c r="DM9" s="198"/>
      <c r="DN9" s="198"/>
      <c r="DO9" s="198"/>
      <c r="DP9" s="198"/>
      <c r="DQ9" s="197"/>
      <c r="DR9" s="198"/>
      <c r="DS9" s="198"/>
      <c r="DT9" s="198"/>
      <c r="DU9" s="198"/>
      <c r="DV9" s="198"/>
      <c r="DW9" s="198"/>
      <c r="DX9" s="197"/>
      <c r="DY9" s="198"/>
      <c r="DZ9" s="198"/>
      <c r="EA9" s="198"/>
      <c r="EB9" s="198"/>
      <c r="EC9" s="198"/>
      <c r="ED9" s="198"/>
      <c r="EE9" s="197"/>
      <c r="EF9" s="198"/>
      <c r="EG9" s="198"/>
      <c r="EH9" s="198"/>
      <c r="EI9" s="198"/>
      <c r="EJ9" s="198"/>
      <c r="EK9" s="199"/>
      <c r="EL9" s="197"/>
      <c r="EM9" s="198"/>
      <c r="EN9" s="198"/>
      <c r="EO9" s="198"/>
      <c r="EP9" s="198"/>
      <c r="EQ9" s="198"/>
      <c r="ER9" s="199"/>
      <c r="ES9" s="198"/>
      <c r="ET9" s="198"/>
      <c r="EU9" s="198"/>
      <c r="EV9" s="198"/>
      <c r="EW9" s="198"/>
      <c r="EX9" s="198"/>
      <c r="EY9" s="199"/>
      <c r="EZ9" s="198"/>
      <c r="FA9" s="198"/>
      <c r="FB9" s="198"/>
      <c r="FC9" s="198"/>
      <c r="FD9" s="198"/>
      <c r="FE9" s="198"/>
      <c r="FF9" s="198"/>
      <c r="FG9" s="197"/>
      <c r="FH9" s="198"/>
      <c r="FI9" s="198"/>
      <c r="FJ9" s="198"/>
      <c r="FK9" s="198"/>
      <c r="FL9" s="198"/>
      <c r="FM9" s="198"/>
      <c r="FN9" s="197"/>
      <c r="FO9" s="198"/>
      <c r="FP9" s="198"/>
      <c r="FQ9" s="198"/>
      <c r="FR9" s="198"/>
      <c r="FS9" s="198"/>
      <c r="FT9" s="199"/>
      <c r="FU9" s="197"/>
      <c r="FV9" s="198"/>
      <c r="FW9" s="198"/>
      <c r="FX9" s="198"/>
      <c r="FY9" s="198"/>
      <c r="FZ9" s="198"/>
      <c r="GA9" s="199"/>
      <c r="GB9" s="197"/>
      <c r="GC9" s="198"/>
      <c r="GD9" s="198"/>
      <c r="GE9" s="198"/>
      <c r="GF9" s="198"/>
      <c r="GG9" s="198"/>
      <c r="GH9" s="199"/>
      <c r="GI9" s="197"/>
      <c r="GJ9" s="198"/>
      <c r="GK9" s="198"/>
      <c r="GL9" s="198"/>
      <c r="GM9" s="198"/>
      <c r="GN9" s="198"/>
      <c r="GO9" s="199"/>
      <c r="GP9" s="197"/>
      <c r="GQ9" s="198"/>
      <c r="GR9" s="198"/>
      <c r="GS9" s="198"/>
      <c r="GT9" s="198"/>
      <c r="GU9" s="198"/>
      <c r="GV9" s="199"/>
      <c r="GW9" s="197"/>
      <c r="GX9" s="198"/>
      <c r="GY9" s="198"/>
      <c r="GZ9" s="198"/>
      <c r="HA9" s="198"/>
      <c r="HB9" s="198"/>
      <c r="HC9" s="199"/>
      <c r="HD9" s="197"/>
      <c r="HE9" s="198"/>
      <c r="HF9" s="198"/>
      <c r="HG9" s="198"/>
      <c r="HH9" s="198"/>
      <c r="HI9" s="198"/>
      <c r="HJ9" s="199"/>
      <c r="HK9" s="197"/>
      <c r="HL9" s="198"/>
      <c r="HM9" s="198"/>
      <c r="HN9" s="198"/>
      <c r="HO9" s="198"/>
      <c r="HP9" s="198"/>
      <c r="HQ9" s="198"/>
      <c r="HR9" s="197"/>
      <c r="HT9" s="198"/>
      <c r="HU9" s="198"/>
      <c r="HV9" s="198"/>
      <c r="HW9" s="198"/>
      <c r="HX9" s="198"/>
    </row>
    <row r="10" spans="1:232">
      <c r="A10" s="185" t="s">
        <v>493</v>
      </c>
      <c r="B10" s="197"/>
      <c r="C10" s="198"/>
      <c r="D10" s="198"/>
      <c r="E10" s="198"/>
      <c r="F10" s="198"/>
      <c r="G10" s="198"/>
      <c r="H10" s="199"/>
      <c r="I10" s="197"/>
      <c r="J10" s="198"/>
      <c r="K10" s="198"/>
      <c r="L10" s="198"/>
      <c r="M10" s="198"/>
      <c r="N10" s="198"/>
      <c r="O10" s="199"/>
      <c r="P10" s="198"/>
      <c r="Q10" s="198"/>
      <c r="R10" s="198"/>
      <c r="S10" s="198"/>
      <c r="T10" s="198"/>
      <c r="U10" s="198"/>
      <c r="V10" s="198"/>
      <c r="W10" s="197"/>
      <c r="X10" s="198"/>
      <c r="Y10" s="198"/>
      <c r="Z10" s="198"/>
      <c r="AA10" s="198"/>
      <c r="AB10" s="198"/>
      <c r="AC10" s="199"/>
      <c r="AD10" s="198"/>
      <c r="AE10" s="198">
        <v>14.807</v>
      </c>
      <c r="AF10" s="198">
        <v>58.188000000000002</v>
      </c>
      <c r="AG10" s="198">
        <v>32.488999999999997</v>
      </c>
      <c r="AH10" s="198">
        <v>20.99</v>
      </c>
      <c r="AI10" s="198"/>
      <c r="AJ10" s="198"/>
      <c r="AK10" s="197"/>
      <c r="AL10" s="198"/>
      <c r="AM10" s="198"/>
      <c r="AN10" s="198"/>
      <c r="AO10" s="198"/>
      <c r="AP10" s="198"/>
      <c r="AQ10" s="199"/>
      <c r="AR10" s="198"/>
      <c r="AS10" s="198"/>
      <c r="AT10" s="198"/>
      <c r="AU10" s="198"/>
      <c r="AV10" s="198"/>
      <c r="AW10" s="198"/>
      <c r="AX10" s="198"/>
      <c r="AY10" s="197"/>
      <c r="AZ10" s="198"/>
      <c r="BA10" s="198"/>
      <c r="BB10" s="198"/>
      <c r="BC10" s="198"/>
      <c r="BD10" s="198"/>
      <c r="BE10" s="198"/>
      <c r="BF10" s="197"/>
      <c r="BG10" s="198"/>
      <c r="BH10" s="198"/>
      <c r="BI10" s="198"/>
      <c r="BJ10" s="198"/>
      <c r="BK10" s="198"/>
      <c r="BL10" s="198"/>
      <c r="BM10" s="197"/>
      <c r="BN10" s="198"/>
      <c r="BO10" s="198"/>
      <c r="BP10" s="198"/>
      <c r="BQ10" s="198"/>
      <c r="BR10" s="198"/>
      <c r="BS10" s="198"/>
      <c r="BT10" s="197"/>
      <c r="BU10" s="198"/>
      <c r="BV10" s="198"/>
      <c r="BW10" s="198"/>
      <c r="BX10" s="198"/>
      <c r="BY10" s="198"/>
      <c r="BZ10" s="198"/>
      <c r="CA10" s="197"/>
      <c r="CB10" s="198"/>
      <c r="CC10" s="198"/>
      <c r="CD10" s="198"/>
      <c r="CE10" s="198"/>
      <c r="CF10" s="198"/>
      <c r="CG10" s="198"/>
      <c r="CH10" s="197"/>
      <c r="CI10" s="198"/>
      <c r="CJ10" s="198"/>
      <c r="CK10" s="198"/>
      <c r="CL10" s="198"/>
      <c r="CM10" s="198"/>
      <c r="CN10" s="198"/>
      <c r="CO10" s="197"/>
      <c r="CP10" s="198"/>
      <c r="CQ10" s="198"/>
      <c r="CR10" s="198"/>
      <c r="CS10" s="198"/>
      <c r="CT10" s="198"/>
      <c r="CU10" s="198"/>
      <c r="CV10" s="197"/>
      <c r="CW10" s="198"/>
      <c r="CX10" s="198"/>
      <c r="CY10" s="198"/>
      <c r="CZ10" s="198"/>
      <c r="DA10" s="198"/>
      <c r="DB10" s="198"/>
      <c r="DC10" s="197"/>
      <c r="DD10" s="198"/>
      <c r="DE10" s="198"/>
      <c r="DF10" s="198"/>
      <c r="DG10" s="198"/>
      <c r="DH10" s="198"/>
      <c r="DI10" s="198"/>
      <c r="DJ10" s="197"/>
      <c r="DK10" s="198"/>
      <c r="DL10" s="198"/>
      <c r="DM10" s="198"/>
      <c r="DN10" s="198"/>
      <c r="DO10" s="198"/>
      <c r="DP10" s="198"/>
      <c r="DQ10" s="197"/>
      <c r="DR10" s="198"/>
      <c r="DS10" s="198"/>
      <c r="DT10" s="198"/>
      <c r="DU10" s="198"/>
      <c r="DV10" s="198"/>
      <c r="DW10" s="198"/>
      <c r="DX10" s="197"/>
      <c r="DY10" s="198"/>
      <c r="DZ10" s="198"/>
      <c r="EA10" s="198"/>
      <c r="EB10" s="198"/>
      <c r="EC10" s="198"/>
      <c r="ED10" s="198"/>
      <c r="EE10" s="197"/>
      <c r="EF10" s="198"/>
      <c r="EG10" s="198"/>
      <c r="EH10" s="198"/>
      <c r="EI10" s="198"/>
      <c r="EJ10" s="198"/>
      <c r="EK10" s="199"/>
      <c r="EL10" s="197"/>
      <c r="EM10" s="198"/>
      <c r="EN10" s="198"/>
      <c r="EO10" s="198"/>
      <c r="EP10" s="198"/>
      <c r="EQ10" s="198"/>
      <c r="ER10" s="199"/>
      <c r="ES10" s="198"/>
      <c r="ET10" s="198"/>
      <c r="EU10" s="198"/>
      <c r="EV10" s="198"/>
      <c r="EW10" s="198"/>
      <c r="EX10" s="198"/>
      <c r="EY10" s="199"/>
      <c r="EZ10" s="198"/>
      <c r="FA10" s="198"/>
      <c r="FB10" s="198"/>
      <c r="FC10" s="198"/>
      <c r="FD10" s="198"/>
      <c r="FE10" s="198"/>
      <c r="FF10" s="198"/>
      <c r="FG10" s="197"/>
      <c r="FH10" s="198"/>
      <c r="FI10" s="198"/>
      <c r="FJ10" s="198"/>
      <c r="FK10" s="198"/>
      <c r="FL10" s="198"/>
      <c r="FM10" s="198"/>
      <c r="FN10" s="197"/>
      <c r="FO10" s="198"/>
      <c r="FP10" s="198"/>
      <c r="FQ10" s="198"/>
      <c r="FR10" s="198"/>
      <c r="FS10" s="198"/>
      <c r="FT10" s="199"/>
      <c r="FU10" s="197"/>
      <c r="FV10" s="198"/>
      <c r="FW10" s="198"/>
      <c r="FX10" s="198"/>
      <c r="FY10" s="198"/>
      <c r="FZ10" s="198"/>
      <c r="GA10" s="199"/>
      <c r="GB10" s="197"/>
      <c r="GC10" s="198"/>
      <c r="GD10" s="198"/>
      <c r="GE10" s="198"/>
      <c r="GF10" s="198"/>
      <c r="GG10" s="198"/>
      <c r="GH10" s="199"/>
      <c r="GI10" s="197"/>
      <c r="GJ10" s="198"/>
      <c r="GK10" s="198"/>
      <c r="GL10" s="198"/>
      <c r="GM10" s="198"/>
      <c r="GN10" s="198"/>
      <c r="GO10" s="199"/>
      <c r="GP10" s="197"/>
      <c r="GQ10" s="198"/>
      <c r="GR10" s="198"/>
      <c r="GS10" s="198"/>
      <c r="GT10" s="198"/>
      <c r="GU10" s="198"/>
      <c r="GV10" s="199"/>
      <c r="GW10" s="197"/>
      <c r="GX10" s="198"/>
      <c r="GY10" s="198"/>
      <c r="GZ10" s="198"/>
      <c r="HA10" s="198"/>
      <c r="HB10" s="198"/>
      <c r="HC10" s="199"/>
      <c r="HD10" s="197"/>
      <c r="HE10" s="198"/>
      <c r="HF10" s="198"/>
      <c r="HG10" s="198"/>
      <c r="HH10" s="198"/>
      <c r="HI10" s="198"/>
      <c r="HJ10" s="199"/>
      <c r="HK10" s="197"/>
      <c r="HL10" s="198"/>
      <c r="HM10" s="198"/>
      <c r="HN10" s="198"/>
      <c r="HO10" s="198"/>
      <c r="HP10" s="198"/>
      <c r="HQ10" s="198"/>
      <c r="HR10" s="197"/>
      <c r="HT10" s="198"/>
      <c r="HU10" s="198"/>
      <c r="HV10" s="198"/>
      <c r="HW10" s="198"/>
      <c r="HX10" s="198"/>
    </row>
    <row r="11" spans="1:232">
      <c r="A11" s="185" t="s">
        <v>494</v>
      </c>
      <c r="B11" s="197"/>
      <c r="C11" s="198"/>
      <c r="D11" s="198"/>
      <c r="E11" s="198"/>
      <c r="F11" s="198"/>
      <c r="G11" s="198"/>
      <c r="H11" s="199"/>
      <c r="I11" s="197"/>
      <c r="J11" s="198"/>
      <c r="K11" s="198"/>
      <c r="L11" s="198"/>
      <c r="M11" s="198"/>
      <c r="N11" s="198"/>
      <c r="O11" s="199"/>
      <c r="P11" s="198"/>
      <c r="Q11" s="198"/>
      <c r="R11" s="198"/>
      <c r="S11" s="198"/>
      <c r="T11" s="198"/>
      <c r="U11" s="198"/>
      <c r="V11" s="198"/>
      <c r="W11" s="197"/>
      <c r="X11" s="198"/>
      <c r="Y11" s="198"/>
      <c r="Z11" s="198"/>
      <c r="AA11" s="198"/>
      <c r="AB11" s="198"/>
      <c r="AC11" s="199"/>
      <c r="AD11" s="198">
        <f>[1]datos!$S143</f>
        <v>218.935</v>
      </c>
      <c r="AE11" s="198">
        <v>16.507999999999999</v>
      </c>
      <c r="AF11" s="198">
        <v>62.044999999999995</v>
      </c>
      <c r="AG11" s="198">
        <v>33.210999999999999</v>
      </c>
      <c r="AH11" s="198">
        <v>20.777000000000001</v>
      </c>
      <c r="AI11" s="198">
        <f>[1]datos!$U143</f>
        <v>35.99</v>
      </c>
      <c r="AJ11" s="198">
        <f>AD11-AE11-AF11-AG11-AH11-AI11</f>
        <v>50.404000000000003</v>
      </c>
      <c r="AK11" s="197"/>
      <c r="AL11" s="198"/>
      <c r="AM11" s="198"/>
      <c r="AN11" s="198"/>
      <c r="AO11" s="198"/>
      <c r="AP11" s="198"/>
      <c r="AQ11" s="199"/>
      <c r="AR11" s="198">
        <v>7.6373641808065267E-3</v>
      </c>
      <c r="AS11" s="198">
        <v>1.6530445439623803E-3</v>
      </c>
      <c r="AT11" s="198">
        <v>4.8917469356607067E-4</v>
      </c>
      <c r="AU11" s="198">
        <v>1.8702667165787226E-3</v>
      </c>
      <c r="AV11" s="198">
        <v>2.4129555265172884E-4</v>
      </c>
      <c r="AW11" s="198"/>
      <c r="AX11" s="198">
        <v>3.383582674047625E-3</v>
      </c>
      <c r="AY11" s="197"/>
      <c r="AZ11" s="198"/>
      <c r="BA11" s="198"/>
      <c r="BB11" s="198"/>
      <c r="BC11" s="198"/>
      <c r="BD11" s="198"/>
      <c r="BE11" s="198"/>
      <c r="BF11" s="197"/>
      <c r="BG11" s="198"/>
      <c r="BH11" s="198"/>
      <c r="BI11" s="198"/>
      <c r="BJ11" s="198"/>
      <c r="BK11" s="198"/>
      <c r="BL11" s="198"/>
      <c r="BM11" s="197"/>
      <c r="BN11" s="198"/>
      <c r="BO11" s="198"/>
      <c r="BP11" s="198"/>
      <c r="BQ11" s="198"/>
      <c r="BR11" s="198"/>
      <c r="BS11" s="198"/>
      <c r="BT11" s="197"/>
      <c r="BU11" s="198"/>
      <c r="BV11" s="198"/>
      <c r="BW11" s="198"/>
      <c r="BX11" s="198"/>
      <c r="BY11" s="198"/>
      <c r="BZ11" s="198"/>
      <c r="CA11" s="197"/>
      <c r="CB11" s="198"/>
      <c r="CC11" s="198"/>
      <c r="CD11" s="198"/>
      <c r="CE11" s="198"/>
      <c r="CF11" s="198"/>
      <c r="CG11" s="198"/>
      <c r="CH11" s="197"/>
      <c r="CI11" s="198"/>
      <c r="CJ11" s="198"/>
      <c r="CK11" s="198"/>
      <c r="CL11" s="198"/>
      <c r="CM11" s="198"/>
      <c r="CN11" s="198"/>
      <c r="CO11" s="197"/>
      <c r="CP11" s="198"/>
      <c r="CQ11" s="198"/>
      <c r="CR11" s="198"/>
      <c r="CS11" s="198"/>
      <c r="CT11" s="198"/>
      <c r="CU11" s="198"/>
      <c r="CV11" s="197"/>
      <c r="CW11" s="198"/>
      <c r="CX11" s="198"/>
      <c r="CY11" s="198"/>
      <c r="CZ11" s="198"/>
      <c r="DA11" s="198"/>
      <c r="DB11" s="198"/>
      <c r="DC11" s="197"/>
      <c r="DD11" s="198"/>
      <c r="DE11" s="198"/>
      <c r="DF11" s="198"/>
      <c r="DG11" s="198"/>
      <c r="DH11" s="198"/>
      <c r="DI11" s="198"/>
      <c r="DJ11" s="197"/>
      <c r="DK11" s="198"/>
      <c r="DL11" s="198"/>
      <c r="DM11" s="198"/>
      <c r="DN11" s="198"/>
      <c r="DO11" s="198"/>
      <c r="DP11" s="198"/>
      <c r="DQ11" s="197"/>
      <c r="DR11" s="198"/>
      <c r="DS11" s="198"/>
      <c r="DT11" s="198"/>
      <c r="DU11" s="198"/>
      <c r="DV11" s="198"/>
      <c r="DW11" s="198"/>
      <c r="DX11" s="197"/>
      <c r="DY11" s="198"/>
      <c r="DZ11" s="198"/>
      <c r="EA11" s="198"/>
      <c r="EB11" s="198"/>
      <c r="EC11" s="198"/>
      <c r="ED11" s="198"/>
      <c r="EE11" s="197"/>
      <c r="EF11" s="198"/>
      <c r="EG11" s="198"/>
      <c r="EH11" s="198"/>
      <c r="EI11" s="198"/>
      <c r="EJ11" s="198"/>
      <c r="EK11" s="199"/>
      <c r="EL11" s="197"/>
      <c r="EM11" s="198"/>
      <c r="EN11" s="198"/>
      <c r="EO11" s="198"/>
      <c r="EP11" s="198"/>
      <c r="EQ11" s="198"/>
      <c r="ER11" s="199"/>
      <c r="ES11" s="198"/>
      <c r="ET11" s="198"/>
      <c r="EU11" s="198"/>
      <c r="EV11" s="198"/>
      <c r="EW11" s="198"/>
      <c r="EX11" s="198"/>
      <c r="EY11" s="199"/>
      <c r="EZ11" s="198"/>
      <c r="FA11" s="198"/>
      <c r="FB11" s="198"/>
      <c r="FC11" s="198"/>
      <c r="FD11" s="198"/>
      <c r="FE11" s="198"/>
      <c r="FF11" s="198"/>
      <c r="FG11" s="197"/>
      <c r="FH11" s="198"/>
      <c r="FI11" s="198"/>
      <c r="FJ11" s="198"/>
      <c r="FK11" s="198"/>
      <c r="FL11" s="198"/>
      <c r="FM11" s="198"/>
      <c r="FN11" s="197"/>
      <c r="FO11" s="198"/>
      <c r="FP11" s="198"/>
      <c r="FQ11" s="198"/>
      <c r="FR11" s="198"/>
      <c r="FS11" s="198"/>
      <c r="FT11" s="199"/>
      <c r="FU11" s="197"/>
      <c r="FV11" s="198"/>
      <c r="FW11" s="198"/>
      <c r="FX11" s="198"/>
      <c r="FY11" s="198"/>
      <c r="FZ11" s="198"/>
      <c r="GA11" s="199"/>
      <c r="GB11" s="197"/>
      <c r="GC11" s="198"/>
      <c r="GD11" s="198"/>
      <c r="GE11" s="198"/>
      <c r="GF11" s="198"/>
      <c r="GG11" s="198"/>
      <c r="GH11" s="199"/>
      <c r="GI11" s="197"/>
      <c r="GJ11" s="198"/>
      <c r="GK11" s="198"/>
      <c r="GL11" s="198"/>
      <c r="GM11" s="198"/>
      <c r="GN11" s="198"/>
      <c r="GO11" s="199"/>
      <c r="GP11" s="197"/>
      <c r="GQ11" s="198"/>
      <c r="GR11" s="198"/>
      <c r="GS11" s="198"/>
      <c r="GT11" s="198"/>
      <c r="GU11" s="198"/>
      <c r="GV11" s="199"/>
      <c r="GW11" s="197"/>
      <c r="GX11" s="198"/>
      <c r="GY11" s="198"/>
      <c r="GZ11" s="198"/>
      <c r="HA11" s="198"/>
      <c r="HB11" s="198"/>
      <c r="HC11" s="199"/>
      <c r="HD11" s="197"/>
      <c r="HE11" s="198"/>
      <c r="HF11" s="198"/>
      <c r="HG11" s="198"/>
      <c r="HH11" s="198"/>
      <c r="HI11" s="198"/>
      <c r="HJ11" s="199"/>
      <c r="HK11" s="197"/>
      <c r="HL11" s="198"/>
      <c r="HM11" s="198"/>
      <c r="HN11" s="198"/>
      <c r="HO11" s="198"/>
      <c r="HP11" s="198"/>
      <c r="HQ11" s="198"/>
      <c r="HR11" s="197"/>
      <c r="HT11" s="198"/>
      <c r="HU11" s="198"/>
      <c r="HV11" s="198"/>
      <c r="HW11" s="198"/>
      <c r="HX11" s="198"/>
    </row>
    <row r="12" spans="1:232">
      <c r="A12" s="185" t="s">
        <v>495</v>
      </c>
      <c r="B12" s="197"/>
      <c r="C12" s="198"/>
      <c r="D12" s="198"/>
      <c r="E12" s="198"/>
      <c r="F12" s="198"/>
      <c r="G12" s="198"/>
      <c r="H12" s="199"/>
      <c r="I12" s="197"/>
      <c r="J12" s="198"/>
      <c r="K12" s="198"/>
      <c r="L12" s="198"/>
      <c r="M12" s="198"/>
      <c r="N12" s="198"/>
      <c r="O12" s="199"/>
      <c r="P12" s="198"/>
      <c r="Q12" s="198"/>
      <c r="R12" s="198"/>
      <c r="S12" s="198"/>
      <c r="T12" s="198"/>
      <c r="U12" s="198"/>
      <c r="V12" s="198"/>
      <c r="W12" s="197"/>
      <c r="X12" s="198"/>
      <c r="Y12" s="198"/>
      <c r="Z12" s="198"/>
      <c r="AA12" s="198"/>
      <c r="AB12" s="198"/>
      <c r="AC12" s="199"/>
      <c r="AD12" s="198"/>
      <c r="AE12" s="198">
        <v>17.335000000000001</v>
      </c>
      <c r="AF12" s="198">
        <v>64.888999999999996</v>
      </c>
      <c r="AG12" s="198">
        <v>36.103999999999999</v>
      </c>
      <c r="AH12" s="198">
        <v>20.167999999999999</v>
      </c>
      <c r="AI12" s="198"/>
      <c r="AJ12" s="198"/>
      <c r="AK12" s="197"/>
      <c r="AL12" s="198"/>
      <c r="AM12" s="198"/>
      <c r="AN12" s="198"/>
      <c r="AO12" s="198"/>
      <c r="AP12" s="198"/>
      <c r="AQ12" s="199"/>
      <c r="AR12" s="198">
        <v>9.2705826560369065E-3</v>
      </c>
      <c r="AS12" s="198">
        <v>1.9549639386300909E-3</v>
      </c>
      <c r="AT12" s="198">
        <v>5.8107710543696997E-4</v>
      </c>
      <c r="AU12" s="198">
        <v>2.3277658665711801E-3</v>
      </c>
      <c r="AV12" s="198">
        <v>3.2645085721736376E-4</v>
      </c>
      <c r="AW12" s="198"/>
      <c r="AX12" s="198">
        <v>4.0803248881813034E-3</v>
      </c>
      <c r="AY12" s="197"/>
      <c r="AZ12" s="198"/>
      <c r="BA12" s="198"/>
      <c r="BB12" s="198"/>
      <c r="BC12" s="198"/>
      <c r="BD12" s="198"/>
      <c r="BE12" s="198"/>
      <c r="BF12" s="197"/>
      <c r="BG12" s="198"/>
      <c r="BH12" s="198"/>
      <c r="BI12" s="198"/>
      <c r="BJ12" s="198"/>
      <c r="BK12" s="198"/>
      <c r="BL12" s="198"/>
      <c r="BM12" s="197"/>
      <c r="BN12" s="198"/>
      <c r="BO12" s="198"/>
      <c r="BP12" s="198"/>
      <c r="BQ12" s="198"/>
      <c r="BR12" s="198"/>
      <c r="BS12" s="198"/>
      <c r="BT12" s="197"/>
      <c r="BU12" s="198"/>
      <c r="BV12" s="198"/>
      <c r="BW12" s="198"/>
      <c r="BX12" s="198"/>
      <c r="BY12" s="198"/>
      <c r="BZ12" s="198"/>
      <c r="CA12" s="197"/>
      <c r="CB12" s="198"/>
      <c r="CC12" s="198"/>
      <c r="CD12" s="198"/>
      <c r="CE12" s="198"/>
      <c r="CF12" s="198"/>
      <c r="CG12" s="198"/>
      <c r="CH12" s="197"/>
      <c r="CI12" s="198"/>
      <c r="CJ12" s="198"/>
      <c r="CK12" s="198"/>
      <c r="CL12" s="198"/>
      <c r="CM12" s="198"/>
      <c r="CN12" s="198"/>
      <c r="CO12" s="197"/>
      <c r="CP12" s="198"/>
      <c r="CQ12" s="198"/>
      <c r="CR12" s="198"/>
      <c r="CS12" s="198"/>
      <c r="CT12" s="198"/>
      <c r="CU12" s="198"/>
      <c r="CV12" s="197"/>
      <c r="CW12" s="198"/>
      <c r="CX12" s="198"/>
      <c r="CY12" s="198"/>
      <c r="CZ12" s="198"/>
      <c r="DA12" s="198"/>
      <c r="DB12" s="198"/>
      <c r="DC12" s="197"/>
      <c r="DD12" s="198"/>
      <c r="DE12" s="198"/>
      <c r="DF12" s="198"/>
      <c r="DG12" s="198"/>
      <c r="DH12" s="198"/>
      <c r="DI12" s="198"/>
      <c r="DJ12" s="197"/>
      <c r="DK12" s="198"/>
      <c r="DL12" s="198"/>
      <c r="DM12" s="198"/>
      <c r="DN12" s="198"/>
      <c r="DO12" s="198"/>
      <c r="DP12" s="198"/>
      <c r="DQ12" s="197"/>
      <c r="DR12" s="198"/>
      <c r="DS12" s="198"/>
      <c r="DT12" s="198"/>
      <c r="DU12" s="198"/>
      <c r="DV12" s="198"/>
      <c r="DW12" s="198"/>
      <c r="DX12" s="197"/>
      <c r="DY12" s="198"/>
      <c r="DZ12" s="198"/>
      <c r="EA12" s="198"/>
      <c r="EB12" s="198"/>
      <c r="EC12" s="198"/>
      <c r="ED12" s="198"/>
      <c r="EE12" s="197"/>
      <c r="EF12" s="198"/>
      <c r="EG12" s="198"/>
      <c r="EH12" s="198"/>
      <c r="EI12" s="198"/>
      <c r="EJ12" s="198"/>
      <c r="EK12" s="199"/>
      <c r="EL12" s="197"/>
      <c r="EM12" s="198"/>
      <c r="EN12" s="198"/>
      <c r="EO12" s="198"/>
      <c r="EP12" s="198"/>
      <c r="EQ12" s="198"/>
      <c r="ER12" s="199"/>
      <c r="ES12" s="198"/>
      <c r="ET12" s="198"/>
      <c r="EU12" s="198"/>
      <c r="EV12" s="198"/>
      <c r="EW12" s="198"/>
      <c r="EX12" s="198"/>
      <c r="EY12" s="199"/>
      <c r="EZ12" s="198"/>
      <c r="FA12" s="198"/>
      <c r="FB12" s="198"/>
      <c r="FC12" s="198"/>
      <c r="FD12" s="198"/>
      <c r="FE12" s="198"/>
      <c r="FF12" s="198"/>
      <c r="FG12" s="197"/>
      <c r="FH12" s="198"/>
      <c r="FI12" s="198"/>
      <c r="FJ12" s="198"/>
      <c r="FK12" s="198"/>
      <c r="FL12" s="198"/>
      <c r="FM12" s="198"/>
      <c r="FN12" s="197"/>
      <c r="FO12" s="198"/>
      <c r="FP12" s="198"/>
      <c r="FQ12" s="198"/>
      <c r="FR12" s="198"/>
      <c r="FS12" s="198"/>
      <c r="FT12" s="199"/>
      <c r="FU12" s="197"/>
      <c r="FV12" s="198"/>
      <c r="FW12" s="198"/>
      <c r="FX12" s="198"/>
      <c r="FY12" s="198"/>
      <c r="FZ12" s="198"/>
      <c r="GA12" s="199"/>
      <c r="GB12" s="197"/>
      <c r="GC12" s="198"/>
      <c r="GD12" s="198"/>
      <c r="GE12" s="198"/>
      <c r="GF12" s="198"/>
      <c r="GG12" s="198"/>
      <c r="GH12" s="199"/>
      <c r="GI12" s="197"/>
      <c r="GJ12" s="198"/>
      <c r="GK12" s="198"/>
      <c r="GL12" s="198"/>
      <c r="GM12" s="198"/>
      <c r="GN12" s="198"/>
      <c r="GO12" s="199"/>
      <c r="GP12" s="197"/>
      <c r="GQ12" s="198"/>
      <c r="GR12" s="198"/>
      <c r="GS12" s="198"/>
      <c r="GT12" s="198"/>
      <c r="GU12" s="198"/>
      <c r="GV12" s="199"/>
      <c r="GW12" s="197"/>
      <c r="GX12" s="198"/>
      <c r="GY12" s="198"/>
      <c r="GZ12" s="198"/>
      <c r="HA12" s="198"/>
      <c r="HB12" s="198"/>
      <c r="HC12" s="199"/>
      <c r="HD12" s="197"/>
      <c r="HE12" s="198"/>
      <c r="HF12" s="198"/>
      <c r="HG12" s="198"/>
      <c r="HH12" s="198"/>
      <c r="HI12" s="198"/>
      <c r="HJ12" s="199"/>
      <c r="HK12" s="197"/>
      <c r="HL12" s="198"/>
      <c r="HM12" s="198"/>
      <c r="HN12" s="198"/>
      <c r="HO12" s="198"/>
      <c r="HP12" s="198"/>
      <c r="HQ12" s="198"/>
      <c r="HR12" s="197"/>
      <c r="HT12" s="198"/>
      <c r="HU12" s="198"/>
      <c r="HV12" s="198"/>
      <c r="HW12" s="198"/>
      <c r="HX12" s="198"/>
    </row>
    <row r="13" spans="1:232">
      <c r="A13" s="185" t="s">
        <v>496</v>
      </c>
      <c r="B13" s="197"/>
      <c r="C13" s="198"/>
      <c r="D13" s="198"/>
      <c r="E13" s="198"/>
      <c r="F13" s="198"/>
      <c r="G13" s="198"/>
      <c r="H13" s="199"/>
      <c r="I13" s="197"/>
      <c r="J13" s="198"/>
      <c r="K13" s="198"/>
      <c r="L13" s="198"/>
      <c r="M13" s="198"/>
      <c r="N13" s="198"/>
      <c r="O13" s="199"/>
      <c r="P13" s="198"/>
      <c r="Q13" s="198"/>
      <c r="R13" s="198"/>
      <c r="S13" s="198"/>
      <c r="T13" s="198"/>
      <c r="U13" s="198"/>
      <c r="V13" s="198"/>
      <c r="W13" s="197"/>
      <c r="X13" s="198"/>
      <c r="Y13" s="198"/>
      <c r="Z13" s="198"/>
      <c r="AA13" s="198"/>
      <c r="AB13" s="198"/>
      <c r="AC13" s="199"/>
      <c r="AD13" s="198"/>
      <c r="AE13" s="198">
        <v>15.750999999999999</v>
      </c>
      <c r="AF13" s="198">
        <v>65.713999999999999</v>
      </c>
      <c r="AG13" s="198">
        <v>37.647999999999996</v>
      </c>
      <c r="AH13" s="198">
        <v>22.783999999999999</v>
      </c>
      <c r="AI13" s="198"/>
      <c r="AJ13" s="198"/>
      <c r="AK13" s="197"/>
      <c r="AL13" s="198"/>
      <c r="AM13" s="198"/>
      <c r="AN13" s="198"/>
      <c r="AO13" s="198"/>
      <c r="AP13" s="198"/>
      <c r="AQ13" s="199"/>
      <c r="AR13" s="198">
        <v>1.1487177380257401E-2</v>
      </c>
      <c r="AS13" s="198">
        <v>2.338862910531295E-3</v>
      </c>
      <c r="AT13" s="198">
        <v>6.8182409021577597E-4</v>
      </c>
      <c r="AU13" s="198">
        <v>2.8646479954758095E-3</v>
      </c>
      <c r="AV13" s="198">
        <v>4.0021115850227232E-4</v>
      </c>
      <c r="AW13" s="198"/>
      <c r="AX13" s="198">
        <v>5.2016312255322482E-3</v>
      </c>
      <c r="AY13" s="197"/>
      <c r="AZ13" s="198"/>
      <c r="BA13" s="198"/>
      <c r="BB13" s="198"/>
      <c r="BC13" s="198"/>
      <c r="BD13" s="198"/>
      <c r="BE13" s="198"/>
      <c r="BF13" s="197"/>
      <c r="BG13" s="198"/>
      <c r="BH13" s="198"/>
      <c r="BI13" s="198"/>
      <c r="BJ13" s="198"/>
      <c r="BK13" s="198"/>
      <c r="BL13" s="198"/>
      <c r="BM13" s="197"/>
      <c r="BN13" s="198"/>
      <c r="BO13" s="198"/>
      <c r="BP13" s="198"/>
      <c r="BQ13" s="198"/>
      <c r="BR13" s="198"/>
      <c r="BS13" s="198"/>
      <c r="BT13" s="197"/>
      <c r="BU13" s="198"/>
      <c r="BV13" s="198"/>
      <c r="BW13" s="198"/>
      <c r="BX13" s="198"/>
      <c r="BY13" s="198"/>
      <c r="BZ13" s="198"/>
      <c r="CA13" s="197"/>
      <c r="CB13" s="198"/>
      <c r="CC13" s="198"/>
      <c r="CD13" s="198"/>
      <c r="CE13" s="198"/>
      <c r="CF13" s="198"/>
      <c r="CG13" s="198"/>
      <c r="CH13" s="197"/>
      <c r="CI13" s="198"/>
      <c r="CJ13" s="198"/>
      <c r="CK13" s="198"/>
      <c r="CL13" s="198"/>
      <c r="CM13" s="198"/>
      <c r="CN13" s="198"/>
      <c r="CO13" s="197"/>
      <c r="CP13" s="198"/>
      <c r="CQ13" s="198"/>
      <c r="CR13" s="198"/>
      <c r="CS13" s="198"/>
      <c r="CT13" s="198"/>
      <c r="CU13" s="198"/>
      <c r="CV13" s="197"/>
      <c r="CW13" s="198"/>
      <c r="CX13" s="198"/>
      <c r="CY13" s="198"/>
      <c r="CZ13" s="198"/>
      <c r="DA13" s="198"/>
      <c r="DB13" s="198"/>
      <c r="DC13" s="197"/>
      <c r="DD13" s="198"/>
      <c r="DE13" s="198"/>
      <c r="DF13" s="198"/>
      <c r="DG13" s="198"/>
      <c r="DH13" s="198"/>
      <c r="DI13" s="198"/>
      <c r="DJ13" s="197"/>
      <c r="DK13" s="198"/>
      <c r="DL13" s="198"/>
      <c r="DM13" s="198"/>
      <c r="DN13" s="198"/>
      <c r="DO13" s="198"/>
      <c r="DP13" s="198"/>
      <c r="DQ13" s="197"/>
      <c r="DR13" s="198"/>
      <c r="DS13" s="198"/>
      <c r="DT13" s="198"/>
      <c r="DU13" s="198"/>
      <c r="DV13" s="198"/>
      <c r="DW13" s="198"/>
      <c r="DX13" s="197"/>
      <c r="DY13" s="198"/>
      <c r="DZ13" s="198"/>
      <c r="EA13" s="198"/>
      <c r="EB13" s="198"/>
      <c r="EC13" s="198"/>
      <c r="ED13" s="198"/>
      <c r="EE13" s="197"/>
      <c r="EF13" s="198"/>
      <c r="EG13" s="198"/>
      <c r="EH13" s="198"/>
      <c r="EI13" s="198"/>
      <c r="EJ13" s="198"/>
      <c r="EK13" s="199"/>
      <c r="EL13" s="197"/>
      <c r="EM13" s="198"/>
      <c r="EN13" s="198"/>
      <c r="EO13" s="198"/>
      <c r="EP13" s="198"/>
      <c r="EQ13" s="198"/>
      <c r="ER13" s="199"/>
      <c r="ES13" s="198"/>
      <c r="ET13" s="198"/>
      <c r="EU13" s="198"/>
      <c r="EV13" s="198"/>
      <c r="EW13" s="198"/>
      <c r="EX13" s="198"/>
      <c r="EY13" s="199"/>
      <c r="EZ13" s="198"/>
      <c r="FA13" s="198"/>
      <c r="FB13" s="198"/>
      <c r="FC13" s="198"/>
      <c r="FD13" s="198"/>
      <c r="FE13" s="198"/>
      <c r="FF13" s="198"/>
      <c r="FG13" s="197"/>
      <c r="FH13" s="198"/>
      <c r="FI13" s="198"/>
      <c r="FJ13" s="198"/>
      <c r="FK13" s="198"/>
      <c r="FL13" s="198"/>
      <c r="FM13" s="198"/>
      <c r="FN13" s="197"/>
      <c r="FO13" s="198"/>
      <c r="FP13" s="198"/>
      <c r="FQ13" s="198"/>
      <c r="FR13" s="198"/>
      <c r="FS13" s="198"/>
      <c r="FT13" s="199"/>
      <c r="FU13" s="197"/>
      <c r="FV13" s="198"/>
      <c r="FW13" s="198"/>
      <c r="FX13" s="198"/>
      <c r="FY13" s="198"/>
      <c r="FZ13" s="198"/>
      <c r="GA13" s="199"/>
      <c r="GB13" s="197"/>
      <c r="GC13" s="198"/>
      <c r="GD13" s="198"/>
      <c r="GE13" s="198"/>
      <c r="GF13" s="198"/>
      <c r="GG13" s="198"/>
      <c r="GH13" s="199"/>
      <c r="GI13" s="197"/>
      <c r="GJ13" s="198"/>
      <c r="GK13" s="198"/>
      <c r="GL13" s="198"/>
      <c r="GM13" s="198"/>
      <c r="GN13" s="198"/>
      <c r="GO13" s="199"/>
      <c r="GP13" s="197"/>
      <c r="GQ13" s="198"/>
      <c r="GR13" s="198"/>
      <c r="GS13" s="198"/>
      <c r="GT13" s="198"/>
      <c r="GU13" s="198"/>
      <c r="GV13" s="199"/>
      <c r="GW13" s="197"/>
      <c r="GX13" s="198"/>
      <c r="GY13" s="198"/>
      <c r="GZ13" s="198"/>
      <c r="HA13" s="198"/>
      <c r="HB13" s="198"/>
      <c r="HC13" s="199"/>
      <c r="HD13" s="197"/>
      <c r="HE13" s="198"/>
      <c r="HF13" s="198"/>
      <c r="HG13" s="198"/>
      <c r="HH13" s="198"/>
      <c r="HI13" s="198"/>
      <c r="HJ13" s="199"/>
      <c r="HK13" s="197"/>
      <c r="HL13" s="198"/>
      <c r="HM13" s="198"/>
      <c r="HN13" s="198"/>
      <c r="HO13" s="198"/>
      <c r="HP13" s="198"/>
      <c r="HQ13" s="198"/>
      <c r="HR13" s="197"/>
      <c r="HT13" s="198"/>
      <c r="HU13" s="198"/>
      <c r="HV13" s="198"/>
      <c r="HW13" s="198"/>
      <c r="HX13" s="198"/>
    </row>
    <row r="14" spans="1:232">
      <c r="A14" s="185" t="s">
        <v>497</v>
      </c>
      <c r="B14" s="197"/>
      <c r="C14" s="198"/>
      <c r="D14" s="198"/>
      <c r="E14" s="198"/>
      <c r="F14" s="198"/>
      <c r="G14" s="198"/>
      <c r="H14" s="199"/>
      <c r="I14" s="197"/>
      <c r="J14" s="198"/>
      <c r="K14" s="198"/>
      <c r="L14" s="198"/>
      <c r="M14" s="198"/>
      <c r="N14" s="198"/>
      <c r="O14" s="199"/>
      <c r="P14" s="198"/>
      <c r="Q14" s="198"/>
      <c r="R14" s="198"/>
      <c r="S14" s="198"/>
      <c r="T14" s="198"/>
      <c r="U14" s="198"/>
      <c r="V14" s="198"/>
      <c r="W14" s="197"/>
      <c r="X14" s="198"/>
      <c r="Y14" s="198"/>
      <c r="Z14" s="198"/>
      <c r="AA14" s="198"/>
      <c r="AB14" s="198"/>
      <c r="AC14" s="199"/>
      <c r="AD14" s="198">
        <f>[1]datos!$S146</f>
        <v>233.642</v>
      </c>
      <c r="AE14" s="198">
        <v>13.176</v>
      </c>
      <c r="AF14" s="198">
        <v>65.787999999999997</v>
      </c>
      <c r="AG14" s="198">
        <v>38.832999999999998</v>
      </c>
      <c r="AH14" s="198">
        <v>23.529</v>
      </c>
      <c r="AI14" s="198">
        <f>[1]datos!$U146</f>
        <v>35.222000000000001</v>
      </c>
      <c r="AJ14" s="198">
        <f>AD14-AE14-AF14-AG14-AH14-AI14</f>
        <v>57.094000000000001</v>
      </c>
      <c r="AK14" s="197"/>
      <c r="AL14" s="198"/>
      <c r="AM14" s="198"/>
      <c r="AN14" s="198"/>
      <c r="AO14" s="198"/>
      <c r="AP14" s="198"/>
      <c r="AQ14" s="199"/>
      <c r="AR14" s="198">
        <v>1.4153941737380301E-2</v>
      </c>
      <c r="AS14" s="198">
        <v>2.8860236925990516E-3</v>
      </c>
      <c r="AT14" s="198">
        <v>8.3233957240771387E-4</v>
      </c>
      <c r="AU14" s="198">
        <v>3.5597791921536974E-3</v>
      </c>
      <c r="AV14" s="198">
        <v>4.4805852888496136E-4</v>
      </c>
      <c r="AW14" s="198"/>
      <c r="AX14" s="198">
        <v>6.4277407513348758E-3</v>
      </c>
      <c r="AY14" s="197"/>
      <c r="AZ14" s="198"/>
      <c r="BA14" s="198"/>
      <c r="BB14" s="198"/>
      <c r="BC14" s="198"/>
      <c r="BD14" s="198"/>
      <c r="BE14" s="198"/>
      <c r="BF14" s="197"/>
      <c r="BG14" s="198"/>
      <c r="BH14" s="198"/>
      <c r="BI14" s="198"/>
      <c r="BJ14" s="198"/>
      <c r="BK14" s="198"/>
      <c r="BL14" s="198"/>
      <c r="BM14" s="197"/>
      <c r="BN14" s="198"/>
      <c r="BO14" s="198"/>
      <c r="BP14" s="198"/>
      <c r="BQ14" s="198"/>
      <c r="BR14" s="198"/>
      <c r="BS14" s="198"/>
      <c r="BT14" s="197"/>
      <c r="BU14" s="198"/>
      <c r="BV14" s="198"/>
      <c r="BW14" s="198"/>
      <c r="BX14" s="198"/>
      <c r="BY14" s="198"/>
      <c r="BZ14" s="198"/>
      <c r="CA14" s="197"/>
      <c r="CB14" s="198"/>
      <c r="CC14" s="198"/>
      <c r="CD14" s="198"/>
      <c r="CE14" s="198"/>
      <c r="CF14" s="198"/>
      <c r="CG14" s="198"/>
      <c r="CH14" s="197"/>
      <c r="CI14" s="198"/>
      <c r="CJ14" s="198"/>
      <c r="CK14" s="198"/>
      <c r="CL14" s="198"/>
      <c r="CM14" s="198"/>
      <c r="CN14" s="198"/>
      <c r="CO14" s="197"/>
      <c r="CP14" s="198"/>
      <c r="CQ14" s="198"/>
      <c r="CR14" s="198"/>
      <c r="CS14" s="198"/>
      <c r="CT14" s="198"/>
      <c r="CU14" s="198"/>
      <c r="CV14" s="197"/>
      <c r="CW14" s="198"/>
      <c r="CX14" s="198"/>
      <c r="CY14" s="198"/>
      <c r="CZ14" s="198"/>
      <c r="DA14" s="198"/>
      <c r="DB14" s="198"/>
      <c r="DC14" s="197"/>
      <c r="DD14" s="198"/>
      <c r="DE14" s="198"/>
      <c r="DF14" s="198"/>
      <c r="DG14" s="198"/>
      <c r="DH14" s="198"/>
      <c r="DI14" s="198"/>
      <c r="DJ14" s="197"/>
      <c r="DK14" s="198"/>
      <c r="DL14" s="198"/>
      <c r="DM14" s="198"/>
      <c r="DN14" s="198"/>
      <c r="DO14" s="198"/>
      <c r="DP14" s="198"/>
      <c r="DQ14" s="197"/>
      <c r="DR14" s="198"/>
      <c r="DS14" s="198"/>
      <c r="DT14" s="198"/>
      <c r="DU14" s="198"/>
      <c r="DV14" s="198"/>
      <c r="DW14" s="198"/>
      <c r="DX14" s="197"/>
      <c r="DY14" s="198"/>
      <c r="DZ14" s="198"/>
      <c r="EA14" s="198"/>
      <c r="EB14" s="198"/>
      <c r="EC14" s="198"/>
      <c r="ED14" s="198"/>
      <c r="EE14" s="197"/>
      <c r="EF14" s="198"/>
      <c r="EG14" s="198"/>
      <c r="EH14" s="198"/>
      <c r="EI14" s="198"/>
      <c r="EJ14" s="198"/>
      <c r="EK14" s="199"/>
      <c r="EL14" s="197"/>
      <c r="EM14" s="198"/>
      <c r="EN14" s="198"/>
      <c r="EO14" s="198"/>
      <c r="EP14" s="198"/>
      <c r="EQ14" s="198"/>
      <c r="ER14" s="199"/>
      <c r="ES14" s="198"/>
      <c r="ET14" s="198"/>
      <c r="EU14" s="198"/>
      <c r="EV14" s="198"/>
      <c r="EW14" s="198"/>
      <c r="EX14" s="198"/>
      <c r="EY14" s="199"/>
      <c r="EZ14" s="198"/>
      <c r="FA14" s="198"/>
      <c r="FB14" s="198"/>
      <c r="FC14" s="198"/>
      <c r="FD14" s="198"/>
      <c r="FE14" s="198"/>
      <c r="FF14" s="198"/>
      <c r="FG14" s="197"/>
      <c r="FH14" s="198"/>
      <c r="FI14" s="198"/>
      <c r="FJ14" s="198"/>
      <c r="FK14" s="198"/>
      <c r="FL14" s="198"/>
      <c r="FM14" s="198"/>
      <c r="FN14" s="197"/>
      <c r="FO14" s="198"/>
      <c r="FP14" s="198"/>
      <c r="FQ14" s="198"/>
      <c r="FR14" s="198"/>
      <c r="FS14" s="198"/>
      <c r="FT14" s="199"/>
      <c r="FU14" s="197"/>
      <c r="FV14" s="198"/>
      <c r="FW14" s="198"/>
      <c r="FX14" s="198"/>
      <c r="FY14" s="198"/>
      <c r="FZ14" s="198"/>
      <c r="GA14" s="199"/>
      <c r="GB14" s="197"/>
      <c r="GC14" s="198"/>
      <c r="GD14" s="198"/>
      <c r="GE14" s="198"/>
      <c r="GF14" s="198"/>
      <c r="GG14" s="198"/>
      <c r="GH14" s="199"/>
      <c r="GI14" s="197"/>
      <c r="GJ14" s="198"/>
      <c r="GK14" s="198"/>
      <c r="GL14" s="198"/>
      <c r="GM14" s="198"/>
      <c r="GN14" s="198"/>
      <c r="GO14" s="199"/>
      <c r="GP14" s="197"/>
      <c r="GQ14" s="198"/>
      <c r="GR14" s="198"/>
      <c r="GS14" s="198"/>
      <c r="GT14" s="198"/>
      <c r="GU14" s="198"/>
      <c r="GV14" s="199"/>
      <c r="GW14" s="197"/>
      <c r="GX14" s="198"/>
      <c r="GY14" s="198"/>
      <c r="GZ14" s="198"/>
      <c r="HA14" s="198"/>
      <c r="HB14" s="198"/>
      <c r="HC14" s="199"/>
      <c r="HD14" s="197"/>
      <c r="HE14" s="198"/>
      <c r="HF14" s="198"/>
      <c r="HG14" s="198"/>
      <c r="HH14" s="198"/>
      <c r="HI14" s="198"/>
      <c r="HJ14" s="199"/>
      <c r="HK14" s="197"/>
      <c r="HL14" s="198"/>
      <c r="HM14" s="198"/>
      <c r="HN14" s="198"/>
      <c r="HO14" s="198"/>
      <c r="HP14" s="198"/>
      <c r="HQ14" s="198"/>
      <c r="HR14" s="197"/>
      <c r="HT14" s="198"/>
      <c r="HU14" s="198"/>
      <c r="HV14" s="198"/>
      <c r="HW14" s="198"/>
      <c r="HX14" s="198"/>
    </row>
    <row r="15" spans="1:232">
      <c r="A15" s="185" t="s">
        <v>498</v>
      </c>
      <c r="B15" s="197"/>
      <c r="C15" s="198"/>
      <c r="D15" s="198"/>
      <c r="E15" s="198"/>
      <c r="F15" s="198"/>
      <c r="G15" s="198"/>
      <c r="H15" s="199"/>
      <c r="I15" s="197"/>
      <c r="J15" s="198"/>
      <c r="K15" s="198"/>
      <c r="L15" s="198"/>
      <c r="M15" s="198"/>
      <c r="N15" s="198"/>
      <c r="O15" s="199"/>
      <c r="P15" s="198"/>
      <c r="Q15" s="198"/>
      <c r="R15" s="198"/>
      <c r="S15" s="198"/>
      <c r="T15" s="198"/>
      <c r="U15" s="198"/>
      <c r="V15" s="198"/>
      <c r="W15" s="197"/>
      <c r="X15" s="198"/>
      <c r="Y15" s="198"/>
      <c r="Z15" s="198"/>
      <c r="AA15" s="198"/>
      <c r="AB15" s="198"/>
      <c r="AC15" s="199"/>
      <c r="AD15" s="198"/>
      <c r="AE15" s="198">
        <v>15.750999999999999</v>
      </c>
      <c r="AF15" s="198">
        <v>67.518000000000001</v>
      </c>
      <c r="AG15" s="198">
        <v>39.475999999999999</v>
      </c>
      <c r="AH15" s="198">
        <v>22.928000000000001</v>
      </c>
      <c r="AI15" s="198"/>
      <c r="AJ15" s="198"/>
      <c r="AK15" s="197"/>
      <c r="AL15" s="198"/>
      <c r="AM15" s="198"/>
      <c r="AN15" s="198"/>
      <c r="AO15" s="198"/>
      <c r="AP15" s="198"/>
      <c r="AQ15" s="199"/>
      <c r="AR15" s="198">
        <v>1.781686676358879E-2</v>
      </c>
      <c r="AS15" s="198">
        <v>3.6538387711003524E-3</v>
      </c>
      <c r="AT15" s="198">
        <v>1.012638517738755E-3</v>
      </c>
      <c r="AU15" s="198">
        <v>4.5069432599765197E-3</v>
      </c>
      <c r="AV15" s="198">
        <v>5.4502081912381837E-4</v>
      </c>
      <c r="AW15" s="198"/>
      <c r="AX15" s="198">
        <v>8.0984253956493425E-3</v>
      </c>
      <c r="AY15" s="197"/>
      <c r="AZ15" s="198"/>
      <c r="BA15" s="198"/>
      <c r="BB15" s="198"/>
      <c r="BC15" s="198"/>
      <c r="BD15" s="198"/>
      <c r="BE15" s="198"/>
      <c r="BF15" s="197"/>
      <c r="BG15" s="198"/>
      <c r="BH15" s="198"/>
      <c r="BI15" s="198"/>
      <c r="BJ15" s="198"/>
      <c r="BK15" s="198"/>
      <c r="BL15" s="198"/>
      <c r="BM15" s="197"/>
      <c r="BN15" s="198"/>
      <c r="BO15" s="198"/>
      <c r="BP15" s="198"/>
      <c r="BQ15" s="198"/>
      <c r="BR15" s="198"/>
      <c r="BS15" s="198"/>
      <c r="BT15" s="197"/>
      <c r="BU15" s="198"/>
      <c r="BV15" s="198"/>
      <c r="BW15" s="198"/>
      <c r="BX15" s="198"/>
      <c r="BY15" s="198"/>
      <c r="BZ15" s="198"/>
      <c r="CA15" s="197"/>
      <c r="CB15" s="198"/>
      <c r="CC15" s="198"/>
      <c r="CD15" s="198"/>
      <c r="CE15" s="198"/>
      <c r="CF15" s="198"/>
      <c r="CG15" s="198"/>
      <c r="CH15" s="197"/>
      <c r="CI15" s="198"/>
      <c r="CJ15" s="198"/>
      <c r="CK15" s="198"/>
      <c r="CL15" s="198"/>
      <c r="CM15" s="198"/>
      <c r="CN15" s="198"/>
      <c r="CO15" s="197"/>
      <c r="CP15" s="198"/>
      <c r="CQ15" s="198"/>
      <c r="CR15" s="198"/>
      <c r="CS15" s="198"/>
      <c r="CT15" s="198"/>
      <c r="CU15" s="198"/>
      <c r="CV15" s="197"/>
      <c r="CW15" s="198"/>
      <c r="CX15" s="198"/>
      <c r="CY15" s="198"/>
      <c r="CZ15" s="198"/>
      <c r="DA15" s="198"/>
      <c r="DB15" s="198"/>
      <c r="DC15" s="197"/>
      <c r="DD15" s="198"/>
      <c r="DE15" s="198"/>
      <c r="DF15" s="198"/>
      <c r="DG15" s="198"/>
      <c r="DH15" s="198"/>
      <c r="DI15" s="198"/>
      <c r="DJ15" s="197"/>
      <c r="DK15" s="198"/>
      <c r="DL15" s="198"/>
      <c r="DM15" s="198"/>
      <c r="DN15" s="198"/>
      <c r="DO15" s="198"/>
      <c r="DP15" s="198"/>
      <c r="DQ15" s="197"/>
      <c r="DR15" s="198"/>
      <c r="DS15" s="198"/>
      <c r="DT15" s="198"/>
      <c r="DU15" s="198"/>
      <c r="DV15" s="198"/>
      <c r="DW15" s="198"/>
      <c r="DX15" s="197"/>
      <c r="DY15" s="198"/>
      <c r="DZ15" s="198"/>
      <c r="EA15" s="198"/>
      <c r="EB15" s="198"/>
      <c r="EC15" s="198"/>
      <c r="ED15" s="198"/>
      <c r="EE15" s="197"/>
      <c r="EF15" s="198"/>
      <c r="EG15" s="198"/>
      <c r="EH15" s="198"/>
      <c r="EI15" s="198"/>
      <c r="EJ15" s="198"/>
      <c r="EK15" s="199"/>
      <c r="EL15" s="197"/>
      <c r="EM15" s="198"/>
      <c r="EN15" s="198"/>
      <c r="EO15" s="198"/>
      <c r="EP15" s="198"/>
      <c r="EQ15" s="198"/>
      <c r="ER15" s="199"/>
      <c r="ES15" s="198"/>
      <c r="ET15" s="198"/>
      <c r="EU15" s="198"/>
      <c r="EV15" s="198"/>
      <c r="EW15" s="198"/>
      <c r="EX15" s="198"/>
      <c r="EY15" s="199"/>
      <c r="EZ15" s="198"/>
      <c r="FA15" s="198"/>
      <c r="FB15" s="198"/>
      <c r="FC15" s="198"/>
      <c r="FD15" s="198"/>
      <c r="FE15" s="198"/>
      <c r="FF15" s="198"/>
      <c r="FG15" s="197"/>
      <c r="FH15" s="198"/>
      <c r="FI15" s="198"/>
      <c r="FJ15" s="198"/>
      <c r="FK15" s="198"/>
      <c r="FL15" s="198"/>
      <c r="FM15" s="198"/>
      <c r="FN15" s="197"/>
      <c r="FO15" s="198"/>
      <c r="FP15" s="198"/>
      <c r="FQ15" s="198"/>
      <c r="FR15" s="198"/>
      <c r="FS15" s="198"/>
      <c r="FT15" s="199"/>
      <c r="FU15" s="197"/>
      <c r="FV15" s="198"/>
      <c r="FW15" s="198"/>
      <c r="FX15" s="198"/>
      <c r="FY15" s="198"/>
      <c r="FZ15" s="198"/>
      <c r="GA15" s="199"/>
      <c r="GB15" s="197"/>
      <c r="GC15" s="198"/>
      <c r="GD15" s="198"/>
      <c r="GE15" s="198"/>
      <c r="GF15" s="198"/>
      <c r="GG15" s="198"/>
      <c r="GH15" s="199"/>
      <c r="GI15" s="197"/>
      <c r="GJ15" s="198"/>
      <c r="GK15" s="198"/>
      <c r="GL15" s="198"/>
      <c r="GM15" s="198"/>
      <c r="GN15" s="198"/>
      <c r="GO15" s="199"/>
      <c r="GP15" s="197"/>
      <c r="GQ15" s="198"/>
      <c r="GR15" s="198"/>
      <c r="GS15" s="198"/>
      <c r="GT15" s="198"/>
      <c r="GU15" s="198"/>
      <c r="GV15" s="199"/>
      <c r="GW15" s="197"/>
      <c r="GX15" s="198"/>
      <c r="GY15" s="198"/>
      <c r="GZ15" s="198"/>
      <c r="HA15" s="198"/>
      <c r="HB15" s="198"/>
      <c r="HC15" s="199"/>
      <c r="HD15" s="197"/>
      <c r="HE15" s="198"/>
      <c r="HF15" s="198"/>
      <c r="HG15" s="198"/>
      <c r="HH15" s="198"/>
      <c r="HI15" s="198"/>
      <c r="HJ15" s="199"/>
      <c r="HK15" s="197"/>
      <c r="HL15" s="198"/>
      <c r="HM15" s="198"/>
      <c r="HN15" s="198"/>
      <c r="HO15" s="198"/>
      <c r="HP15" s="198"/>
      <c r="HQ15" s="198"/>
      <c r="HR15" s="197"/>
      <c r="HT15" s="198"/>
      <c r="HU15" s="198"/>
      <c r="HV15" s="198"/>
      <c r="HW15" s="198"/>
      <c r="HX15" s="198"/>
    </row>
    <row r="16" spans="1:232">
      <c r="A16" s="185" t="s">
        <v>499</v>
      </c>
      <c r="B16" s="197"/>
      <c r="C16" s="198"/>
      <c r="D16" s="198"/>
      <c r="E16" s="198"/>
      <c r="F16" s="198"/>
      <c r="G16" s="198"/>
      <c r="H16" s="199"/>
      <c r="I16" s="197"/>
      <c r="J16" s="198"/>
      <c r="K16" s="198"/>
      <c r="L16" s="198"/>
      <c r="M16" s="198"/>
      <c r="N16" s="198"/>
      <c r="O16" s="199"/>
      <c r="P16" s="198"/>
      <c r="Q16" s="198"/>
      <c r="R16" s="198"/>
      <c r="S16" s="198"/>
      <c r="T16" s="198"/>
      <c r="U16" s="198"/>
      <c r="V16" s="198"/>
      <c r="W16" s="197"/>
      <c r="X16" s="198"/>
      <c r="Y16" s="198"/>
      <c r="Z16" s="198"/>
      <c r="AA16" s="198"/>
      <c r="AB16" s="198"/>
      <c r="AC16" s="199"/>
      <c r="AD16" s="198"/>
      <c r="AE16" s="198">
        <v>18.248000000000001</v>
      </c>
      <c r="AF16" s="198">
        <v>68.228000000000009</v>
      </c>
      <c r="AG16" s="198">
        <v>42.303000000000004</v>
      </c>
      <c r="AH16" s="198">
        <v>25.109000000000002</v>
      </c>
      <c r="AI16" s="198"/>
      <c r="AJ16" s="198"/>
      <c r="AK16" s="197"/>
      <c r="AL16" s="198"/>
      <c r="AM16" s="198"/>
      <c r="AN16" s="198"/>
      <c r="AO16" s="198"/>
      <c r="AP16" s="198"/>
      <c r="AQ16" s="199"/>
      <c r="AR16" s="198">
        <v>2.2394712153589218E-2</v>
      </c>
      <c r="AS16" s="198">
        <v>4.5016319095134618E-3</v>
      </c>
      <c r="AT16" s="198">
        <v>1.2374920103173921E-3</v>
      </c>
      <c r="AU16" s="198">
        <v>5.7670136530708427E-3</v>
      </c>
      <c r="AV16" s="198">
        <v>6.9919906955671755E-4</v>
      </c>
      <c r="AW16" s="198"/>
      <c r="AX16" s="198">
        <v>1.0189375511130805E-2</v>
      </c>
      <c r="AY16" s="197"/>
      <c r="AZ16" s="198"/>
      <c r="BA16" s="198"/>
      <c r="BB16" s="198"/>
      <c r="BC16" s="198"/>
      <c r="BD16" s="198"/>
      <c r="BE16" s="198"/>
      <c r="BF16" s="197"/>
      <c r="BG16" s="198"/>
      <c r="BH16" s="198"/>
      <c r="BI16" s="198"/>
      <c r="BJ16" s="198"/>
      <c r="BK16" s="198"/>
      <c r="BL16" s="198"/>
      <c r="BM16" s="197"/>
      <c r="BN16" s="198"/>
      <c r="BO16" s="198"/>
      <c r="BP16" s="198"/>
      <c r="BQ16" s="198"/>
      <c r="BR16" s="198"/>
      <c r="BS16" s="198"/>
      <c r="BT16" s="197"/>
      <c r="BU16" s="198"/>
      <c r="BV16" s="198"/>
      <c r="BW16" s="198"/>
      <c r="BX16" s="198"/>
      <c r="BY16" s="198"/>
      <c r="BZ16" s="198"/>
      <c r="CA16" s="197"/>
      <c r="CB16" s="198"/>
      <c r="CC16" s="198"/>
      <c r="CD16" s="198"/>
      <c r="CE16" s="198"/>
      <c r="CF16" s="198"/>
      <c r="CG16" s="198"/>
      <c r="CH16" s="197"/>
      <c r="CI16" s="198"/>
      <c r="CJ16" s="198"/>
      <c r="CK16" s="198"/>
      <c r="CL16" s="198"/>
      <c r="CM16" s="198"/>
      <c r="CN16" s="198"/>
      <c r="CO16" s="197"/>
      <c r="CP16" s="198"/>
      <c r="CQ16" s="198"/>
      <c r="CR16" s="198"/>
      <c r="CS16" s="198"/>
      <c r="CT16" s="198"/>
      <c r="CU16" s="198"/>
      <c r="CV16" s="197"/>
      <c r="CW16" s="198"/>
      <c r="CX16" s="198"/>
      <c r="CY16" s="198"/>
      <c r="CZ16" s="198"/>
      <c r="DA16" s="198"/>
      <c r="DB16" s="198"/>
      <c r="DC16" s="197"/>
      <c r="DD16" s="198"/>
      <c r="DE16" s="198"/>
      <c r="DF16" s="198"/>
      <c r="DG16" s="198"/>
      <c r="DH16" s="198"/>
      <c r="DI16" s="198"/>
      <c r="DJ16" s="197"/>
      <c r="DK16" s="198"/>
      <c r="DL16" s="198"/>
      <c r="DM16" s="198"/>
      <c r="DN16" s="198"/>
      <c r="DO16" s="198"/>
      <c r="DP16" s="198"/>
      <c r="DQ16" s="197"/>
      <c r="DR16" s="198"/>
      <c r="DS16" s="198"/>
      <c r="DT16" s="198"/>
      <c r="DU16" s="198"/>
      <c r="DV16" s="198"/>
      <c r="DW16" s="198"/>
      <c r="DX16" s="197"/>
      <c r="DY16" s="198"/>
      <c r="DZ16" s="198"/>
      <c r="EA16" s="198"/>
      <c r="EB16" s="198"/>
      <c r="EC16" s="198"/>
      <c r="ED16" s="198"/>
      <c r="EE16" s="197"/>
      <c r="EF16" s="198"/>
      <c r="EG16" s="198"/>
      <c r="EH16" s="198"/>
      <c r="EI16" s="198"/>
      <c r="EJ16" s="198"/>
      <c r="EK16" s="199"/>
      <c r="EL16" s="197"/>
      <c r="EM16" s="198"/>
      <c r="EN16" s="198"/>
      <c r="EO16" s="198"/>
      <c r="EP16" s="198"/>
      <c r="EQ16" s="198"/>
      <c r="ER16" s="199"/>
      <c r="ES16" s="198"/>
      <c r="ET16" s="198"/>
      <c r="EU16" s="198"/>
      <c r="EV16" s="198"/>
      <c r="EW16" s="198"/>
      <c r="EX16" s="198"/>
      <c r="EY16" s="199"/>
      <c r="EZ16" s="198"/>
      <c r="FA16" s="198"/>
      <c r="FB16" s="198"/>
      <c r="FC16" s="198"/>
      <c r="FD16" s="198"/>
      <c r="FE16" s="198"/>
      <c r="FF16" s="198"/>
      <c r="FG16" s="197"/>
      <c r="FH16" s="198"/>
      <c r="FI16" s="198"/>
      <c r="FJ16" s="198"/>
      <c r="FK16" s="198"/>
      <c r="FL16" s="198"/>
      <c r="FM16" s="198"/>
      <c r="FN16" s="197"/>
      <c r="FO16" s="198"/>
      <c r="FP16" s="198"/>
      <c r="FQ16" s="198"/>
      <c r="FR16" s="198"/>
      <c r="FS16" s="198"/>
      <c r="FT16" s="199"/>
      <c r="FU16" s="197"/>
      <c r="FV16" s="198"/>
      <c r="FW16" s="198"/>
      <c r="FX16" s="198"/>
      <c r="FY16" s="198"/>
      <c r="FZ16" s="198"/>
      <c r="GA16" s="199"/>
      <c r="GB16" s="197"/>
      <c r="GC16" s="198"/>
      <c r="GD16" s="198"/>
      <c r="GE16" s="198"/>
      <c r="GF16" s="198"/>
      <c r="GG16" s="198"/>
      <c r="GH16" s="199"/>
      <c r="GI16" s="197"/>
      <c r="GJ16" s="198"/>
      <c r="GK16" s="198"/>
      <c r="GL16" s="198"/>
      <c r="GM16" s="198"/>
      <c r="GN16" s="198"/>
      <c r="GO16" s="199"/>
      <c r="GP16" s="197"/>
      <c r="GQ16" s="198"/>
      <c r="GR16" s="198"/>
      <c r="GS16" s="198"/>
      <c r="GT16" s="198"/>
      <c r="GU16" s="198"/>
      <c r="GV16" s="199"/>
      <c r="GW16" s="197"/>
      <c r="GX16" s="198"/>
      <c r="GY16" s="198"/>
      <c r="GZ16" s="198"/>
      <c r="HA16" s="198"/>
      <c r="HB16" s="198"/>
      <c r="HC16" s="199"/>
      <c r="HD16" s="197"/>
      <c r="HE16" s="198"/>
      <c r="HF16" s="198"/>
      <c r="HG16" s="198"/>
      <c r="HH16" s="198"/>
      <c r="HI16" s="198"/>
      <c r="HJ16" s="199"/>
      <c r="HK16" s="197"/>
      <c r="HL16" s="198"/>
      <c r="HM16" s="198"/>
      <c r="HN16" s="198"/>
      <c r="HO16" s="198"/>
      <c r="HP16" s="198"/>
      <c r="HQ16" s="198"/>
      <c r="HR16" s="197"/>
      <c r="HT16" s="198"/>
      <c r="HU16" s="198"/>
      <c r="HV16" s="198"/>
      <c r="HW16" s="198"/>
      <c r="HX16" s="198"/>
    </row>
    <row r="17" spans="1:233">
      <c r="A17" s="202" t="s">
        <v>500</v>
      </c>
      <c r="B17" s="203"/>
      <c r="C17" s="204"/>
      <c r="D17" s="204"/>
      <c r="E17" s="204"/>
      <c r="F17" s="204"/>
      <c r="G17" s="204"/>
      <c r="H17" s="205"/>
      <c r="I17" s="203"/>
      <c r="J17" s="204"/>
      <c r="K17" s="204"/>
      <c r="L17" s="204"/>
      <c r="M17" s="204"/>
      <c r="N17" s="204"/>
      <c r="O17" s="205"/>
      <c r="P17" s="204"/>
      <c r="Q17" s="204"/>
      <c r="R17" s="204"/>
      <c r="S17" s="204"/>
      <c r="T17" s="204"/>
      <c r="U17" s="204"/>
      <c r="V17" s="204"/>
      <c r="W17" s="203"/>
      <c r="X17" s="204"/>
      <c r="Y17" s="204"/>
      <c r="Z17" s="204"/>
      <c r="AA17" s="204"/>
      <c r="AB17" s="204"/>
      <c r="AC17" s="205"/>
      <c r="AD17" s="204">
        <f>[1]datos!$S149</f>
        <v>247.06899999999999</v>
      </c>
      <c r="AE17" s="204">
        <v>17.47</v>
      </c>
      <c r="AF17" s="204">
        <v>68.325000000000003</v>
      </c>
      <c r="AG17" s="204">
        <v>41.658000000000001</v>
      </c>
      <c r="AH17" s="204">
        <v>24.931000000000001</v>
      </c>
      <c r="AI17" s="204">
        <f>[1]datos!$U149</f>
        <v>35.191000000000003</v>
      </c>
      <c r="AJ17" s="204">
        <f>AD17-AE17-AF17-AG17-AH17-AI17</f>
        <v>59.494</v>
      </c>
      <c r="AK17" s="203"/>
      <c r="AL17" s="204"/>
      <c r="AM17" s="204"/>
      <c r="AN17" s="204"/>
      <c r="AO17" s="204"/>
      <c r="AP17" s="204"/>
      <c r="AQ17" s="205"/>
      <c r="AR17" s="204">
        <v>2.9041690389172918E-2</v>
      </c>
      <c r="AS17" s="204">
        <v>5.7597072093246195E-3</v>
      </c>
      <c r="AT17" s="204">
        <v>1.5024793361223965E-3</v>
      </c>
      <c r="AU17" s="204">
        <v>7.4554954647891849E-3</v>
      </c>
      <c r="AV17" s="204">
        <v>9.0546396224562716E-4</v>
      </c>
      <c r="AW17" s="204"/>
      <c r="AX17" s="204">
        <v>1.3418544416691089E-2</v>
      </c>
      <c r="AY17" s="203"/>
      <c r="AZ17" s="204"/>
      <c r="BA17" s="204"/>
      <c r="BB17" s="204"/>
      <c r="BC17" s="204"/>
      <c r="BD17" s="204"/>
      <c r="BE17" s="204"/>
      <c r="BF17" s="203"/>
      <c r="BG17" s="204"/>
      <c r="BH17" s="204"/>
      <c r="BI17" s="204"/>
      <c r="BJ17" s="204"/>
      <c r="BK17" s="204"/>
      <c r="BL17" s="204"/>
      <c r="BM17" s="203"/>
      <c r="BN17" s="204"/>
      <c r="BO17" s="204"/>
      <c r="BP17" s="204"/>
      <c r="BQ17" s="204"/>
      <c r="BR17" s="204"/>
      <c r="BS17" s="204"/>
      <c r="BT17" s="203"/>
      <c r="BU17" s="204"/>
      <c r="BV17" s="204"/>
      <c r="BW17" s="204"/>
      <c r="BX17" s="204"/>
      <c r="BY17" s="204"/>
      <c r="BZ17" s="204"/>
      <c r="CA17" s="203"/>
      <c r="CB17" s="204"/>
      <c r="CC17" s="204"/>
      <c r="CD17" s="204"/>
      <c r="CE17" s="204"/>
      <c r="CF17" s="204"/>
      <c r="CG17" s="204"/>
      <c r="CH17" s="203"/>
      <c r="CI17" s="204"/>
      <c r="CJ17" s="204"/>
      <c r="CK17" s="204"/>
      <c r="CL17" s="204"/>
      <c r="CM17" s="204"/>
      <c r="CN17" s="204"/>
      <c r="CO17" s="203"/>
      <c r="CP17" s="204"/>
      <c r="CQ17" s="204"/>
      <c r="CR17" s="204"/>
      <c r="CS17" s="204"/>
      <c r="CT17" s="204"/>
      <c r="CU17" s="204"/>
      <c r="CV17" s="203"/>
      <c r="CW17" s="204"/>
      <c r="CX17" s="204"/>
      <c r="CY17" s="204"/>
      <c r="CZ17" s="204"/>
      <c r="DA17" s="204"/>
      <c r="DB17" s="204"/>
      <c r="DC17" s="203"/>
      <c r="DD17" s="204"/>
      <c r="DE17" s="204"/>
      <c r="DF17" s="204"/>
      <c r="DG17" s="204"/>
      <c r="DH17" s="204"/>
      <c r="DI17" s="204"/>
      <c r="DJ17" s="203"/>
      <c r="DK17" s="204"/>
      <c r="DL17" s="204"/>
      <c r="DM17" s="204"/>
      <c r="DN17" s="204"/>
      <c r="DO17" s="204"/>
      <c r="DP17" s="204"/>
      <c r="DQ17" s="203"/>
      <c r="DR17" s="204"/>
      <c r="DS17" s="204"/>
      <c r="DT17" s="204"/>
      <c r="DU17" s="204"/>
      <c r="DV17" s="204"/>
      <c r="DW17" s="204"/>
      <c r="DX17" s="203"/>
      <c r="DY17" s="204"/>
      <c r="DZ17" s="204"/>
      <c r="EA17" s="204"/>
      <c r="EB17" s="204"/>
      <c r="EC17" s="204"/>
      <c r="ED17" s="204"/>
      <c r="EE17" s="203"/>
      <c r="EF17" s="204"/>
      <c r="EG17" s="204"/>
      <c r="EH17" s="204"/>
      <c r="EI17" s="204"/>
      <c r="EJ17" s="204"/>
      <c r="EK17" s="205"/>
      <c r="EL17" s="203"/>
      <c r="EM17" s="204"/>
      <c r="EN17" s="204"/>
      <c r="EO17" s="204"/>
      <c r="EP17" s="204"/>
      <c r="EQ17" s="204"/>
      <c r="ER17" s="205"/>
      <c r="ES17" s="204"/>
      <c r="ET17" s="204"/>
      <c r="EU17" s="204"/>
      <c r="EV17" s="204"/>
      <c r="EW17" s="204"/>
      <c r="EX17" s="204"/>
      <c r="EY17" s="205"/>
      <c r="EZ17" s="204"/>
      <c r="FA17" s="204"/>
      <c r="FB17" s="204"/>
      <c r="FC17" s="204"/>
      <c r="FD17" s="204"/>
      <c r="FE17" s="204"/>
      <c r="FF17" s="204"/>
      <c r="FG17" s="203"/>
      <c r="FH17" s="204"/>
      <c r="FI17" s="204"/>
      <c r="FJ17" s="204"/>
      <c r="FK17" s="204"/>
      <c r="FL17" s="204"/>
      <c r="FM17" s="204"/>
      <c r="FN17" s="203"/>
      <c r="FO17" s="204"/>
      <c r="FP17" s="204"/>
      <c r="FQ17" s="204"/>
      <c r="FR17" s="204"/>
      <c r="FS17" s="204"/>
      <c r="FT17" s="205"/>
      <c r="FU17" s="203"/>
      <c r="FV17" s="204"/>
      <c r="FW17" s="204"/>
      <c r="FX17" s="204"/>
      <c r="FY17" s="204"/>
      <c r="FZ17" s="204"/>
      <c r="GA17" s="205"/>
      <c r="GB17" s="203"/>
      <c r="GC17" s="204"/>
      <c r="GD17" s="204"/>
      <c r="GE17" s="204"/>
      <c r="GF17" s="204"/>
      <c r="GG17" s="204"/>
      <c r="GH17" s="205"/>
      <c r="GI17" s="203"/>
      <c r="GJ17" s="204"/>
      <c r="GK17" s="204"/>
      <c r="GL17" s="204"/>
      <c r="GM17" s="204"/>
      <c r="GN17" s="204"/>
      <c r="GO17" s="205"/>
      <c r="GP17" s="203"/>
      <c r="GQ17" s="204"/>
      <c r="GR17" s="204"/>
      <c r="GS17" s="204"/>
      <c r="GT17" s="204"/>
      <c r="GU17" s="204"/>
      <c r="GV17" s="205"/>
      <c r="GW17" s="203"/>
      <c r="GX17" s="204"/>
      <c r="GY17" s="204"/>
      <c r="GZ17" s="204"/>
      <c r="HA17" s="204"/>
      <c r="HB17" s="204"/>
      <c r="HC17" s="205"/>
      <c r="HD17" s="203"/>
      <c r="HE17" s="204"/>
      <c r="HF17" s="204"/>
      <c r="HG17" s="204"/>
      <c r="HH17" s="204"/>
      <c r="HI17" s="204"/>
      <c r="HJ17" s="205"/>
      <c r="HK17" s="203"/>
      <c r="HL17" s="204"/>
      <c r="HM17" s="204"/>
      <c r="HN17" s="204"/>
      <c r="HO17" s="204"/>
      <c r="HP17" s="204"/>
      <c r="HQ17" s="204"/>
      <c r="HR17" s="197"/>
      <c r="HS17" s="206"/>
      <c r="HT17" s="204"/>
      <c r="HU17" s="204"/>
      <c r="HV17" s="204"/>
      <c r="HW17" s="204"/>
      <c r="HX17" s="204"/>
      <c r="HY17" s="198"/>
    </row>
    <row r="18" spans="1:233">
      <c r="A18" s="185" t="s">
        <v>656</v>
      </c>
      <c r="B18" s="197"/>
      <c r="C18" s="198"/>
      <c r="D18" s="198"/>
      <c r="E18" s="198"/>
      <c r="F18" s="198"/>
      <c r="G18" s="198"/>
      <c r="H18" s="199"/>
      <c r="I18" s="197"/>
      <c r="J18" s="198"/>
      <c r="K18" s="198"/>
      <c r="L18" s="198"/>
      <c r="M18" s="198"/>
      <c r="N18" s="198"/>
      <c r="O18" s="199"/>
      <c r="P18" s="198"/>
      <c r="Q18" s="198"/>
      <c r="R18" s="198"/>
      <c r="S18" s="198"/>
      <c r="T18" s="198"/>
      <c r="U18" s="198"/>
      <c r="V18" s="198"/>
      <c r="W18" s="197">
        <v>1053.355</v>
      </c>
      <c r="X18" s="198">
        <v>137.73500000000001</v>
      </c>
      <c r="Y18" s="198">
        <v>288.31200000000001</v>
      </c>
      <c r="Z18" s="198">
        <v>35.097000000000001</v>
      </c>
      <c r="AA18" s="198">
        <v>286.00799999999998</v>
      </c>
      <c r="AB18" s="198"/>
      <c r="AC18" s="199">
        <f>W18-X18-Y18-Z18-AA18</f>
        <v>306.20300000000003</v>
      </c>
      <c r="AD18" s="198"/>
      <c r="AE18" s="198">
        <v>19.497</v>
      </c>
      <c r="AF18" s="198">
        <v>65.025000000000006</v>
      </c>
      <c r="AG18" s="198">
        <v>42.777999999999999</v>
      </c>
      <c r="AH18" s="198">
        <v>26.51</v>
      </c>
      <c r="AI18" s="198"/>
      <c r="AJ18" s="198"/>
      <c r="AK18" s="197"/>
      <c r="AL18" s="198"/>
      <c r="AM18" s="198"/>
      <c r="AN18" s="198"/>
      <c r="AO18" s="198"/>
      <c r="AP18" s="198"/>
      <c r="AQ18" s="199"/>
      <c r="AR18" s="198">
        <v>3.5123861446054699E-2</v>
      </c>
      <c r="AS18" s="198">
        <v>7.0594653377077914E-3</v>
      </c>
      <c r="AT18" s="198">
        <v>1.8780905179524359E-3</v>
      </c>
      <c r="AU18" s="198">
        <v>9.1305334416394886E-3</v>
      </c>
      <c r="AV18" s="198">
        <v>1.0956308716329318E-3</v>
      </c>
      <c r="AW18" s="198"/>
      <c r="AX18" s="198">
        <v>1.5960141277122055E-2</v>
      </c>
      <c r="AY18" s="197"/>
      <c r="AZ18" s="198"/>
      <c r="BA18" s="198"/>
      <c r="BB18" s="198"/>
      <c r="BC18" s="198"/>
      <c r="BD18" s="198"/>
      <c r="BE18" s="198"/>
      <c r="BF18" s="197"/>
      <c r="BG18" s="198"/>
      <c r="BH18" s="198"/>
      <c r="BI18" s="198"/>
      <c r="BJ18" s="198"/>
      <c r="BK18" s="198"/>
      <c r="BL18" s="198"/>
      <c r="BM18" s="197"/>
      <c r="BN18" s="198"/>
      <c r="BO18" s="198"/>
      <c r="BP18" s="198"/>
      <c r="BQ18" s="198"/>
      <c r="BR18" s="198"/>
      <c r="BS18" s="198"/>
      <c r="BT18" s="197"/>
      <c r="BU18" s="198"/>
      <c r="BV18" s="198"/>
      <c r="BW18" s="198"/>
      <c r="BX18" s="198"/>
      <c r="BY18" s="198"/>
      <c r="BZ18" s="198"/>
      <c r="CA18" s="197"/>
      <c r="CB18" s="198"/>
      <c r="CC18" s="198"/>
      <c r="CD18" s="198"/>
      <c r="CE18" s="198"/>
      <c r="CF18" s="198"/>
      <c r="CG18" s="198"/>
      <c r="CH18" s="197"/>
      <c r="CI18" s="198"/>
      <c r="CJ18" s="198"/>
      <c r="CK18" s="198"/>
      <c r="CL18" s="198"/>
      <c r="CM18" s="198"/>
      <c r="CN18" s="198"/>
      <c r="CO18" s="197"/>
      <c r="CP18" s="198"/>
      <c r="CQ18" s="198"/>
      <c r="CR18" s="198"/>
      <c r="CS18" s="198"/>
      <c r="CT18" s="198"/>
      <c r="CU18" s="198"/>
      <c r="CV18" s="197"/>
      <c r="CW18" s="198"/>
      <c r="CX18" s="198"/>
      <c r="CY18" s="198"/>
      <c r="CZ18" s="198"/>
      <c r="DA18" s="198"/>
      <c r="DB18" s="198"/>
      <c r="DC18" s="197"/>
      <c r="DD18" s="198"/>
      <c r="DE18" s="198"/>
      <c r="DF18" s="198"/>
      <c r="DG18" s="198"/>
      <c r="DH18" s="198"/>
      <c r="DI18" s="198"/>
      <c r="DJ18" s="197"/>
      <c r="DK18" s="198"/>
      <c r="DL18" s="198"/>
      <c r="DM18" s="198"/>
      <c r="DN18" s="198"/>
      <c r="DO18" s="198"/>
      <c r="DP18" s="198"/>
      <c r="DQ18" s="197"/>
      <c r="DR18" s="198"/>
      <c r="DS18" s="198"/>
      <c r="DT18" s="198"/>
      <c r="DU18" s="198"/>
      <c r="DV18" s="198"/>
      <c r="DW18" s="198"/>
      <c r="DX18" s="197"/>
      <c r="DY18" s="198"/>
      <c r="DZ18" s="198"/>
      <c r="EA18" s="198"/>
      <c r="EB18" s="198"/>
      <c r="EC18" s="198"/>
      <c r="ED18" s="198"/>
      <c r="EE18" s="197"/>
      <c r="EF18" s="198"/>
      <c r="EG18" s="198"/>
      <c r="EH18" s="198"/>
      <c r="EI18" s="198"/>
      <c r="EJ18" s="198"/>
      <c r="EK18" s="199"/>
      <c r="EL18" s="198"/>
      <c r="EM18" s="198"/>
      <c r="EN18" s="198"/>
      <c r="EO18" s="198"/>
      <c r="EP18" s="198"/>
      <c r="EQ18" s="198"/>
      <c r="ER18" s="199"/>
      <c r="ES18" s="198"/>
      <c r="ET18" s="198"/>
      <c r="EU18" s="198"/>
      <c r="EV18" s="198"/>
      <c r="EW18" s="198"/>
      <c r="EX18" s="198"/>
      <c r="EY18" s="199"/>
      <c r="EZ18" s="198"/>
      <c r="FA18" s="198"/>
      <c r="FB18" s="198"/>
      <c r="FC18" s="198"/>
      <c r="FD18" s="198"/>
      <c r="FE18" s="198"/>
      <c r="FF18" s="198"/>
      <c r="FG18" s="197"/>
      <c r="FH18" s="198"/>
      <c r="FI18" s="198"/>
      <c r="FJ18" s="198"/>
      <c r="FK18" s="198"/>
      <c r="FL18" s="198"/>
      <c r="FM18" s="198"/>
      <c r="FN18" s="197"/>
      <c r="FO18" s="198"/>
      <c r="FP18" s="198"/>
      <c r="FQ18" s="198"/>
      <c r="FR18" s="198"/>
      <c r="FS18" s="198"/>
      <c r="FT18" s="199"/>
      <c r="FU18" s="197"/>
      <c r="FV18" s="198"/>
      <c r="FW18" s="198"/>
      <c r="FX18" s="198"/>
      <c r="FY18" s="198"/>
      <c r="FZ18" s="198"/>
      <c r="GA18" s="199"/>
      <c r="GB18" s="197"/>
      <c r="GC18" s="198"/>
      <c r="GD18" s="198"/>
      <c r="GE18" s="198"/>
      <c r="GF18" s="198"/>
      <c r="GG18" s="198"/>
      <c r="GH18" s="199"/>
      <c r="GI18" s="197"/>
      <c r="GJ18" s="198"/>
      <c r="GK18" s="198"/>
      <c r="GL18" s="198"/>
      <c r="GM18" s="198"/>
      <c r="GN18" s="198"/>
      <c r="GO18" s="199"/>
      <c r="GP18" s="197"/>
      <c r="GQ18" s="198"/>
      <c r="GR18" s="198"/>
      <c r="GS18" s="198"/>
      <c r="GT18" s="198"/>
      <c r="GU18" s="198"/>
      <c r="GV18" s="199"/>
      <c r="GW18" s="197"/>
      <c r="GX18" s="198"/>
      <c r="GY18" s="198"/>
      <c r="GZ18" s="198"/>
      <c r="HA18" s="198"/>
      <c r="HB18" s="198"/>
      <c r="HC18" s="199"/>
      <c r="HD18" s="197"/>
      <c r="HE18" s="198"/>
      <c r="HF18" s="198"/>
      <c r="HG18" s="198"/>
      <c r="HH18" s="198"/>
      <c r="HI18" s="198"/>
      <c r="HJ18" s="199"/>
      <c r="HK18" s="197"/>
      <c r="HL18" s="198"/>
      <c r="HM18" s="198"/>
      <c r="HN18" s="198"/>
      <c r="HO18" s="198"/>
      <c r="HP18" s="198"/>
      <c r="HQ18" s="198"/>
      <c r="HR18" s="197"/>
      <c r="HT18" s="201"/>
      <c r="HU18" s="201"/>
      <c r="HV18" s="201"/>
      <c r="HW18" s="201"/>
      <c r="HX18" s="198"/>
    </row>
    <row r="19" spans="1:233">
      <c r="A19" s="185" t="s">
        <v>490</v>
      </c>
      <c r="B19" s="197"/>
      <c r="C19" s="198"/>
      <c r="D19" s="198"/>
      <c r="E19" s="198"/>
      <c r="F19" s="198"/>
      <c r="G19" s="198"/>
      <c r="H19" s="199"/>
      <c r="I19" s="197"/>
      <c r="J19" s="198"/>
      <c r="K19" s="198"/>
      <c r="L19" s="198"/>
      <c r="M19" s="198"/>
      <c r="N19" s="198"/>
      <c r="O19" s="199"/>
      <c r="P19" s="198"/>
      <c r="Q19" s="198"/>
      <c r="R19" s="198"/>
      <c r="S19" s="198"/>
      <c r="T19" s="198"/>
      <c r="U19" s="198"/>
      <c r="V19" s="199"/>
      <c r="W19" s="198">
        <v>1059.6189999999999</v>
      </c>
      <c r="X19" s="198">
        <v>136.364</v>
      </c>
      <c r="Y19" s="198">
        <v>275.76600000000002</v>
      </c>
      <c r="Z19" s="198">
        <v>34.405999999999999</v>
      </c>
      <c r="AA19" s="198">
        <v>288.529</v>
      </c>
      <c r="AB19" s="198"/>
      <c r="AC19" s="199">
        <f t="shared" ref="AC19:AC82" si="0">W19-X19-Y19-Z19-AA19</f>
        <v>324.55399999999986</v>
      </c>
      <c r="AD19" s="198"/>
      <c r="AE19" s="198">
        <v>19.062999999999999</v>
      </c>
      <c r="AF19" s="198">
        <v>66.997</v>
      </c>
      <c r="AG19" s="198">
        <v>40.626000000000005</v>
      </c>
      <c r="AH19" s="198">
        <v>30.596</v>
      </c>
      <c r="AI19" s="198"/>
      <c r="AJ19" s="198"/>
      <c r="AK19" s="197"/>
      <c r="AL19" s="198"/>
      <c r="AM19" s="198"/>
      <c r="AN19" s="198"/>
      <c r="AO19" s="198"/>
      <c r="AP19" s="198"/>
      <c r="AQ19" s="199"/>
      <c r="AR19" s="198">
        <v>3.8973499158489876E-2</v>
      </c>
      <c r="AS19" s="198">
        <v>7.4627563071519845E-3</v>
      </c>
      <c r="AT19" s="198">
        <v>1.9155126053240592E-3</v>
      </c>
      <c r="AU19" s="198">
        <v>1.0572995638924691E-2</v>
      </c>
      <c r="AV19" s="198">
        <v>1.1089223023553444E-3</v>
      </c>
      <c r="AW19" s="198"/>
      <c r="AX19" s="198">
        <v>1.7913312304733798E-2</v>
      </c>
      <c r="AY19" s="197"/>
      <c r="AZ19" s="198"/>
      <c r="BA19" s="198"/>
      <c r="BB19" s="198"/>
      <c r="BC19" s="198"/>
      <c r="BD19" s="198"/>
      <c r="BE19" s="198"/>
      <c r="BF19" s="197"/>
      <c r="BG19" s="198"/>
      <c r="BH19" s="198"/>
      <c r="BI19" s="198"/>
      <c r="BJ19" s="198"/>
      <c r="BK19" s="198"/>
      <c r="BL19" s="198"/>
      <c r="BM19" s="197"/>
      <c r="BN19" s="198"/>
      <c r="BO19" s="198"/>
      <c r="BP19" s="198"/>
      <c r="BQ19" s="198"/>
      <c r="BR19" s="198"/>
      <c r="BS19" s="198"/>
      <c r="BT19" s="197"/>
      <c r="BU19" s="198"/>
      <c r="BV19" s="198"/>
      <c r="BW19" s="198"/>
      <c r="BX19" s="198"/>
      <c r="BY19" s="198"/>
      <c r="BZ19" s="198"/>
      <c r="CA19" s="197"/>
      <c r="CB19" s="198"/>
      <c r="CC19" s="198"/>
      <c r="CD19" s="198"/>
      <c r="CE19" s="198"/>
      <c r="CF19" s="198"/>
      <c r="CG19" s="198"/>
      <c r="CH19" s="197"/>
      <c r="CI19" s="198"/>
      <c r="CJ19" s="198"/>
      <c r="CK19" s="198"/>
      <c r="CL19" s="198"/>
      <c r="CM19" s="198"/>
      <c r="CN19" s="198"/>
      <c r="CO19" s="197"/>
      <c r="CP19" s="198"/>
      <c r="CQ19" s="198"/>
      <c r="CR19" s="198"/>
      <c r="CS19" s="198"/>
      <c r="CT19" s="198"/>
      <c r="CU19" s="198"/>
      <c r="CV19" s="197"/>
      <c r="CW19" s="198"/>
      <c r="CX19" s="198"/>
      <c r="CY19" s="198"/>
      <c r="CZ19" s="198"/>
      <c r="DA19" s="198"/>
      <c r="DB19" s="198"/>
      <c r="DC19" s="197"/>
      <c r="DD19" s="198"/>
      <c r="DE19" s="198"/>
      <c r="DF19" s="198"/>
      <c r="DG19" s="198"/>
      <c r="DH19" s="198"/>
      <c r="DI19" s="198"/>
      <c r="DJ19" s="197"/>
      <c r="DK19" s="198"/>
      <c r="DL19" s="198"/>
      <c r="DM19" s="198"/>
      <c r="DN19" s="198"/>
      <c r="DO19" s="198"/>
      <c r="DP19" s="198"/>
      <c r="DQ19" s="197"/>
      <c r="DR19" s="198"/>
      <c r="DS19" s="198"/>
      <c r="DT19" s="198"/>
      <c r="DU19" s="198"/>
      <c r="DV19" s="198"/>
      <c r="DW19" s="198"/>
      <c r="DX19" s="197"/>
      <c r="DY19" s="198"/>
      <c r="DZ19" s="198"/>
      <c r="EA19" s="198"/>
      <c r="EB19" s="198"/>
      <c r="EC19" s="198"/>
      <c r="ED19" s="198"/>
      <c r="EE19" s="197"/>
      <c r="EF19" s="198"/>
      <c r="EG19" s="198"/>
      <c r="EH19" s="198"/>
      <c r="EI19" s="198"/>
      <c r="EJ19" s="198"/>
      <c r="EK19" s="199"/>
      <c r="EL19" s="198"/>
      <c r="EM19" s="198"/>
      <c r="EN19" s="198"/>
      <c r="EO19" s="198"/>
      <c r="EP19" s="198"/>
      <c r="EQ19" s="198"/>
      <c r="ER19" s="199"/>
      <c r="ES19" s="198"/>
      <c r="ET19" s="198"/>
      <c r="EU19" s="198"/>
      <c r="EV19" s="198"/>
      <c r="EW19" s="198"/>
      <c r="EX19" s="198"/>
      <c r="EY19" s="199"/>
      <c r="EZ19" s="198"/>
      <c r="FA19" s="198"/>
      <c r="FB19" s="198"/>
      <c r="FC19" s="198"/>
      <c r="FD19" s="198"/>
      <c r="FE19" s="198"/>
      <c r="FF19" s="198"/>
      <c r="FG19" s="197"/>
      <c r="FH19" s="198"/>
      <c r="FI19" s="198"/>
      <c r="FJ19" s="198"/>
      <c r="FK19" s="198"/>
      <c r="FL19" s="198"/>
      <c r="FM19" s="198"/>
      <c r="FN19" s="197"/>
      <c r="FO19" s="198"/>
      <c r="FP19" s="198"/>
      <c r="FQ19" s="198"/>
      <c r="FR19" s="198"/>
      <c r="FS19" s="198"/>
      <c r="FT19" s="199"/>
      <c r="FU19" s="197"/>
      <c r="FV19" s="198"/>
      <c r="FW19" s="198"/>
      <c r="FX19" s="198"/>
      <c r="FY19" s="198"/>
      <c r="FZ19" s="198"/>
      <c r="GA19" s="199"/>
      <c r="GB19" s="197"/>
      <c r="GC19" s="198"/>
      <c r="GD19" s="198"/>
      <c r="GE19" s="198"/>
      <c r="GF19" s="198"/>
      <c r="GG19" s="198"/>
      <c r="GH19" s="199"/>
      <c r="GI19" s="197"/>
      <c r="GJ19" s="198"/>
      <c r="GK19" s="198"/>
      <c r="GL19" s="198"/>
      <c r="GM19" s="198"/>
      <c r="GN19" s="198"/>
      <c r="GO19" s="199"/>
      <c r="GP19" s="197"/>
      <c r="GQ19" s="198"/>
      <c r="GR19" s="198"/>
      <c r="GS19" s="198"/>
      <c r="GT19" s="198"/>
      <c r="GU19" s="198"/>
      <c r="GV19" s="199"/>
      <c r="GW19" s="197"/>
      <c r="GX19" s="198"/>
      <c r="GY19" s="198"/>
      <c r="GZ19" s="198"/>
      <c r="HA19" s="198"/>
      <c r="HB19" s="198"/>
      <c r="HC19" s="199"/>
      <c r="HD19" s="197"/>
      <c r="HE19" s="198"/>
      <c r="HF19" s="198"/>
      <c r="HG19" s="198"/>
      <c r="HH19" s="198"/>
      <c r="HI19" s="198"/>
      <c r="HJ19" s="199"/>
      <c r="HK19" s="197"/>
      <c r="HL19" s="198"/>
      <c r="HM19" s="198"/>
      <c r="HN19" s="198"/>
      <c r="HO19" s="198"/>
      <c r="HP19" s="198"/>
      <c r="HQ19" s="198"/>
      <c r="HR19" s="197"/>
      <c r="HT19" s="198"/>
      <c r="HU19" s="198"/>
      <c r="HV19" s="198"/>
      <c r="HW19" s="198"/>
      <c r="HX19" s="198"/>
    </row>
    <row r="20" spans="1:233">
      <c r="A20" s="185" t="s">
        <v>491</v>
      </c>
      <c r="B20" s="197"/>
      <c r="C20" s="198"/>
      <c r="D20" s="198"/>
      <c r="E20" s="198"/>
      <c r="F20" s="198"/>
      <c r="G20" s="198"/>
      <c r="H20" s="199"/>
      <c r="I20" s="197"/>
      <c r="J20" s="198"/>
      <c r="K20" s="198"/>
      <c r="L20" s="198"/>
      <c r="M20" s="198"/>
      <c r="N20" s="198"/>
      <c r="O20" s="199"/>
      <c r="P20" s="198"/>
      <c r="Q20" s="198"/>
      <c r="R20" s="198"/>
      <c r="S20" s="198"/>
      <c r="T20" s="198"/>
      <c r="U20" s="198"/>
      <c r="V20" s="199"/>
      <c r="W20" s="198">
        <v>1083.1679999999999</v>
      </c>
      <c r="X20" s="198">
        <v>139.22399999999999</v>
      </c>
      <c r="Y20" s="198">
        <v>290.38200000000001</v>
      </c>
      <c r="Z20" s="198">
        <v>35.841000000000001</v>
      </c>
      <c r="AA20" s="198">
        <v>291.517</v>
      </c>
      <c r="AB20" s="198"/>
      <c r="AC20" s="199">
        <f t="shared" si="0"/>
        <v>326.20399999999989</v>
      </c>
      <c r="AD20" s="198">
        <f>[1]datos!$S152</f>
        <v>246.03200000000001</v>
      </c>
      <c r="AE20" s="198">
        <v>15.68</v>
      </c>
      <c r="AF20" s="198">
        <v>66.388999999999996</v>
      </c>
      <c r="AG20" s="198">
        <v>43.986000000000004</v>
      </c>
      <c r="AH20" s="198">
        <v>30.088000000000001</v>
      </c>
      <c r="AI20" s="198">
        <f>[1]datos!$U152</f>
        <v>34.536000000000001</v>
      </c>
      <c r="AJ20" s="198">
        <f>AD20-AE20-AF20-AG20-AH20-AI20</f>
        <v>55.353000000000009</v>
      </c>
      <c r="AK20" s="197"/>
      <c r="AL20" s="198"/>
      <c r="AM20" s="198"/>
      <c r="AN20" s="198"/>
      <c r="AO20" s="198"/>
      <c r="AP20" s="198"/>
      <c r="AQ20" s="199"/>
      <c r="AR20" s="198">
        <v>4.2469129683349788E-2</v>
      </c>
      <c r="AS20" s="198">
        <v>7.9364537363866908E-3</v>
      </c>
      <c r="AT20" s="198">
        <v>1.9898056150991295E-3</v>
      </c>
      <c r="AU20" s="198">
        <v>1.2660105246887196E-2</v>
      </c>
      <c r="AV20" s="198">
        <v>1.2565820594814061E-3</v>
      </c>
      <c r="AW20" s="198"/>
      <c r="AX20" s="198">
        <v>1.8626183025495367E-2</v>
      </c>
      <c r="AY20" s="197"/>
      <c r="AZ20" s="198"/>
      <c r="BA20" s="198"/>
      <c r="BB20" s="198"/>
      <c r="BC20" s="198"/>
      <c r="BD20" s="198"/>
      <c r="BE20" s="198"/>
      <c r="BF20" s="197"/>
      <c r="BG20" s="198"/>
      <c r="BH20" s="198"/>
      <c r="BI20" s="198"/>
      <c r="BJ20" s="198"/>
      <c r="BK20" s="198"/>
      <c r="BL20" s="198"/>
      <c r="BM20" s="197"/>
      <c r="BN20" s="198"/>
      <c r="BO20" s="198"/>
      <c r="BP20" s="198"/>
      <c r="BQ20" s="198"/>
      <c r="BR20" s="198"/>
      <c r="BS20" s="198"/>
      <c r="BT20" s="197"/>
      <c r="BU20" s="198"/>
      <c r="BV20" s="198"/>
      <c r="BW20" s="198"/>
      <c r="BX20" s="198"/>
      <c r="BY20" s="198"/>
      <c r="BZ20" s="198"/>
      <c r="CA20" s="197"/>
      <c r="CB20" s="198"/>
      <c r="CC20" s="198"/>
      <c r="CD20" s="198"/>
      <c r="CE20" s="198"/>
      <c r="CF20" s="198"/>
      <c r="CG20" s="198"/>
      <c r="CH20" s="197"/>
      <c r="CI20" s="198"/>
      <c r="CJ20" s="198"/>
      <c r="CK20" s="198"/>
      <c r="CL20" s="198"/>
      <c r="CM20" s="198"/>
      <c r="CN20" s="198"/>
      <c r="CO20" s="197"/>
      <c r="CP20" s="198"/>
      <c r="CQ20" s="198"/>
      <c r="CR20" s="198"/>
      <c r="CS20" s="198"/>
      <c r="CT20" s="198"/>
      <c r="CU20" s="198"/>
      <c r="CV20" s="197"/>
      <c r="CW20" s="198"/>
      <c r="CX20" s="198"/>
      <c r="CY20" s="198"/>
      <c r="CZ20" s="198"/>
      <c r="DA20" s="198"/>
      <c r="DB20" s="198"/>
      <c r="DC20" s="197"/>
      <c r="DD20" s="198"/>
      <c r="DE20" s="198"/>
      <c r="DF20" s="198"/>
      <c r="DG20" s="198"/>
      <c r="DH20" s="198"/>
      <c r="DI20" s="198"/>
      <c r="DJ20" s="197"/>
      <c r="DK20" s="198"/>
      <c r="DL20" s="198"/>
      <c r="DM20" s="198"/>
      <c r="DN20" s="198"/>
      <c r="DO20" s="198"/>
      <c r="DP20" s="198"/>
      <c r="DQ20" s="197"/>
      <c r="DR20" s="198"/>
      <c r="DS20" s="198"/>
      <c r="DT20" s="198"/>
      <c r="DU20" s="198"/>
      <c r="DV20" s="198"/>
      <c r="DW20" s="198"/>
      <c r="DX20" s="197"/>
      <c r="DY20" s="198"/>
      <c r="DZ20" s="198"/>
      <c r="EA20" s="198"/>
      <c r="EB20" s="198"/>
      <c r="EC20" s="198"/>
      <c r="ED20" s="198"/>
      <c r="EE20" s="197"/>
      <c r="EF20" s="198"/>
      <c r="EG20" s="198"/>
      <c r="EH20" s="198"/>
      <c r="EI20" s="198"/>
      <c r="EJ20" s="198"/>
      <c r="EK20" s="199"/>
      <c r="EL20" s="198"/>
      <c r="EM20" s="198"/>
      <c r="EN20" s="198"/>
      <c r="EO20" s="198"/>
      <c r="EP20" s="198"/>
      <c r="EQ20" s="198"/>
      <c r="ER20" s="199"/>
      <c r="ES20" s="198"/>
      <c r="ET20" s="198"/>
      <c r="EU20" s="198"/>
      <c r="EV20" s="198"/>
      <c r="EW20" s="198"/>
      <c r="EX20" s="198"/>
      <c r="EY20" s="199"/>
      <c r="EZ20" s="198"/>
      <c r="FA20" s="198"/>
      <c r="FB20" s="198"/>
      <c r="FC20" s="198"/>
      <c r="FD20" s="198"/>
      <c r="FE20" s="198"/>
      <c r="FF20" s="198"/>
      <c r="FG20" s="197"/>
      <c r="FH20" s="198"/>
      <c r="FI20" s="198"/>
      <c r="FJ20" s="198"/>
      <c r="FK20" s="198"/>
      <c r="FL20" s="198"/>
      <c r="FM20" s="198"/>
      <c r="FN20" s="197"/>
      <c r="FO20" s="198"/>
      <c r="FP20" s="198"/>
      <c r="FQ20" s="198"/>
      <c r="FR20" s="198"/>
      <c r="FS20" s="198"/>
      <c r="FT20" s="199"/>
      <c r="FU20" s="197"/>
      <c r="FV20" s="198"/>
      <c r="FW20" s="198"/>
      <c r="FX20" s="198"/>
      <c r="FY20" s="198"/>
      <c r="FZ20" s="198"/>
      <c r="GA20" s="199"/>
      <c r="GB20" s="197"/>
      <c r="GC20" s="198"/>
      <c r="GD20" s="198"/>
      <c r="GE20" s="198"/>
      <c r="GF20" s="198"/>
      <c r="GG20" s="198"/>
      <c r="GH20" s="199"/>
      <c r="GI20" s="197"/>
      <c r="GJ20" s="198"/>
      <c r="GK20" s="198"/>
      <c r="GL20" s="198"/>
      <c r="GM20" s="198"/>
      <c r="GN20" s="198"/>
      <c r="GO20" s="199"/>
      <c r="GP20" s="197"/>
      <c r="GQ20" s="198"/>
      <c r="GR20" s="198"/>
      <c r="GS20" s="198"/>
      <c r="GT20" s="198"/>
      <c r="GU20" s="198"/>
      <c r="GV20" s="199"/>
      <c r="GW20" s="197"/>
      <c r="GX20" s="198"/>
      <c r="GY20" s="198"/>
      <c r="GZ20" s="198"/>
      <c r="HA20" s="198"/>
      <c r="HB20" s="198"/>
      <c r="HC20" s="199"/>
      <c r="HD20" s="197"/>
      <c r="HE20" s="198"/>
      <c r="HF20" s="198"/>
      <c r="HG20" s="198"/>
      <c r="HH20" s="198"/>
      <c r="HI20" s="198"/>
      <c r="HJ20" s="199"/>
      <c r="HK20" s="197"/>
      <c r="HL20" s="198"/>
      <c r="HM20" s="198"/>
      <c r="HN20" s="198"/>
      <c r="HO20" s="198"/>
      <c r="HP20" s="198"/>
      <c r="HQ20" s="198"/>
      <c r="HR20" s="197"/>
      <c r="HT20" s="198"/>
      <c r="HU20" s="198"/>
      <c r="HV20" s="198"/>
      <c r="HW20" s="198"/>
      <c r="HX20" s="198"/>
    </row>
    <row r="21" spans="1:233">
      <c r="A21" s="185" t="s">
        <v>492</v>
      </c>
      <c r="B21" s="197"/>
      <c r="C21" s="198"/>
      <c r="D21" s="198"/>
      <c r="E21" s="198"/>
      <c r="F21" s="198"/>
      <c r="G21" s="198"/>
      <c r="H21" s="199"/>
      <c r="I21" s="197"/>
      <c r="J21" s="198"/>
      <c r="K21" s="198"/>
      <c r="L21" s="198"/>
      <c r="M21" s="198"/>
      <c r="N21" s="198"/>
      <c r="O21" s="199"/>
      <c r="P21" s="198"/>
      <c r="Q21" s="198"/>
      <c r="R21" s="198"/>
      <c r="S21" s="198"/>
      <c r="T21" s="198"/>
      <c r="U21" s="198"/>
      <c r="V21" s="199"/>
      <c r="W21" s="198">
        <v>1103.549</v>
      </c>
      <c r="X21" s="198">
        <v>132.839</v>
      </c>
      <c r="Y21" s="198">
        <v>302.017</v>
      </c>
      <c r="Z21" s="198">
        <v>38.527999999999999</v>
      </c>
      <c r="AA21" s="198">
        <v>297.23500000000001</v>
      </c>
      <c r="AB21" s="198"/>
      <c r="AC21" s="199">
        <f t="shared" si="0"/>
        <v>332.92999999999995</v>
      </c>
      <c r="AD21" s="198"/>
      <c r="AE21" s="198">
        <v>17.061</v>
      </c>
      <c r="AF21" s="198">
        <v>72.357000000000014</v>
      </c>
      <c r="AG21" s="198">
        <v>46.764000000000003</v>
      </c>
      <c r="AH21" s="198">
        <v>26.114999999999998</v>
      </c>
      <c r="AI21" s="198"/>
      <c r="AJ21" s="198"/>
      <c r="AK21" s="197"/>
      <c r="AL21" s="198"/>
      <c r="AM21" s="198"/>
      <c r="AN21" s="198"/>
      <c r="AO21" s="198"/>
      <c r="AP21" s="198"/>
      <c r="AQ21" s="199"/>
      <c r="AR21" s="198">
        <v>4.8177794661366576E-2</v>
      </c>
      <c r="AS21" s="198">
        <v>8.8566456845521405E-3</v>
      </c>
      <c r="AT21" s="198">
        <v>2.4085296132584119E-3</v>
      </c>
      <c r="AU21" s="198">
        <v>1.4594357236788999E-2</v>
      </c>
      <c r="AV21" s="198">
        <v>1.4450898711373442E-3</v>
      </c>
      <c r="AW21" s="198"/>
      <c r="AX21" s="198">
        <v>2.0873172255629686E-2</v>
      </c>
      <c r="AY21" s="197"/>
      <c r="AZ21" s="198"/>
      <c r="BA21" s="198"/>
      <c r="BB21" s="198"/>
      <c r="BC21" s="198"/>
      <c r="BD21" s="198"/>
      <c r="BE21" s="198"/>
      <c r="BF21" s="197"/>
      <c r="BG21" s="198"/>
      <c r="BH21" s="198"/>
      <c r="BI21" s="198"/>
      <c r="BJ21" s="198"/>
      <c r="BK21" s="198"/>
      <c r="BL21" s="198"/>
      <c r="BM21" s="197"/>
      <c r="BN21" s="198"/>
      <c r="BO21" s="198"/>
      <c r="BP21" s="198"/>
      <c r="BQ21" s="198"/>
      <c r="BR21" s="198"/>
      <c r="BS21" s="198"/>
      <c r="BT21" s="197"/>
      <c r="BU21" s="198"/>
      <c r="BV21" s="198"/>
      <c r="BW21" s="198"/>
      <c r="BX21" s="198"/>
      <c r="BY21" s="198"/>
      <c r="BZ21" s="198"/>
      <c r="CA21" s="197"/>
      <c r="CB21" s="198"/>
      <c r="CC21" s="198"/>
      <c r="CD21" s="198"/>
      <c r="CE21" s="198"/>
      <c r="CF21" s="198"/>
      <c r="CG21" s="198"/>
      <c r="CH21" s="197"/>
      <c r="CI21" s="198"/>
      <c r="CJ21" s="198"/>
      <c r="CK21" s="198"/>
      <c r="CL21" s="198"/>
      <c r="CM21" s="198"/>
      <c r="CN21" s="198"/>
      <c r="CO21" s="197"/>
      <c r="CP21" s="198"/>
      <c r="CQ21" s="198"/>
      <c r="CR21" s="198"/>
      <c r="CS21" s="198"/>
      <c r="CT21" s="198"/>
      <c r="CU21" s="198"/>
      <c r="CV21" s="197"/>
      <c r="CW21" s="198"/>
      <c r="CX21" s="198"/>
      <c r="CY21" s="198"/>
      <c r="CZ21" s="198"/>
      <c r="DA21" s="198"/>
      <c r="DB21" s="198"/>
      <c r="DC21" s="197"/>
      <c r="DD21" s="198"/>
      <c r="DE21" s="198"/>
      <c r="DF21" s="198"/>
      <c r="DG21" s="198"/>
      <c r="DH21" s="198"/>
      <c r="DI21" s="198"/>
      <c r="DJ21" s="197"/>
      <c r="DK21" s="198"/>
      <c r="DL21" s="198"/>
      <c r="DM21" s="198"/>
      <c r="DN21" s="198"/>
      <c r="DO21" s="198"/>
      <c r="DP21" s="198"/>
      <c r="DQ21" s="197"/>
      <c r="DR21" s="198"/>
      <c r="DS21" s="198"/>
      <c r="DT21" s="198"/>
      <c r="DU21" s="198"/>
      <c r="DV21" s="198"/>
      <c r="DW21" s="198"/>
      <c r="DX21" s="197"/>
      <c r="DY21" s="198"/>
      <c r="DZ21" s="198"/>
      <c r="EA21" s="198"/>
      <c r="EB21" s="198"/>
      <c r="EC21" s="198"/>
      <c r="ED21" s="198"/>
      <c r="EE21" s="197"/>
      <c r="EF21" s="198"/>
      <c r="EG21" s="198"/>
      <c r="EH21" s="198"/>
      <c r="EI21" s="198"/>
      <c r="EJ21" s="198"/>
      <c r="EK21" s="199"/>
      <c r="EL21" s="198"/>
      <c r="EM21" s="198"/>
      <c r="EN21" s="198"/>
      <c r="EO21" s="198"/>
      <c r="EP21" s="198"/>
      <c r="EQ21" s="198"/>
      <c r="ER21" s="199"/>
      <c r="ES21" s="198"/>
      <c r="ET21" s="198"/>
      <c r="EU21" s="198"/>
      <c r="EV21" s="198"/>
      <c r="EW21" s="198"/>
      <c r="EX21" s="198"/>
      <c r="EY21" s="199"/>
      <c r="EZ21" s="198"/>
      <c r="FA21" s="198"/>
      <c r="FB21" s="198"/>
      <c r="FC21" s="198"/>
      <c r="FD21" s="198"/>
      <c r="FE21" s="198"/>
      <c r="FF21" s="198"/>
      <c r="FG21" s="197"/>
      <c r="FH21" s="198"/>
      <c r="FI21" s="198"/>
      <c r="FJ21" s="198"/>
      <c r="FK21" s="198"/>
      <c r="FL21" s="198"/>
      <c r="FM21" s="198"/>
      <c r="FN21" s="197"/>
      <c r="FO21" s="198"/>
      <c r="FP21" s="198"/>
      <c r="FQ21" s="198"/>
      <c r="FR21" s="198"/>
      <c r="FS21" s="198"/>
      <c r="FT21" s="199"/>
      <c r="FU21" s="197"/>
      <c r="FV21" s="198"/>
      <c r="FW21" s="198"/>
      <c r="FX21" s="198"/>
      <c r="FY21" s="198"/>
      <c r="FZ21" s="198"/>
      <c r="GA21" s="199"/>
      <c r="GB21" s="197"/>
      <c r="GC21" s="198"/>
      <c r="GD21" s="198"/>
      <c r="GE21" s="198"/>
      <c r="GF21" s="198"/>
      <c r="GG21" s="198"/>
      <c r="GH21" s="199"/>
      <c r="GI21" s="197"/>
      <c r="GJ21" s="198"/>
      <c r="GK21" s="198"/>
      <c r="GL21" s="198"/>
      <c r="GM21" s="198"/>
      <c r="GN21" s="198"/>
      <c r="GO21" s="199"/>
      <c r="GP21" s="197"/>
      <c r="GQ21" s="198"/>
      <c r="GR21" s="198"/>
      <c r="GS21" s="198"/>
      <c r="GT21" s="198"/>
      <c r="GU21" s="198"/>
      <c r="GV21" s="199"/>
      <c r="GW21" s="197"/>
      <c r="GX21" s="198"/>
      <c r="GY21" s="198"/>
      <c r="GZ21" s="198"/>
      <c r="HA21" s="198"/>
      <c r="HB21" s="198"/>
      <c r="HC21" s="199"/>
      <c r="HD21" s="197"/>
      <c r="HE21" s="198"/>
      <c r="HF21" s="198"/>
      <c r="HG21" s="198"/>
      <c r="HH21" s="198"/>
      <c r="HI21" s="198"/>
      <c r="HJ21" s="199"/>
      <c r="HK21" s="197"/>
      <c r="HL21" s="198"/>
      <c r="HM21" s="198"/>
      <c r="HN21" s="198"/>
      <c r="HO21" s="198"/>
      <c r="HP21" s="198"/>
      <c r="HQ21" s="198"/>
      <c r="HR21" s="197"/>
      <c r="HT21" s="198"/>
      <c r="HU21" s="198"/>
      <c r="HV21" s="198"/>
      <c r="HW21" s="198"/>
      <c r="HX21" s="198"/>
    </row>
    <row r="22" spans="1:233">
      <c r="A22" s="185" t="s">
        <v>493</v>
      </c>
      <c r="B22" s="197"/>
      <c r="C22" s="198"/>
      <c r="D22" s="198"/>
      <c r="E22" s="198"/>
      <c r="F22" s="198"/>
      <c r="G22" s="198"/>
      <c r="H22" s="199"/>
      <c r="I22" s="197"/>
      <c r="J22" s="198"/>
      <c r="K22" s="198"/>
      <c r="L22" s="198"/>
      <c r="M22" s="198"/>
      <c r="N22" s="198"/>
      <c r="O22" s="199"/>
      <c r="P22" s="198"/>
      <c r="Q22" s="198"/>
      <c r="R22" s="198"/>
      <c r="S22" s="198"/>
      <c r="T22" s="198"/>
      <c r="U22" s="198"/>
      <c r="V22" s="199"/>
      <c r="W22" s="198">
        <v>1092.9100000000001</v>
      </c>
      <c r="X22" s="198">
        <v>130.114</v>
      </c>
      <c r="Y22" s="198">
        <v>301.505</v>
      </c>
      <c r="Z22" s="198">
        <v>39.667000000000002</v>
      </c>
      <c r="AA22" s="198">
        <v>293.48700000000002</v>
      </c>
      <c r="AB22" s="198"/>
      <c r="AC22" s="199">
        <f t="shared" si="0"/>
        <v>328.137</v>
      </c>
      <c r="AD22" s="198"/>
      <c r="AE22" s="198">
        <v>15.739000000000001</v>
      </c>
      <c r="AF22" s="198">
        <v>70.864999999999995</v>
      </c>
      <c r="AG22" s="198">
        <v>49.031000000000006</v>
      </c>
      <c r="AH22" s="198">
        <v>26.178999999999998</v>
      </c>
      <c r="AI22" s="198"/>
      <c r="AJ22" s="198"/>
      <c r="AK22" s="197"/>
      <c r="AL22" s="198"/>
      <c r="AM22" s="198"/>
      <c r="AN22" s="198"/>
      <c r="AO22" s="198"/>
      <c r="AP22" s="198"/>
      <c r="AQ22" s="199"/>
      <c r="AR22" s="198">
        <v>5.3987707928697802E-2</v>
      </c>
      <c r="AS22" s="198">
        <v>9.7730352589089145E-3</v>
      </c>
      <c r="AT22" s="198">
        <v>2.6784052857441666E-3</v>
      </c>
      <c r="AU22" s="198">
        <v>1.6396094246758676E-2</v>
      </c>
      <c r="AV22" s="198">
        <v>1.7550455493755843E-3</v>
      </c>
      <c r="AW22" s="198"/>
      <c r="AX22" s="198">
        <v>2.3385127587910462E-2</v>
      </c>
      <c r="AY22" s="197"/>
      <c r="AZ22" s="198"/>
      <c r="BA22" s="198"/>
      <c r="BB22" s="198"/>
      <c r="BC22" s="198"/>
      <c r="BD22" s="198"/>
      <c r="BE22" s="198"/>
      <c r="BF22" s="197"/>
      <c r="BG22" s="198"/>
      <c r="BH22" s="198"/>
      <c r="BI22" s="198"/>
      <c r="BJ22" s="198"/>
      <c r="BK22" s="198"/>
      <c r="BL22" s="198"/>
      <c r="BM22" s="197"/>
      <c r="BN22" s="198"/>
      <c r="BO22" s="198"/>
      <c r="BP22" s="198"/>
      <c r="BQ22" s="198"/>
      <c r="BR22" s="198"/>
      <c r="BS22" s="198"/>
      <c r="BT22" s="197"/>
      <c r="BU22" s="198"/>
      <c r="BV22" s="198"/>
      <c r="BW22" s="198"/>
      <c r="BX22" s="198"/>
      <c r="BY22" s="198"/>
      <c r="BZ22" s="198"/>
      <c r="CA22" s="197"/>
      <c r="CB22" s="198"/>
      <c r="CC22" s="198"/>
      <c r="CD22" s="198"/>
      <c r="CE22" s="198"/>
      <c r="CF22" s="198"/>
      <c r="CG22" s="198"/>
      <c r="CH22" s="197"/>
      <c r="CI22" s="198"/>
      <c r="CJ22" s="198"/>
      <c r="CK22" s="198"/>
      <c r="CL22" s="198"/>
      <c r="CM22" s="198"/>
      <c r="CN22" s="198"/>
      <c r="CO22" s="197"/>
      <c r="CP22" s="198"/>
      <c r="CQ22" s="198"/>
      <c r="CR22" s="198"/>
      <c r="CS22" s="198"/>
      <c r="CT22" s="198"/>
      <c r="CU22" s="198"/>
      <c r="CV22" s="197"/>
      <c r="CW22" s="198"/>
      <c r="CX22" s="198"/>
      <c r="CY22" s="198"/>
      <c r="CZ22" s="198"/>
      <c r="DA22" s="198"/>
      <c r="DB22" s="198"/>
      <c r="DC22" s="197"/>
      <c r="DD22" s="198"/>
      <c r="DE22" s="198"/>
      <c r="DF22" s="198"/>
      <c r="DG22" s="198"/>
      <c r="DH22" s="198"/>
      <c r="DI22" s="198"/>
      <c r="DJ22" s="197"/>
      <c r="DK22" s="198"/>
      <c r="DL22" s="198"/>
      <c r="DM22" s="198"/>
      <c r="DN22" s="198"/>
      <c r="DO22" s="198"/>
      <c r="DP22" s="198"/>
      <c r="DQ22" s="197"/>
      <c r="DR22" s="198"/>
      <c r="DS22" s="198"/>
      <c r="DT22" s="198"/>
      <c r="DU22" s="198"/>
      <c r="DV22" s="198"/>
      <c r="DW22" s="198"/>
      <c r="DX22" s="197"/>
      <c r="DY22" s="198"/>
      <c r="DZ22" s="198"/>
      <c r="EA22" s="198"/>
      <c r="EB22" s="198"/>
      <c r="EC22" s="198"/>
      <c r="ED22" s="198"/>
      <c r="EE22" s="197"/>
      <c r="EF22" s="198"/>
      <c r="EG22" s="198"/>
      <c r="EH22" s="198"/>
      <c r="EI22" s="198"/>
      <c r="EJ22" s="198"/>
      <c r="EK22" s="199"/>
      <c r="EL22" s="198"/>
      <c r="EM22" s="198"/>
      <c r="EN22" s="198"/>
      <c r="EO22" s="198"/>
      <c r="EP22" s="198"/>
      <c r="EQ22" s="198"/>
      <c r="ER22" s="199"/>
      <c r="ES22" s="198"/>
      <c r="ET22" s="198"/>
      <c r="EU22" s="198"/>
      <c r="EV22" s="198"/>
      <c r="EW22" s="198"/>
      <c r="EX22" s="198"/>
      <c r="EY22" s="199"/>
      <c r="EZ22" s="198"/>
      <c r="FA22" s="198"/>
      <c r="FB22" s="198"/>
      <c r="FC22" s="198"/>
      <c r="FD22" s="198"/>
      <c r="FE22" s="198"/>
      <c r="FF22" s="198"/>
      <c r="FG22" s="197"/>
      <c r="FH22" s="198"/>
      <c r="FI22" s="198"/>
      <c r="FJ22" s="198"/>
      <c r="FK22" s="198"/>
      <c r="FL22" s="198"/>
      <c r="FM22" s="198"/>
      <c r="FN22" s="197"/>
      <c r="FO22" s="198"/>
      <c r="FP22" s="198"/>
      <c r="FQ22" s="198"/>
      <c r="FR22" s="198"/>
      <c r="FS22" s="198"/>
      <c r="FT22" s="199"/>
      <c r="FU22" s="197"/>
      <c r="FV22" s="198"/>
      <c r="FW22" s="198"/>
      <c r="FX22" s="198"/>
      <c r="FY22" s="198"/>
      <c r="FZ22" s="198"/>
      <c r="GA22" s="199"/>
      <c r="GB22" s="197"/>
      <c r="GC22" s="198"/>
      <c r="GD22" s="198"/>
      <c r="GE22" s="198"/>
      <c r="GF22" s="198"/>
      <c r="GG22" s="198"/>
      <c r="GH22" s="199"/>
      <c r="GI22" s="197"/>
      <c r="GJ22" s="198"/>
      <c r="GK22" s="198"/>
      <c r="GL22" s="198"/>
      <c r="GM22" s="198"/>
      <c r="GN22" s="198"/>
      <c r="GO22" s="199"/>
      <c r="GP22" s="197"/>
      <c r="GQ22" s="198"/>
      <c r="GR22" s="198"/>
      <c r="GS22" s="198"/>
      <c r="GT22" s="198"/>
      <c r="GU22" s="198"/>
      <c r="GV22" s="199"/>
      <c r="GW22" s="197"/>
      <c r="GX22" s="198"/>
      <c r="GY22" s="198"/>
      <c r="GZ22" s="198"/>
      <c r="HA22" s="198"/>
      <c r="HB22" s="198"/>
      <c r="HC22" s="199"/>
      <c r="HD22" s="197"/>
      <c r="HE22" s="198"/>
      <c r="HF22" s="198"/>
      <c r="HG22" s="198"/>
      <c r="HH22" s="198"/>
      <c r="HI22" s="198"/>
      <c r="HJ22" s="199"/>
      <c r="HK22" s="197"/>
      <c r="HL22" s="198"/>
      <c r="HM22" s="198"/>
      <c r="HN22" s="198"/>
      <c r="HO22" s="198"/>
      <c r="HP22" s="198"/>
      <c r="HQ22" s="198"/>
      <c r="HR22" s="197"/>
      <c r="HT22" s="198"/>
      <c r="HU22" s="198"/>
      <c r="HV22" s="198"/>
      <c r="HW22" s="198"/>
      <c r="HX22" s="198"/>
    </row>
    <row r="23" spans="1:233">
      <c r="A23" s="185" t="s">
        <v>494</v>
      </c>
      <c r="B23" s="197"/>
      <c r="C23" s="198"/>
      <c r="D23" s="198"/>
      <c r="E23" s="198"/>
      <c r="F23" s="198"/>
      <c r="G23" s="198"/>
      <c r="H23" s="199"/>
      <c r="I23" s="197"/>
      <c r="J23" s="198"/>
      <c r="K23" s="198"/>
      <c r="L23" s="198"/>
      <c r="M23" s="198"/>
      <c r="N23" s="198"/>
      <c r="O23" s="199"/>
      <c r="P23" s="198"/>
      <c r="Q23" s="198"/>
      <c r="R23" s="198"/>
      <c r="S23" s="198"/>
      <c r="T23" s="198"/>
      <c r="U23" s="198"/>
      <c r="V23" s="199"/>
      <c r="W23" s="198">
        <v>1127.8679999999999</v>
      </c>
      <c r="X23" s="198">
        <v>133.26499999999999</v>
      </c>
      <c r="Y23" s="198">
        <v>313.20399999999995</v>
      </c>
      <c r="Z23" s="198">
        <v>41.308</v>
      </c>
      <c r="AA23" s="198">
        <v>294.86700000000002</v>
      </c>
      <c r="AB23" s="198"/>
      <c r="AC23" s="199">
        <f t="shared" si="0"/>
        <v>345.22399999999999</v>
      </c>
      <c r="AD23" s="198">
        <f>[1]datos!$S155</f>
        <v>261.86799999999999</v>
      </c>
      <c r="AE23" s="198">
        <v>15.663</v>
      </c>
      <c r="AF23" s="198">
        <v>76.52</v>
      </c>
      <c r="AG23" s="198">
        <v>50.461999999999996</v>
      </c>
      <c r="AH23" s="198">
        <v>25.879000000000001</v>
      </c>
      <c r="AI23" s="198">
        <f>[1]datos!$U155</f>
        <v>35.886000000000003</v>
      </c>
      <c r="AJ23" s="198">
        <f>AD23-AE23-AF23-AG23-AH23-AI23</f>
        <v>57.458000000000006</v>
      </c>
      <c r="AK23" s="197"/>
      <c r="AL23" s="198"/>
      <c r="AM23" s="198"/>
      <c r="AN23" s="198"/>
      <c r="AO23" s="198"/>
      <c r="AP23" s="198"/>
      <c r="AQ23" s="199"/>
      <c r="AR23" s="198">
        <v>6.4429462285859357E-2</v>
      </c>
      <c r="AS23" s="198">
        <v>1.0437403015331024E-2</v>
      </c>
      <c r="AT23" s="198">
        <v>2.933056597715724E-3</v>
      </c>
      <c r="AU23" s="198">
        <v>2.0502828541546458E-2</v>
      </c>
      <c r="AV23" s="198">
        <v>2.0907837432357561E-3</v>
      </c>
      <c r="AW23" s="198"/>
      <c r="AX23" s="198">
        <v>2.8465390388030389E-2</v>
      </c>
      <c r="AY23" s="197"/>
      <c r="AZ23" s="198"/>
      <c r="BA23" s="198"/>
      <c r="BB23" s="198"/>
      <c r="BC23" s="198"/>
      <c r="BD23" s="198"/>
      <c r="BE23" s="198"/>
      <c r="BF23" s="197"/>
      <c r="BG23" s="198"/>
      <c r="BH23" s="198"/>
      <c r="BI23" s="198"/>
      <c r="BJ23" s="198"/>
      <c r="BK23" s="198"/>
      <c r="BL23" s="198"/>
      <c r="BM23" s="197"/>
      <c r="BN23" s="198"/>
      <c r="BO23" s="198"/>
      <c r="BP23" s="198"/>
      <c r="BQ23" s="198"/>
      <c r="BR23" s="198"/>
      <c r="BS23" s="198"/>
      <c r="BT23" s="197"/>
      <c r="BU23" s="198"/>
      <c r="BV23" s="198"/>
      <c r="BW23" s="198"/>
      <c r="BX23" s="198"/>
      <c r="BY23" s="198"/>
      <c r="BZ23" s="198"/>
      <c r="CA23" s="197"/>
      <c r="CB23" s="198"/>
      <c r="CC23" s="198"/>
      <c r="CD23" s="198"/>
      <c r="CE23" s="198"/>
      <c r="CF23" s="198"/>
      <c r="CG23" s="198"/>
      <c r="CH23" s="197"/>
      <c r="CI23" s="198"/>
      <c r="CJ23" s="198"/>
      <c r="CK23" s="198"/>
      <c r="CL23" s="198"/>
      <c r="CM23" s="198"/>
      <c r="CN23" s="198"/>
      <c r="CO23" s="197"/>
      <c r="CP23" s="198"/>
      <c r="CQ23" s="198"/>
      <c r="CR23" s="198"/>
      <c r="CS23" s="198"/>
      <c r="CT23" s="198"/>
      <c r="CU23" s="198"/>
      <c r="CV23" s="197"/>
      <c r="CW23" s="198"/>
      <c r="CX23" s="198"/>
      <c r="CY23" s="198"/>
      <c r="CZ23" s="198"/>
      <c r="DA23" s="198"/>
      <c r="DB23" s="198"/>
      <c r="DC23" s="197"/>
      <c r="DD23" s="198"/>
      <c r="DE23" s="198"/>
      <c r="DF23" s="198"/>
      <c r="DG23" s="198"/>
      <c r="DH23" s="198"/>
      <c r="DI23" s="198"/>
      <c r="DJ23" s="197"/>
      <c r="DK23" s="198"/>
      <c r="DL23" s="198"/>
      <c r="DM23" s="198"/>
      <c r="DN23" s="198"/>
      <c r="DO23" s="198"/>
      <c r="DP23" s="198"/>
      <c r="DQ23" s="197"/>
      <c r="DR23" s="198"/>
      <c r="DS23" s="198"/>
      <c r="DT23" s="198"/>
      <c r="DU23" s="198"/>
      <c r="DV23" s="198"/>
      <c r="DW23" s="198"/>
      <c r="DX23" s="197"/>
      <c r="DY23" s="198"/>
      <c r="DZ23" s="198"/>
      <c r="EA23" s="198"/>
      <c r="EB23" s="198"/>
      <c r="EC23" s="198"/>
      <c r="ED23" s="198"/>
      <c r="EE23" s="197"/>
      <c r="EF23" s="198"/>
      <c r="EG23" s="198"/>
      <c r="EH23" s="198"/>
      <c r="EI23" s="198"/>
      <c r="EJ23" s="198"/>
      <c r="EK23" s="199"/>
      <c r="EL23" s="198"/>
      <c r="EM23" s="198"/>
      <c r="EN23" s="198"/>
      <c r="EO23" s="198"/>
      <c r="EP23" s="198"/>
      <c r="EQ23" s="198"/>
      <c r="ER23" s="199"/>
      <c r="ES23" s="198"/>
      <c r="ET23" s="198"/>
      <c r="EU23" s="198"/>
      <c r="EV23" s="198"/>
      <c r="EW23" s="198"/>
      <c r="EX23" s="198"/>
      <c r="EY23" s="199"/>
      <c r="EZ23" s="198"/>
      <c r="FA23" s="198"/>
      <c r="FB23" s="198"/>
      <c r="FC23" s="198"/>
      <c r="FD23" s="198"/>
      <c r="FE23" s="198"/>
      <c r="FF23" s="198"/>
      <c r="FG23" s="197"/>
      <c r="FH23" s="198"/>
      <c r="FI23" s="198"/>
      <c r="FJ23" s="198"/>
      <c r="FK23" s="198"/>
      <c r="FL23" s="198"/>
      <c r="FM23" s="198"/>
      <c r="FN23" s="197"/>
      <c r="FO23" s="198"/>
      <c r="FP23" s="198"/>
      <c r="FQ23" s="198"/>
      <c r="FR23" s="198"/>
      <c r="FS23" s="198"/>
      <c r="FT23" s="199"/>
      <c r="FU23" s="197"/>
      <c r="FV23" s="198"/>
      <c r="FW23" s="198"/>
      <c r="FX23" s="198"/>
      <c r="FY23" s="198"/>
      <c r="FZ23" s="198"/>
      <c r="GA23" s="199"/>
      <c r="GB23" s="197"/>
      <c r="GC23" s="198"/>
      <c r="GD23" s="198"/>
      <c r="GE23" s="198"/>
      <c r="GF23" s="198"/>
      <c r="GG23" s="198"/>
      <c r="GH23" s="199"/>
      <c r="GI23" s="197"/>
      <c r="GJ23" s="198"/>
      <c r="GK23" s="198"/>
      <c r="GL23" s="198"/>
      <c r="GM23" s="198"/>
      <c r="GN23" s="198"/>
      <c r="GO23" s="199"/>
      <c r="GP23" s="197"/>
      <c r="GQ23" s="198"/>
      <c r="GR23" s="198"/>
      <c r="GS23" s="198"/>
      <c r="GT23" s="198"/>
      <c r="GU23" s="198"/>
      <c r="GV23" s="199"/>
      <c r="GW23" s="197"/>
      <c r="GX23" s="198"/>
      <c r="GY23" s="198"/>
      <c r="GZ23" s="198"/>
      <c r="HA23" s="198"/>
      <c r="HB23" s="198"/>
      <c r="HC23" s="199"/>
      <c r="HD23" s="197"/>
      <c r="HE23" s="198"/>
      <c r="HF23" s="198"/>
      <c r="HG23" s="198"/>
      <c r="HH23" s="198"/>
      <c r="HI23" s="198"/>
      <c r="HJ23" s="199"/>
      <c r="HK23" s="197"/>
      <c r="HL23" s="198"/>
      <c r="HM23" s="198"/>
      <c r="HN23" s="198"/>
      <c r="HO23" s="198"/>
      <c r="HP23" s="198"/>
      <c r="HQ23" s="198"/>
      <c r="HR23" s="197"/>
      <c r="HT23" s="198"/>
      <c r="HU23" s="198"/>
      <c r="HV23" s="198"/>
      <c r="HW23" s="198"/>
      <c r="HX23" s="198"/>
    </row>
    <row r="24" spans="1:233">
      <c r="A24" s="185" t="s">
        <v>495</v>
      </c>
      <c r="B24" s="197"/>
      <c r="C24" s="198"/>
      <c r="D24" s="198"/>
      <c r="E24" s="198"/>
      <c r="F24" s="198"/>
      <c r="G24" s="198"/>
      <c r="H24" s="199"/>
      <c r="I24" s="197"/>
      <c r="J24" s="198"/>
      <c r="K24" s="198"/>
      <c r="L24" s="198"/>
      <c r="M24" s="198"/>
      <c r="N24" s="198"/>
      <c r="O24" s="199"/>
      <c r="P24" s="198"/>
      <c r="Q24" s="198"/>
      <c r="R24" s="198"/>
      <c r="S24" s="198"/>
      <c r="T24" s="198"/>
      <c r="U24" s="198"/>
      <c r="V24" s="199"/>
      <c r="W24" s="198">
        <v>1135.7180000000001</v>
      </c>
      <c r="X24" s="198">
        <v>141.72200000000001</v>
      </c>
      <c r="Y24" s="198">
        <v>318.72700000000003</v>
      </c>
      <c r="Z24" s="198">
        <v>39.313000000000002</v>
      </c>
      <c r="AA24" s="198">
        <v>303.44400000000002</v>
      </c>
      <c r="AB24" s="198"/>
      <c r="AC24" s="199">
        <f t="shared" si="0"/>
        <v>332.512</v>
      </c>
      <c r="AD24" s="198"/>
      <c r="AE24" s="198">
        <v>18.015999999999998</v>
      </c>
      <c r="AF24" s="198">
        <v>74.180999999999997</v>
      </c>
      <c r="AG24" s="198">
        <v>51.385999999999996</v>
      </c>
      <c r="AH24" s="198">
        <v>27.067</v>
      </c>
      <c r="AI24" s="198"/>
      <c r="AJ24" s="198"/>
      <c r="AK24" s="197"/>
      <c r="AL24" s="198"/>
      <c r="AM24" s="198"/>
      <c r="AN24" s="198"/>
      <c r="AO24" s="198"/>
      <c r="AP24" s="198"/>
      <c r="AQ24" s="199"/>
      <c r="AR24" s="198">
        <v>8.3127682344414575E-2</v>
      </c>
      <c r="AS24" s="198">
        <v>1.3740866584271176E-2</v>
      </c>
      <c r="AT24" s="198">
        <v>3.6436267980702237E-3</v>
      </c>
      <c r="AU24" s="198">
        <v>2.6404693897749642E-2</v>
      </c>
      <c r="AV24" s="198">
        <v>2.5732749550712287E-3</v>
      </c>
      <c r="AW24" s="198"/>
      <c r="AX24" s="198">
        <v>3.6765220109252317E-2</v>
      </c>
      <c r="AY24" s="197"/>
      <c r="AZ24" s="198"/>
      <c r="BA24" s="198"/>
      <c r="BB24" s="198"/>
      <c r="BC24" s="198"/>
      <c r="BD24" s="198"/>
      <c r="BE24" s="198"/>
      <c r="BF24" s="197"/>
      <c r="BG24" s="198"/>
      <c r="BH24" s="198"/>
      <c r="BI24" s="198"/>
      <c r="BJ24" s="198"/>
      <c r="BK24" s="198"/>
      <c r="BL24" s="198"/>
      <c r="BM24" s="197"/>
      <c r="BN24" s="198"/>
      <c r="BO24" s="198"/>
      <c r="BP24" s="198"/>
      <c r="BQ24" s="198"/>
      <c r="BR24" s="198"/>
      <c r="BS24" s="198"/>
      <c r="BT24" s="197"/>
      <c r="BU24" s="198"/>
      <c r="BV24" s="198"/>
      <c r="BW24" s="198"/>
      <c r="BX24" s="198"/>
      <c r="BY24" s="198"/>
      <c r="BZ24" s="198"/>
      <c r="CA24" s="197"/>
      <c r="CB24" s="198"/>
      <c r="CC24" s="198"/>
      <c r="CD24" s="198"/>
      <c r="CE24" s="198"/>
      <c r="CF24" s="198"/>
      <c r="CG24" s="198"/>
      <c r="CH24" s="197"/>
      <c r="CI24" s="198"/>
      <c r="CJ24" s="198"/>
      <c r="CK24" s="198"/>
      <c r="CL24" s="198"/>
      <c r="CM24" s="198"/>
      <c r="CN24" s="198"/>
      <c r="CO24" s="197"/>
      <c r="CP24" s="198"/>
      <c r="CQ24" s="198"/>
      <c r="CR24" s="198"/>
      <c r="CS24" s="198"/>
      <c r="CT24" s="198"/>
      <c r="CU24" s="198"/>
      <c r="CV24" s="197"/>
      <c r="CW24" s="198"/>
      <c r="CX24" s="198"/>
      <c r="CY24" s="198"/>
      <c r="CZ24" s="198"/>
      <c r="DA24" s="198"/>
      <c r="DB24" s="198"/>
      <c r="DC24" s="197"/>
      <c r="DD24" s="198"/>
      <c r="DE24" s="198"/>
      <c r="DF24" s="198"/>
      <c r="DG24" s="198"/>
      <c r="DH24" s="198"/>
      <c r="DI24" s="198"/>
      <c r="DJ24" s="197"/>
      <c r="DK24" s="198"/>
      <c r="DL24" s="198"/>
      <c r="DM24" s="198"/>
      <c r="DN24" s="198"/>
      <c r="DO24" s="198"/>
      <c r="DP24" s="198"/>
      <c r="DQ24" s="197"/>
      <c r="DR24" s="198"/>
      <c r="DS24" s="198"/>
      <c r="DT24" s="198"/>
      <c r="DU24" s="198"/>
      <c r="DV24" s="198"/>
      <c r="DW24" s="198"/>
      <c r="DX24" s="197"/>
      <c r="DY24" s="198"/>
      <c r="DZ24" s="198"/>
      <c r="EA24" s="198"/>
      <c r="EB24" s="198"/>
      <c r="EC24" s="198"/>
      <c r="ED24" s="198"/>
      <c r="EE24" s="197"/>
      <c r="EF24" s="198"/>
      <c r="EG24" s="198"/>
      <c r="EH24" s="198"/>
      <c r="EI24" s="198"/>
      <c r="EJ24" s="198"/>
      <c r="EK24" s="199"/>
      <c r="EL24" s="198"/>
      <c r="EM24" s="198"/>
      <c r="EN24" s="198"/>
      <c r="EO24" s="198"/>
      <c r="EP24" s="198"/>
      <c r="EQ24" s="198"/>
      <c r="ER24" s="199"/>
      <c r="ES24" s="198"/>
      <c r="ET24" s="198"/>
      <c r="EU24" s="198"/>
      <c r="EV24" s="198"/>
      <c r="EW24" s="198"/>
      <c r="EX24" s="198"/>
      <c r="EY24" s="199"/>
      <c r="EZ24" s="198"/>
      <c r="FA24" s="198"/>
      <c r="FB24" s="198"/>
      <c r="FC24" s="198"/>
      <c r="FD24" s="198"/>
      <c r="FE24" s="198"/>
      <c r="FF24" s="198"/>
      <c r="FG24" s="197"/>
      <c r="FH24" s="198"/>
      <c r="FI24" s="198"/>
      <c r="FJ24" s="198"/>
      <c r="FK24" s="198"/>
      <c r="FL24" s="198"/>
      <c r="FM24" s="198"/>
      <c r="FN24" s="197"/>
      <c r="FO24" s="198"/>
      <c r="FP24" s="198"/>
      <c r="FQ24" s="198"/>
      <c r="FR24" s="198"/>
      <c r="FS24" s="198"/>
      <c r="FT24" s="199"/>
      <c r="FU24" s="197"/>
      <c r="FV24" s="198"/>
      <c r="FW24" s="198"/>
      <c r="FX24" s="198"/>
      <c r="FY24" s="198"/>
      <c r="FZ24" s="198"/>
      <c r="GA24" s="199"/>
      <c r="GB24" s="197"/>
      <c r="GC24" s="198"/>
      <c r="GD24" s="198"/>
      <c r="GE24" s="198"/>
      <c r="GF24" s="198"/>
      <c r="GG24" s="198"/>
      <c r="GH24" s="199"/>
      <c r="GI24" s="197"/>
      <c r="GJ24" s="198"/>
      <c r="GK24" s="198"/>
      <c r="GL24" s="198"/>
      <c r="GM24" s="198"/>
      <c r="GN24" s="198"/>
      <c r="GO24" s="199"/>
      <c r="GP24" s="197"/>
      <c r="GQ24" s="198"/>
      <c r="GR24" s="198"/>
      <c r="GS24" s="198"/>
      <c r="GT24" s="198"/>
      <c r="GU24" s="198"/>
      <c r="GV24" s="199"/>
      <c r="GW24" s="197"/>
      <c r="GX24" s="198"/>
      <c r="GY24" s="198"/>
      <c r="GZ24" s="198"/>
      <c r="HA24" s="198"/>
      <c r="HB24" s="198"/>
      <c r="HC24" s="199"/>
      <c r="HD24" s="197"/>
      <c r="HE24" s="198"/>
      <c r="HF24" s="198"/>
      <c r="HG24" s="198"/>
      <c r="HH24" s="198"/>
      <c r="HI24" s="198"/>
      <c r="HJ24" s="199"/>
      <c r="HK24" s="197"/>
      <c r="HL24" s="198"/>
      <c r="HM24" s="198"/>
      <c r="HN24" s="198"/>
      <c r="HO24" s="198"/>
      <c r="HP24" s="198"/>
      <c r="HQ24" s="198"/>
      <c r="HR24" s="197"/>
      <c r="HT24" s="198"/>
      <c r="HU24" s="198"/>
      <c r="HV24" s="198"/>
      <c r="HW24" s="198"/>
      <c r="HX24" s="198"/>
    </row>
    <row r="25" spans="1:233">
      <c r="A25" s="185" t="s">
        <v>496</v>
      </c>
      <c r="B25" s="197"/>
      <c r="C25" s="198"/>
      <c r="D25" s="198"/>
      <c r="E25" s="198"/>
      <c r="F25" s="198"/>
      <c r="G25" s="198"/>
      <c r="H25" s="199"/>
      <c r="I25" s="197"/>
      <c r="J25" s="198"/>
      <c r="K25" s="198"/>
      <c r="L25" s="198"/>
      <c r="M25" s="198"/>
      <c r="N25" s="198"/>
      <c r="O25" s="199"/>
      <c r="P25" s="198"/>
      <c r="Q25" s="198"/>
      <c r="R25" s="198"/>
      <c r="S25" s="198"/>
      <c r="T25" s="198"/>
      <c r="U25" s="198"/>
      <c r="V25" s="199"/>
      <c r="W25" s="198">
        <v>1160.7170000000001</v>
      </c>
      <c r="X25" s="198">
        <v>147.482</v>
      </c>
      <c r="Y25" s="198">
        <v>325.26</v>
      </c>
      <c r="Z25" s="198">
        <v>39.99</v>
      </c>
      <c r="AA25" s="198">
        <v>307.298</v>
      </c>
      <c r="AB25" s="198"/>
      <c r="AC25" s="199">
        <f t="shared" si="0"/>
        <v>340.68700000000013</v>
      </c>
      <c r="AD25" s="198"/>
      <c r="AE25" s="198">
        <v>15.548999999999999</v>
      </c>
      <c r="AF25" s="198">
        <v>75.412000000000006</v>
      </c>
      <c r="AG25" s="198">
        <v>48.747999999999998</v>
      </c>
      <c r="AH25" s="198">
        <v>27.024000000000001</v>
      </c>
      <c r="AI25" s="198"/>
      <c r="AJ25" s="198"/>
      <c r="AK25" s="197"/>
      <c r="AL25" s="198"/>
      <c r="AM25" s="198"/>
      <c r="AN25" s="198"/>
      <c r="AO25" s="198"/>
      <c r="AP25" s="198"/>
      <c r="AQ25" s="199"/>
      <c r="AR25" s="198">
        <v>0.10838047673932993</v>
      </c>
      <c r="AS25" s="198">
        <v>1.8314013384580441E-2</v>
      </c>
      <c r="AT25" s="198">
        <v>4.8596476401233102E-3</v>
      </c>
      <c r="AU25" s="198">
        <v>3.4374034272988109E-2</v>
      </c>
      <c r="AV25" s="198">
        <v>3.5107486945369789E-3</v>
      </c>
      <c r="AW25" s="198"/>
      <c r="AX25" s="198">
        <v>4.7322032747101103E-2</v>
      </c>
      <c r="AY25" s="197"/>
      <c r="AZ25" s="198"/>
      <c r="BA25" s="198"/>
      <c r="BB25" s="198"/>
      <c r="BC25" s="198"/>
      <c r="BD25" s="198"/>
      <c r="BE25" s="198"/>
      <c r="BF25" s="197"/>
      <c r="BG25" s="198"/>
      <c r="BH25" s="198"/>
      <c r="BI25" s="198"/>
      <c r="BJ25" s="198"/>
      <c r="BK25" s="198"/>
      <c r="BL25" s="198"/>
      <c r="BM25" s="197"/>
      <c r="BN25" s="198"/>
      <c r="BO25" s="198"/>
      <c r="BP25" s="198"/>
      <c r="BQ25" s="198"/>
      <c r="BR25" s="198"/>
      <c r="BS25" s="198"/>
      <c r="BT25" s="197"/>
      <c r="BU25" s="198"/>
      <c r="BV25" s="198"/>
      <c r="BW25" s="198"/>
      <c r="BX25" s="198"/>
      <c r="BY25" s="198"/>
      <c r="BZ25" s="198"/>
      <c r="CA25" s="197"/>
      <c r="CB25" s="198"/>
      <c r="CC25" s="198"/>
      <c r="CD25" s="198"/>
      <c r="CE25" s="198"/>
      <c r="CF25" s="198"/>
      <c r="CG25" s="198"/>
      <c r="CH25" s="197"/>
      <c r="CI25" s="198"/>
      <c r="CJ25" s="198"/>
      <c r="CK25" s="198"/>
      <c r="CL25" s="198"/>
      <c r="CM25" s="198"/>
      <c r="CN25" s="198"/>
      <c r="CO25" s="197"/>
      <c r="CP25" s="198"/>
      <c r="CQ25" s="198"/>
      <c r="CR25" s="198"/>
      <c r="CS25" s="198"/>
      <c r="CT25" s="198"/>
      <c r="CU25" s="198"/>
      <c r="CV25" s="197"/>
      <c r="CW25" s="198"/>
      <c r="CX25" s="198"/>
      <c r="CY25" s="198"/>
      <c r="CZ25" s="198"/>
      <c r="DA25" s="198"/>
      <c r="DB25" s="198"/>
      <c r="DC25" s="197"/>
      <c r="DD25" s="198"/>
      <c r="DE25" s="198"/>
      <c r="DF25" s="198"/>
      <c r="DG25" s="198"/>
      <c r="DH25" s="198"/>
      <c r="DI25" s="198"/>
      <c r="DJ25" s="197"/>
      <c r="DK25" s="198"/>
      <c r="DL25" s="198"/>
      <c r="DM25" s="198"/>
      <c r="DN25" s="198"/>
      <c r="DO25" s="198"/>
      <c r="DP25" s="198"/>
      <c r="DQ25" s="197"/>
      <c r="DR25" s="198"/>
      <c r="DS25" s="198"/>
      <c r="DT25" s="198"/>
      <c r="DU25" s="198"/>
      <c r="DV25" s="198"/>
      <c r="DW25" s="198"/>
      <c r="DX25" s="197"/>
      <c r="DY25" s="198"/>
      <c r="DZ25" s="198"/>
      <c r="EA25" s="198"/>
      <c r="EB25" s="198"/>
      <c r="EC25" s="198"/>
      <c r="ED25" s="198"/>
      <c r="EE25" s="197"/>
      <c r="EF25" s="198"/>
      <c r="EG25" s="198"/>
      <c r="EH25" s="198"/>
      <c r="EI25" s="198"/>
      <c r="EJ25" s="198"/>
      <c r="EK25" s="199"/>
      <c r="EL25" s="198"/>
      <c r="EM25" s="198"/>
      <c r="EN25" s="198"/>
      <c r="EO25" s="198"/>
      <c r="EP25" s="198"/>
      <c r="EQ25" s="198"/>
      <c r="ER25" s="199"/>
      <c r="ES25" s="198"/>
      <c r="ET25" s="198"/>
      <c r="EU25" s="198"/>
      <c r="EV25" s="198"/>
      <c r="EW25" s="198"/>
      <c r="EX25" s="198"/>
      <c r="EY25" s="199"/>
      <c r="EZ25" s="198"/>
      <c r="FA25" s="198"/>
      <c r="FB25" s="198"/>
      <c r="FC25" s="198"/>
      <c r="FD25" s="198"/>
      <c r="FE25" s="198"/>
      <c r="FF25" s="198"/>
      <c r="FG25" s="197"/>
      <c r="FH25" s="198"/>
      <c r="FI25" s="198"/>
      <c r="FJ25" s="198"/>
      <c r="FK25" s="198"/>
      <c r="FL25" s="198"/>
      <c r="FM25" s="198"/>
      <c r="FN25" s="197"/>
      <c r="FO25" s="198"/>
      <c r="FP25" s="198"/>
      <c r="FQ25" s="198"/>
      <c r="FR25" s="198"/>
      <c r="FS25" s="198"/>
      <c r="FT25" s="199"/>
      <c r="FU25" s="197"/>
      <c r="FV25" s="198"/>
      <c r="FW25" s="198"/>
      <c r="FX25" s="198"/>
      <c r="FY25" s="198"/>
      <c r="FZ25" s="198"/>
      <c r="GA25" s="199"/>
      <c r="GB25" s="197"/>
      <c r="GC25" s="198"/>
      <c r="GD25" s="198"/>
      <c r="GE25" s="198"/>
      <c r="GF25" s="198"/>
      <c r="GG25" s="198"/>
      <c r="GH25" s="199"/>
      <c r="GI25" s="197"/>
      <c r="GJ25" s="198"/>
      <c r="GK25" s="198"/>
      <c r="GL25" s="198"/>
      <c r="GM25" s="198"/>
      <c r="GN25" s="198"/>
      <c r="GO25" s="199"/>
      <c r="GP25" s="197"/>
      <c r="GQ25" s="198"/>
      <c r="GR25" s="198"/>
      <c r="GS25" s="198"/>
      <c r="GT25" s="198"/>
      <c r="GU25" s="198"/>
      <c r="GV25" s="199"/>
      <c r="GW25" s="197"/>
      <c r="GX25" s="198"/>
      <c r="GY25" s="198"/>
      <c r="GZ25" s="198"/>
      <c r="HA25" s="198"/>
      <c r="HB25" s="198"/>
      <c r="HC25" s="199"/>
      <c r="HD25" s="197"/>
      <c r="HE25" s="198"/>
      <c r="HF25" s="198"/>
      <c r="HG25" s="198"/>
      <c r="HH25" s="198"/>
      <c r="HI25" s="198"/>
      <c r="HJ25" s="199"/>
      <c r="HK25" s="197"/>
      <c r="HL25" s="198"/>
      <c r="HM25" s="198"/>
      <c r="HN25" s="198"/>
      <c r="HO25" s="198"/>
      <c r="HP25" s="198"/>
      <c r="HQ25" s="198"/>
      <c r="HR25" s="197"/>
      <c r="HT25" s="198"/>
      <c r="HU25" s="198"/>
      <c r="HV25" s="198"/>
      <c r="HW25" s="198"/>
      <c r="HX25" s="198"/>
    </row>
    <row r="26" spans="1:233">
      <c r="A26" s="185" t="s">
        <v>497</v>
      </c>
      <c r="B26" s="197"/>
      <c r="C26" s="198"/>
      <c r="D26" s="198"/>
      <c r="E26" s="198"/>
      <c r="F26" s="198"/>
      <c r="G26" s="198"/>
      <c r="H26" s="199"/>
      <c r="I26" s="197"/>
      <c r="J26" s="198"/>
      <c r="K26" s="198"/>
      <c r="L26" s="198"/>
      <c r="M26" s="198"/>
      <c r="N26" s="198"/>
      <c r="O26" s="199"/>
      <c r="P26" s="198"/>
      <c r="Q26" s="198"/>
      <c r="R26" s="198"/>
      <c r="S26" s="198"/>
      <c r="T26" s="198"/>
      <c r="U26" s="198"/>
      <c r="V26" s="199"/>
      <c r="W26" s="198">
        <v>1180.5920000000001</v>
      </c>
      <c r="X26" s="198">
        <v>143.42099999999999</v>
      </c>
      <c r="Y26" s="198">
        <v>341.19800000000004</v>
      </c>
      <c r="Z26" s="198">
        <v>41.567999999999998</v>
      </c>
      <c r="AA26" s="198">
        <v>309.37700000000001</v>
      </c>
      <c r="AB26" s="198"/>
      <c r="AC26" s="199">
        <f t="shared" si="0"/>
        <v>345.02799999999996</v>
      </c>
      <c r="AD26" s="198">
        <f>[1]datos!$S158</f>
        <v>258.45699999999999</v>
      </c>
      <c r="AE26" s="198">
        <v>14.584</v>
      </c>
      <c r="AF26" s="198">
        <v>75.187999999999988</v>
      </c>
      <c r="AG26" s="198">
        <v>47.367999999999995</v>
      </c>
      <c r="AH26" s="198">
        <v>27.393000000000001</v>
      </c>
      <c r="AI26" s="198">
        <f>[1]datos!$U158</f>
        <v>36.884</v>
      </c>
      <c r="AJ26" s="198">
        <f>AD26-AE26-AF26-AG26-AH26-AI26</f>
        <v>57.040000000000006</v>
      </c>
      <c r="AK26" s="197"/>
      <c r="AL26" s="198"/>
      <c r="AM26" s="198"/>
      <c r="AN26" s="198"/>
      <c r="AO26" s="198"/>
      <c r="AP26" s="198"/>
      <c r="AQ26" s="199"/>
      <c r="AR26" s="198">
        <v>0.1527082245292464</v>
      </c>
      <c r="AS26" s="198">
        <v>2.4868191621948529E-2</v>
      </c>
      <c r="AT26" s="198">
        <v>7.0764023409429656E-3</v>
      </c>
      <c r="AU26" s="198">
        <v>5.2121665799380205E-2</v>
      </c>
      <c r="AV26" s="198">
        <v>4.309885322587575E-3</v>
      </c>
      <c r="AW26" s="198"/>
      <c r="AX26" s="198">
        <v>6.4332079444387139E-2</v>
      </c>
      <c r="AY26" s="197"/>
      <c r="AZ26" s="198"/>
      <c r="BA26" s="198"/>
      <c r="BB26" s="198"/>
      <c r="BC26" s="198"/>
      <c r="BD26" s="198"/>
      <c r="BE26" s="198"/>
      <c r="BF26" s="197"/>
      <c r="BG26" s="198"/>
      <c r="BH26" s="198"/>
      <c r="BI26" s="198"/>
      <c r="BJ26" s="198"/>
      <c r="BK26" s="198"/>
      <c r="BL26" s="198"/>
      <c r="BM26" s="197"/>
      <c r="BN26" s="198"/>
      <c r="BO26" s="198"/>
      <c r="BP26" s="198"/>
      <c r="BQ26" s="198"/>
      <c r="BR26" s="198"/>
      <c r="BS26" s="198"/>
      <c r="BT26" s="197"/>
      <c r="BU26" s="198"/>
      <c r="BV26" s="198"/>
      <c r="BW26" s="198"/>
      <c r="BX26" s="198"/>
      <c r="BY26" s="198"/>
      <c r="BZ26" s="198"/>
      <c r="CA26" s="197"/>
      <c r="CB26" s="198"/>
      <c r="CC26" s="198"/>
      <c r="CD26" s="198"/>
      <c r="CE26" s="198"/>
      <c r="CF26" s="198"/>
      <c r="CG26" s="198"/>
      <c r="CH26" s="197"/>
      <c r="CI26" s="198"/>
      <c r="CJ26" s="198"/>
      <c r="CK26" s="198"/>
      <c r="CL26" s="198"/>
      <c r="CM26" s="198"/>
      <c r="CN26" s="198"/>
      <c r="CO26" s="197"/>
      <c r="CP26" s="198"/>
      <c r="CQ26" s="198"/>
      <c r="CR26" s="198"/>
      <c r="CS26" s="198"/>
      <c r="CT26" s="198"/>
      <c r="CU26" s="198"/>
      <c r="CV26" s="197"/>
      <c r="CW26" s="198"/>
      <c r="CX26" s="198"/>
      <c r="CY26" s="198"/>
      <c r="CZ26" s="198"/>
      <c r="DA26" s="198"/>
      <c r="DB26" s="198"/>
      <c r="DC26" s="197"/>
      <c r="DD26" s="198"/>
      <c r="DE26" s="198"/>
      <c r="DF26" s="198"/>
      <c r="DG26" s="198"/>
      <c r="DH26" s="198"/>
      <c r="DI26" s="198"/>
      <c r="DJ26" s="197"/>
      <c r="DK26" s="198"/>
      <c r="DL26" s="198"/>
      <c r="DM26" s="198"/>
      <c r="DN26" s="198"/>
      <c r="DO26" s="198"/>
      <c r="DP26" s="198"/>
      <c r="DQ26" s="197"/>
      <c r="DR26" s="198"/>
      <c r="DS26" s="198"/>
      <c r="DT26" s="198"/>
      <c r="DU26" s="198"/>
      <c r="DV26" s="198"/>
      <c r="DW26" s="198"/>
      <c r="DX26" s="197"/>
      <c r="DY26" s="198"/>
      <c r="DZ26" s="198"/>
      <c r="EA26" s="198"/>
      <c r="EB26" s="198"/>
      <c r="EC26" s="198"/>
      <c r="ED26" s="198"/>
      <c r="EE26" s="197"/>
      <c r="EF26" s="198"/>
      <c r="EG26" s="198"/>
      <c r="EH26" s="198"/>
      <c r="EI26" s="198"/>
      <c r="EJ26" s="198"/>
      <c r="EK26" s="199"/>
      <c r="EL26" s="198"/>
      <c r="EM26" s="198"/>
      <c r="EN26" s="198"/>
      <c r="EO26" s="198"/>
      <c r="EP26" s="198"/>
      <c r="EQ26" s="198"/>
      <c r="ER26" s="199"/>
      <c r="ES26" s="198"/>
      <c r="ET26" s="198"/>
      <c r="EU26" s="198"/>
      <c r="EV26" s="198"/>
      <c r="EW26" s="198"/>
      <c r="EX26" s="198"/>
      <c r="EY26" s="199"/>
      <c r="EZ26" s="198"/>
      <c r="FA26" s="198"/>
      <c r="FB26" s="198"/>
      <c r="FC26" s="198"/>
      <c r="FD26" s="198"/>
      <c r="FE26" s="198"/>
      <c r="FF26" s="198"/>
      <c r="FG26" s="197"/>
      <c r="FH26" s="198"/>
      <c r="FI26" s="198"/>
      <c r="FJ26" s="198"/>
      <c r="FK26" s="198"/>
      <c r="FL26" s="198"/>
      <c r="FM26" s="198"/>
      <c r="FN26" s="197"/>
      <c r="FO26" s="198"/>
      <c r="FP26" s="198"/>
      <c r="FQ26" s="198"/>
      <c r="FR26" s="198"/>
      <c r="FS26" s="198"/>
      <c r="FT26" s="199"/>
      <c r="FU26" s="197"/>
      <c r="FV26" s="198"/>
      <c r="FW26" s="198"/>
      <c r="FX26" s="198"/>
      <c r="FY26" s="198"/>
      <c r="FZ26" s="198"/>
      <c r="GA26" s="199"/>
      <c r="GB26" s="197"/>
      <c r="GC26" s="198"/>
      <c r="GD26" s="198"/>
      <c r="GE26" s="198"/>
      <c r="GF26" s="198"/>
      <c r="GG26" s="198"/>
      <c r="GH26" s="199"/>
      <c r="GI26" s="197"/>
      <c r="GJ26" s="198"/>
      <c r="GK26" s="198"/>
      <c r="GL26" s="198"/>
      <c r="GM26" s="198"/>
      <c r="GN26" s="198"/>
      <c r="GO26" s="199"/>
      <c r="GP26" s="197"/>
      <c r="GQ26" s="198"/>
      <c r="GR26" s="198"/>
      <c r="GS26" s="198"/>
      <c r="GT26" s="198"/>
      <c r="GU26" s="198"/>
      <c r="GV26" s="199"/>
      <c r="GW26" s="197"/>
      <c r="GX26" s="198"/>
      <c r="GY26" s="198"/>
      <c r="GZ26" s="198"/>
      <c r="HA26" s="198"/>
      <c r="HB26" s="198"/>
      <c r="HC26" s="199"/>
      <c r="HD26" s="197"/>
      <c r="HE26" s="198"/>
      <c r="HF26" s="198"/>
      <c r="HG26" s="198"/>
      <c r="HH26" s="198"/>
      <c r="HI26" s="198"/>
      <c r="HJ26" s="199"/>
      <c r="HK26" s="197"/>
      <c r="HL26" s="198"/>
      <c r="HM26" s="198"/>
      <c r="HN26" s="198"/>
      <c r="HO26" s="198"/>
      <c r="HP26" s="198"/>
      <c r="HQ26" s="198"/>
      <c r="HR26" s="197"/>
      <c r="HT26" s="198"/>
      <c r="HU26" s="198"/>
      <c r="HV26" s="198"/>
      <c r="HW26" s="198"/>
      <c r="HX26" s="198"/>
    </row>
    <row r="27" spans="1:233">
      <c r="A27" s="185" t="s">
        <v>498</v>
      </c>
      <c r="B27" s="197"/>
      <c r="C27" s="198"/>
      <c r="D27" s="198"/>
      <c r="E27" s="198"/>
      <c r="F27" s="198"/>
      <c r="G27" s="198"/>
      <c r="H27" s="199"/>
      <c r="I27" s="197"/>
      <c r="J27" s="198"/>
      <c r="K27" s="198"/>
      <c r="L27" s="198"/>
      <c r="M27" s="198"/>
      <c r="N27" s="198"/>
      <c r="O27" s="199"/>
      <c r="P27" s="198"/>
      <c r="Q27" s="198"/>
      <c r="R27" s="198"/>
      <c r="S27" s="198"/>
      <c r="T27" s="198"/>
      <c r="U27" s="198"/>
      <c r="V27" s="199"/>
      <c r="W27" s="198">
        <v>1204.1020000000001</v>
      </c>
      <c r="X27" s="198">
        <v>153.131</v>
      </c>
      <c r="Y27" s="198">
        <v>348.47300000000001</v>
      </c>
      <c r="Z27" s="198">
        <v>47.158999999999999</v>
      </c>
      <c r="AA27" s="198">
        <v>307.5</v>
      </c>
      <c r="AB27" s="198"/>
      <c r="AC27" s="199">
        <f t="shared" si="0"/>
        <v>347.83900000000006</v>
      </c>
      <c r="AD27" s="198"/>
      <c r="AE27" s="198">
        <v>15.25</v>
      </c>
      <c r="AF27" s="198">
        <v>75.319999999999993</v>
      </c>
      <c r="AG27" s="198">
        <v>49.042000000000002</v>
      </c>
      <c r="AH27" s="198">
        <v>29.32</v>
      </c>
      <c r="AI27" s="198"/>
      <c r="AJ27" s="198"/>
      <c r="AK27" s="197"/>
      <c r="AL27" s="198"/>
      <c r="AM27" s="198"/>
      <c r="AN27" s="198"/>
      <c r="AO27" s="198"/>
      <c r="AP27" s="198"/>
      <c r="AQ27" s="199"/>
      <c r="AR27" s="198">
        <v>0.21430578618664015</v>
      </c>
      <c r="AS27" s="198">
        <v>3.393049467008747E-2</v>
      </c>
      <c r="AT27" s="198">
        <v>9.7043805627056671E-3</v>
      </c>
      <c r="AU27" s="198">
        <v>7.4653785285938551E-2</v>
      </c>
      <c r="AV27" s="198">
        <v>5.8715359059257483E-3</v>
      </c>
      <c r="AW27" s="198"/>
      <c r="AX27" s="198">
        <v>9.0145589761982697E-2</v>
      </c>
      <c r="AY27" s="197"/>
      <c r="AZ27" s="198"/>
      <c r="BA27" s="198"/>
      <c r="BB27" s="198"/>
      <c r="BC27" s="198"/>
      <c r="BD27" s="198"/>
      <c r="BE27" s="198"/>
      <c r="BF27" s="197"/>
      <c r="BG27" s="198"/>
      <c r="BH27" s="198"/>
      <c r="BI27" s="198"/>
      <c r="BJ27" s="198"/>
      <c r="BK27" s="198"/>
      <c r="BL27" s="198"/>
      <c r="BM27" s="197"/>
      <c r="BN27" s="198"/>
      <c r="BO27" s="198"/>
      <c r="BP27" s="198"/>
      <c r="BQ27" s="198"/>
      <c r="BR27" s="198"/>
      <c r="BS27" s="198"/>
      <c r="BT27" s="197"/>
      <c r="BU27" s="198"/>
      <c r="BV27" s="198"/>
      <c r="BW27" s="198"/>
      <c r="BX27" s="198"/>
      <c r="BY27" s="198"/>
      <c r="BZ27" s="198"/>
      <c r="CA27" s="197"/>
      <c r="CB27" s="198"/>
      <c r="CC27" s="198"/>
      <c r="CD27" s="198"/>
      <c r="CE27" s="198"/>
      <c r="CF27" s="198"/>
      <c r="CG27" s="198"/>
      <c r="CH27" s="197"/>
      <c r="CI27" s="198"/>
      <c r="CJ27" s="198"/>
      <c r="CK27" s="198"/>
      <c r="CL27" s="198"/>
      <c r="CM27" s="198"/>
      <c r="CN27" s="198"/>
      <c r="CO27" s="197"/>
      <c r="CP27" s="198"/>
      <c r="CQ27" s="198"/>
      <c r="CR27" s="198"/>
      <c r="CS27" s="198"/>
      <c r="CT27" s="198"/>
      <c r="CU27" s="198"/>
      <c r="CV27" s="197"/>
      <c r="CW27" s="198"/>
      <c r="CX27" s="198"/>
      <c r="CY27" s="198"/>
      <c r="CZ27" s="198"/>
      <c r="DA27" s="198"/>
      <c r="DB27" s="198"/>
      <c r="DC27" s="197"/>
      <c r="DD27" s="198"/>
      <c r="DE27" s="198"/>
      <c r="DF27" s="198"/>
      <c r="DG27" s="198"/>
      <c r="DH27" s="198"/>
      <c r="DI27" s="198"/>
      <c r="DJ27" s="197"/>
      <c r="DK27" s="198"/>
      <c r="DL27" s="198"/>
      <c r="DM27" s="198"/>
      <c r="DN27" s="198"/>
      <c r="DO27" s="198"/>
      <c r="DP27" s="198"/>
      <c r="DQ27" s="197"/>
      <c r="DR27" s="198"/>
      <c r="DS27" s="198"/>
      <c r="DT27" s="198"/>
      <c r="DU27" s="198"/>
      <c r="DV27" s="198"/>
      <c r="DW27" s="198"/>
      <c r="DX27" s="197"/>
      <c r="DY27" s="198"/>
      <c r="DZ27" s="198"/>
      <c r="EA27" s="198"/>
      <c r="EB27" s="198"/>
      <c r="EC27" s="198"/>
      <c r="ED27" s="198"/>
      <c r="EE27" s="197"/>
      <c r="EF27" s="198"/>
      <c r="EG27" s="198"/>
      <c r="EH27" s="198"/>
      <c r="EI27" s="198"/>
      <c r="EJ27" s="198"/>
      <c r="EK27" s="199"/>
      <c r="EL27" s="198"/>
      <c r="EM27" s="198"/>
      <c r="EN27" s="198"/>
      <c r="EO27" s="198"/>
      <c r="EP27" s="198"/>
      <c r="EQ27" s="198"/>
      <c r="ER27" s="199"/>
      <c r="ES27" s="198"/>
      <c r="ET27" s="198"/>
      <c r="EU27" s="198"/>
      <c r="EV27" s="198"/>
      <c r="EW27" s="198"/>
      <c r="EX27" s="198"/>
      <c r="EY27" s="199"/>
      <c r="EZ27" s="198"/>
      <c r="FA27" s="198"/>
      <c r="FB27" s="198"/>
      <c r="FC27" s="198"/>
      <c r="FD27" s="198"/>
      <c r="FE27" s="198"/>
      <c r="FF27" s="198"/>
      <c r="FG27" s="197"/>
      <c r="FH27" s="198"/>
      <c r="FI27" s="198"/>
      <c r="FJ27" s="198"/>
      <c r="FK27" s="198"/>
      <c r="FL27" s="198"/>
      <c r="FM27" s="198"/>
      <c r="FN27" s="197"/>
      <c r="FO27" s="198"/>
      <c r="FP27" s="198"/>
      <c r="FQ27" s="198"/>
      <c r="FR27" s="198"/>
      <c r="FS27" s="198"/>
      <c r="FT27" s="199"/>
      <c r="FU27" s="197"/>
      <c r="FV27" s="198"/>
      <c r="FW27" s="198"/>
      <c r="FX27" s="198"/>
      <c r="FY27" s="198"/>
      <c r="FZ27" s="198"/>
      <c r="GA27" s="199"/>
      <c r="GB27" s="197"/>
      <c r="GC27" s="198"/>
      <c r="GD27" s="198"/>
      <c r="GE27" s="198"/>
      <c r="GF27" s="198"/>
      <c r="GG27" s="198"/>
      <c r="GH27" s="199"/>
      <c r="GI27" s="197"/>
      <c r="GJ27" s="198"/>
      <c r="GK27" s="198"/>
      <c r="GL27" s="198"/>
      <c r="GM27" s="198"/>
      <c r="GN27" s="198"/>
      <c r="GO27" s="199"/>
      <c r="GP27" s="197"/>
      <c r="GQ27" s="198"/>
      <c r="GR27" s="198"/>
      <c r="GS27" s="198"/>
      <c r="GT27" s="198"/>
      <c r="GU27" s="198"/>
      <c r="GV27" s="199"/>
      <c r="GW27" s="197"/>
      <c r="GX27" s="198"/>
      <c r="GY27" s="198"/>
      <c r="GZ27" s="198"/>
      <c r="HA27" s="198"/>
      <c r="HB27" s="198"/>
      <c r="HC27" s="199"/>
      <c r="HD27" s="197"/>
      <c r="HE27" s="198"/>
      <c r="HF27" s="198"/>
      <c r="HG27" s="198"/>
      <c r="HH27" s="198"/>
      <c r="HI27" s="198"/>
      <c r="HJ27" s="199"/>
      <c r="HK27" s="197"/>
      <c r="HL27" s="198"/>
      <c r="HM27" s="198"/>
      <c r="HN27" s="198"/>
      <c r="HO27" s="198"/>
      <c r="HP27" s="198"/>
      <c r="HQ27" s="198"/>
      <c r="HR27" s="197"/>
      <c r="HT27" s="198"/>
      <c r="HU27" s="198"/>
      <c r="HV27" s="198"/>
      <c r="HW27" s="198"/>
      <c r="HX27" s="198"/>
    </row>
    <row r="28" spans="1:233">
      <c r="A28" s="185" t="s">
        <v>499</v>
      </c>
      <c r="B28" s="197"/>
      <c r="C28" s="198"/>
      <c r="D28" s="198"/>
      <c r="E28" s="198"/>
      <c r="F28" s="198"/>
      <c r="G28" s="198"/>
      <c r="H28" s="199"/>
      <c r="I28" s="197"/>
      <c r="J28" s="198"/>
      <c r="K28" s="198"/>
      <c r="L28" s="198"/>
      <c r="M28" s="198"/>
      <c r="N28" s="198"/>
      <c r="O28" s="199"/>
      <c r="P28" s="198"/>
      <c r="Q28" s="198"/>
      <c r="R28" s="198"/>
      <c r="S28" s="198"/>
      <c r="T28" s="198"/>
      <c r="U28" s="198"/>
      <c r="V28" s="199"/>
      <c r="W28" s="198">
        <v>1195.8209999999999</v>
      </c>
      <c r="X28" s="198">
        <v>147.02699999999999</v>
      </c>
      <c r="Y28" s="198">
        <v>344.79399999999998</v>
      </c>
      <c r="Z28" s="198">
        <v>45.429000000000002</v>
      </c>
      <c r="AA28" s="198">
        <v>303.07299999999998</v>
      </c>
      <c r="AB28" s="198"/>
      <c r="AC28" s="199">
        <f t="shared" si="0"/>
        <v>355.49799999999993</v>
      </c>
      <c r="AD28" s="198"/>
      <c r="AE28" s="198">
        <v>16.948</v>
      </c>
      <c r="AF28" s="198">
        <v>78.009999999999991</v>
      </c>
      <c r="AG28" s="198">
        <v>49.734000000000002</v>
      </c>
      <c r="AH28" s="198">
        <v>28.213999999999999</v>
      </c>
      <c r="AI28" s="198"/>
      <c r="AJ28" s="198"/>
      <c r="AK28" s="197"/>
      <c r="AL28" s="198"/>
      <c r="AM28" s="198"/>
      <c r="AN28" s="198"/>
      <c r="AO28" s="198"/>
      <c r="AP28" s="198"/>
      <c r="AQ28" s="199"/>
      <c r="AR28" s="198">
        <v>0.29569308612546502</v>
      </c>
      <c r="AS28" s="198">
        <v>4.9024568698946086E-2</v>
      </c>
      <c r="AT28" s="198">
        <v>1.2977239441994201E-2</v>
      </c>
      <c r="AU28" s="198">
        <v>0.10274261808648932</v>
      </c>
      <c r="AV28" s="198">
        <v>8.1284928298005713E-3</v>
      </c>
      <c r="AW28" s="198"/>
      <c r="AX28" s="198">
        <v>0.12282016706823484</v>
      </c>
      <c r="AY28" s="197"/>
      <c r="AZ28" s="198"/>
      <c r="BA28" s="198"/>
      <c r="BB28" s="198"/>
      <c r="BC28" s="198"/>
      <c r="BD28" s="198"/>
      <c r="BE28" s="198"/>
      <c r="BF28" s="197"/>
      <c r="BG28" s="198"/>
      <c r="BH28" s="198"/>
      <c r="BI28" s="198"/>
      <c r="BJ28" s="198"/>
      <c r="BK28" s="198"/>
      <c r="BL28" s="198"/>
      <c r="BM28" s="197"/>
      <c r="BN28" s="198"/>
      <c r="BO28" s="198"/>
      <c r="BP28" s="198"/>
      <c r="BQ28" s="198"/>
      <c r="BR28" s="198"/>
      <c r="BS28" s="198"/>
      <c r="BT28" s="197"/>
      <c r="BU28" s="198"/>
      <c r="BV28" s="198"/>
      <c r="BW28" s="198"/>
      <c r="BX28" s="198"/>
      <c r="BY28" s="198"/>
      <c r="BZ28" s="198"/>
      <c r="CA28" s="197"/>
      <c r="CB28" s="198"/>
      <c r="CC28" s="198"/>
      <c r="CD28" s="198"/>
      <c r="CE28" s="198"/>
      <c r="CF28" s="198"/>
      <c r="CG28" s="198"/>
      <c r="CH28" s="197"/>
      <c r="CI28" s="198"/>
      <c r="CJ28" s="198"/>
      <c r="CK28" s="198"/>
      <c r="CL28" s="198"/>
      <c r="CM28" s="198"/>
      <c r="CN28" s="198"/>
      <c r="CO28" s="197"/>
      <c r="CP28" s="198"/>
      <c r="CQ28" s="198"/>
      <c r="CR28" s="198"/>
      <c r="CS28" s="198"/>
      <c r="CT28" s="198"/>
      <c r="CU28" s="198"/>
      <c r="CV28" s="197"/>
      <c r="CW28" s="198"/>
      <c r="CX28" s="198"/>
      <c r="CY28" s="198"/>
      <c r="CZ28" s="198"/>
      <c r="DA28" s="198"/>
      <c r="DB28" s="198"/>
      <c r="DC28" s="197"/>
      <c r="DD28" s="198"/>
      <c r="DE28" s="198"/>
      <c r="DF28" s="198"/>
      <c r="DG28" s="198"/>
      <c r="DH28" s="198"/>
      <c r="DI28" s="198"/>
      <c r="DJ28" s="197"/>
      <c r="DK28" s="198"/>
      <c r="DL28" s="198"/>
      <c r="DM28" s="198"/>
      <c r="DN28" s="198"/>
      <c r="DO28" s="198"/>
      <c r="DP28" s="198"/>
      <c r="DQ28" s="197"/>
      <c r="DR28" s="198"/>
      <c r="DS28" s="198"/>
      <c r="DT28" s="198"/>
      <c r="DU28" s="198"/>
      <c r="DV28" s="198"/>
      <c r="DW28" s="198"/>
      <c r="DX28" s="197"/>
      <c r="DY28" s="198"/>
      <c r="DZ28" s="198"/>
      <c r="EA28" s="198"/>
      <c r="EB28" s="198"/>
      <c r="EC28" s="198"/>
      <c r="ED28" s="198"/>
      <c r="EE28" s="197"/>
      <c r="EF28" s="198"/>
      <c r="EG28" s="198"/>
      <c r="EH28" s="198"/>
      <c r="EI28" s="198"/>
      <c r="EJ28" s="198"/>
      <c r="EK28" s="199"/>
      <c r="EL28" s="198"/>
      <c r="EM28" s="198"/>
      <c r="EN28" s="198"/>
      <c r="EO28" s="198"/>
      <c r="EP28" s="198"/>
      <c r="EQ28" s="198"/>
      <c r="ER28" s="199"/>
      <c r="ES28" s="198"/>
      <c r="ET28" s="198"/>
      <c r="EU28" s="198"/>
      <c r="EV28" s="198"/>
      <c r="EW28" s="198"/>
      <c r="EX28" s="198"/>
      <c r="EY28" s="199"/>
      <c r="EZ28" s="198"/>
      <c r="FA28" s="198"/>
      <c r="FB28" s="198"/>
      <c r="FC28" s="198"/>
      <c r="FD28" s="198"/>
      <c r="FE28" s="198"/>
      <c r="FF28" s="198"/>
      <c r="FG28" s="197"/>
      <c r="FH28" s="198"/>
      <c r="FI28" s="198"/>
      <c r="FJ28" s="198"/>
      <c r="FK28" s="198"/>
      <c r="FL28" s="198"/>
      <c r="FM28" s="198"/>
      <c r="FN28" s="197"/>
      <c r="FO28" s="198"/>
      <c r="FP28" s="198"/>
      <c r="FQ28" s="198"/>
      <c r="FR28" s="198"/>
      <c r="FS28" s="198"/>
      <c r="FT28" s="199"/>
      <c r="FU28" s="197"/>
      <c r="FV28" s="198"/>
      <c r="FW28" s="198"/>
      <c r="FX28" s="198"/>
      <c r="FY28" s="198"/>
      <c r="FZ28" s="198"/>
      <c r="GA28" s="199"/>
      <c r="GB28" s="197"/>
      <c r="GC28" s="198"/>
      <c r="GD28" s="198"/>
      <c r="GE28" s="198"/>
      <c r="GF28" s="198"/>
      <c r="GG28" s="198"/>
      <c r="GH28" s="199"/>
      <c r="GI28" s="197"/>
      <c r="GJ28" s="198"/>
      <c r="GK28" s="198"/>
      <c r="GL28" s="198"/>
      <c r="GM28" s="198"/>
      <c r="GN28" s="198"/>
      <c r="GO28" s="199"/>
      <c r="GP28" s="197"/>
      <c r="GQ28" s="198"/>
      <c r="GR28" s="198"/>
      <c r="GS28" s="198"/>
      <c r="GT28" s="198"/>
      <c r="GU28" s="198"/>
      <c r="GV28" s="199"/>
      <c r="GW28" s="197"/>
      <c r="GX28" s="198"/>
      <c r="GY28" s="198"/>
      <c r="GZ28" s="198"/>
      <c r="HA28" s="198"/>
      <c r="HB28" s="198"/>
      <c r="HC28" s="199"/>
      <c r="HD28" s="197"/>
      <c r="HE28" s="198"/>
      <c r="HF28" s="198"/>
      <c r="HG28" s="198"/>
      <c r="HH28" s="198"/>
      <c r="HI28" s="198"/>
      <c r="HJ28" s="199"/>
      <c r="HK28" s="197"/>
      <c r="HL28" s="198"/>
      <c r="HM28" s="198"/>
      <c r="HN28" s="198"/>
      <c r="HO28" s="198"/>
      <c r="HP28" s="198"/>
      <c r="HQ28" s="198"/>
      <c r="HR28" s="197"/>
      <c r="HT28" s="198"/>
      <c r="HU28" s="198"/>
      <c r="HV28" s="198"/>
      <c r="HW28" s="198"/>
      <c r="HX28" s="198"/>
    </row>
    <row r="29" spans="1:233">
      <c r="A29" s="202" t="s">
        <v>500</v>
      </c>
      <c r="B29" s="203"/>
      <c r="C29" s="204"/>
      <c r="D29" s="204"/>
      <c r="E29" s="204"/>
      <c r="F29" s="204"/>
      <c r="G29" s="204"/>
      <c r="H29" s="205"/>
      <c r="I29" s="203"/>
      <c r="J29" s="204"/>
      <c r="K29" s="204"/>
      <c r="L29" s="204"/>
      <c r="M29" s="204"/>
      <c r="N29" s="204"/>
      <c r="O29" s="205"/>
      <c r="P29" s="204"/>
      <c r="Q29" s="204"/>
      <c r="R29" s="204"/>
      <c r="S29" s="204"/>
      <c r="T29" s="204"/>
      <c r="U29" s="204"/>
      <c r="V29" s="205"/>
      <c r="W29" s="204">
        <v>1198.0409999999999</v>
      </c>
      <c r="X29" s="204">
        <v>149.501</v>
      </c>
      <c r="Y29" s="204">
        <v>339.85499999999996</v>
      </c>
      <c r="Z29" s="204">
        <v>46.69</v>
      </c>
      <c r="AA29" s="204">
        <v>297.56799999999998</v>
      </c>
      <c r="AB29" s="204"/>
      <c r="AC29" s="205">
        <f t="shared" si="0"/>
        <v>364.42699999999991</v>
      </c>
      <c r="AD29" s="204">
        <f>[1]datos!$S161</f>
        <v>277.10900000000004</v>
      </c>
      <c r="AE29" s="204">
        <v>18.053000000000001</v>
      </c>
      <c r="AF29" s="204">
        <v>80.875999999999991</v>
      </c>
      <c r="AG29" s="204">
        <v>49.188999999999993</v>
      </c>
      <c r="AH29" s="204">
        <v>30.866</v>
      </c>
      <c r="AI29" s="204">
        <f>[1]datos!$U161</f>
        <v>36.054000000000002</v>
      </c>
      <c r="AJ29" s="204">
        <f>AD29-AE29-AF29-AG29-AH29-AI29</f>
        <v>62.071000000000069</v>
      </c>
      <c r="AK29" s="203"/>
      <c r="AL29" s="204"/>
      <c r="AM29" s="204"/>
      <c r="AN29" s="204"/>
      <c r="AO29" s="204"/>
      <c r="AP29" s="204"/>
      <c r="AQ29" s="205"/>
      <c r="AR29" s="204">
        <v>0.47019924027555204</v>
      </c>
      <c r="AS29" s="204">
        <v>7.6837420552691799E-2</v>
      </c>
      <c r="AT29" s="204">
        <v>2.0322112445395529E-2</v>
      </c>
      <c r="AU29" s="204">
        <v>0.16872687349334378</v>
      </c>
      <c r="AV29" s="204">
        <v>1.1906697386509152E-2</v>
      </c>
      <c r="AW29" s="204"/>
      <c r="AX29" s="204">
        <v>0.19240613639761173</v>
      </c>
      <c r="AY29" s="203"/>
      <c r="AZ29" s="204"/>
      <c r="BA29" s="204"/>
      <c r="BB29" s="204"/>
      <c r="BC29" s="204"/>
      <c r="BD29" s="204"/>
      <c r="BE29" s="204"/>
      <c r="BF29" s="203"/>
      <c r="BG29" s="204"/>
      <c r="BH29" s="204"/>
      <c r="BI29" s="204"/>
      <c r="BJ29" s="204"/>
      <c r="BK29" s="204"/>
      <c r="BL29" s="204"/>
      <c r="BM29" s="203"/>
      <c r="BN29" s="204"/>
      <c r="BO29" s="204"/>
      <c r="BP29" s="204"/>
      <c r="BQ29" s="204"/>
      <c r="BR29" s="204"/>
      <c r="BS29" s="204"/>
      <c r="BT29" s="203"/>
      <c r="BU29" s="204"/>
      <c r="BV29" s="204"/>
      <c r="BW29" s="204"/>
      <c r="BX29" s="204"/>
      <c r="BY29" s="204"/>
      <c r="BZ29" s="204"/>
      <c r="CA29" s="203"/>
      <c r="CB29" s="204"/>
      <c r="CC29" s="204"/>
      <c r="CD29" s="204"/>
      <c r="CE29" s="204"/>
      <c r="CF29" s="204"/>
      <c r="CG29" s="204"/>
      <c r="CH29" s="203"/>
      <c r="CI29" s="204"/>
      <c r="CJ29" s="204"/>
      <c r="CK29" s="204"/>
      <c r="CL29" s="204"/>
      <c r="CM29" s="204"/>
      <c r="CN29" s="204"/>
      <c r="CO29" s="203"/>
      <c r="CP29" s="204"/>
      <c r="CQ29" s="204"/>
      <c r="CR29" s="204"/>
      <c r="CS29" s="204"/>
      <c r="CT29" s="204"/>
      <c r="CU29" s="204"/>
      <c r="CV29" s="203"/>
      <c r="CW29" s="204"/>
      <c r="CX29" s="204"/>
      <c r="CY29" s="204"/>
      <c r="CZ29" s="204"/>
      <c r="DA29" s="204"/>
      <c r="DB29" s="204"/>
      <c r="DC29" s="203"/>
      <c r="DD29" s="204"/>
      <c r="DE29" s="204"/>
      <c r="DF29" s="204"/>
      <c r="DG29" s="204"/>
      <c r="DH29" s="204"/>
      <c r="DI29" s="204"/>
      <c r="DJ29" s="203"/>
      <c r="DK29" s="204"/>
      <c r="DL29" s="204"/>
      <c r="DM29" s="204"/>
      <c r="DN29" s="204"/>
      <c r="DO29" s="204"/>
      <c r="DP29" s="204"/>
      <c r="DQ29" s="203"/>
      <c r="DR29" s="204"/>
      <c r="DS29" s="204"/>
      <c r="DT29" s="204"/>
      <c r="DU29" s="204"/>
      <c r="DV29" s="204"/>
      <c r="DW29" s="204"/>
      <c r="DX29" s="203"/>
      <c r="DY29" s="204"/>
      <c r="DZ29" s="204"/>
      <c r="EA29" s="204"/>
      <c r="EB29" s="204"/>
      <c r="EC29" s="204"/>
      <c r="ED29" s="204"/>
      <c r="EE29" s="203"/>
      <c r="EF29" s="204"/>
      <c r="EG29" s="204"/>
      <c r="EH29" s="204"/>
      <c r="EI29" s="204"/>
      <c r="EJ29" s="204"/>
      <c r="EK29" s="205"/>
      <c r="EL29" s="204"/>
      <c r="EM29" s="204"/>
      <c r="EN29" s="204"/>
      <c r="EO29" s="204"/>
      <c r="EP29" s="204"/>
      <c r="EQ29" s="204"/>
      <c r="ER29" s="205"/>
      <c r="ES29" s="204"/>
      <c r="ET29" s="204"/>
      <c r="EU29" s="204"/>
      <c r="EV29" s="204"/>
      <c r="EW29" s="204"/>
      <c r="EX29" s="204"/>
      <c r="EY29" s="205"/>
      <c r="EZ29" s="204"/>
      <c r="FA29" s="204"/>
      <c r="FB29" s="204"/>
      <c r="FC29" s="204"/>
      <c r="FD29" s="204"/>
      <c r="FE29" s="204"/>
      <c r="FF29" s="204"/>
      <c r="FG29" s="203"/>
      <c r="FH29" s="204"/>
      <c r="FI29" s="204"/>
      <c r="FJ29" s="204"/>
      <c r="FK29" s="204"/>
      <c r="FL29" s="204"/>
      <c r="FM29" s="204"/>
      <c r="FN29" s="203"/>
      <c r="FO29" s="204"/>
      <c r="FP29" s="204"/>
      <c r="FQ29" s="204"/>
      <c r="FR29" s="204"/>
      <c r="FS29" s="204"/>
      <c r="FT29" s="205"/>
      <c r="FU29" s="203"/>
      <c r="FV29" s="204"/>
      <c r="FW29" s="204"/>
      <c r="FX29" s="204"/>
      <c r="FY29" s="204"/>
      <c r="FZ29" s="204"/>
      <c r="GA29" s="205"/>
      <c r="GB29" s="203"/>
      <c r="GC29" s="204"/>
      <c r="GD29" s="204"/>
      <c r="GE29" s="204"/>
      <c r="GF29" s="204"/>
      <c r="GG29" s="204"/>
      <c r="GH29" s="205"/>
      <c r="GI29" s="203"/>
      <c r="GJ29" s="204"/>
      <c r="GK29" s="204"/>
      <c r="GL29" s="204"/>
      <c r="GM29" s="204"/>
      <c r="GN29" s="204"/>
      <c r="GO29" s="205"/>
      <c r="GP29" s="203"/>
      <c r="GQ29" s="204"/>
      <c r="GR29" s="204"/>
      <c r="GS29" s="204"/>
      <c r="GT29" s="204"/>
      <c r="GU29" s="204"/>
      <c r="GV29" s="205"/>
      <c r="GW29" s="203"/>
      <c r="GX29" s="204"/>
      <c r="GY29" s="204"/>
      <c r="GZ29" s="204"/>
      <c r="HA29" s="204"/>
      <c r="HB29" s="204"/>
      <c r="HC29" s="205"/>
      <c r="HD29" s="203"/>
      <c r="HE29" s="204"/>
      <c r="HF29" s="204"/>
      <c r="HG29" s="204"/>
      <c r="HH29" s="204"/>
      <c r="HI29" s="204"/>
      <c r="HJ29" s="205"/>
      <c r="HK29" s="203"/>
      <c r="HL29" s="204"/>
      <c r="HM29" s="204"/>
      <c r="HN29" s="204"/>
      <c r="HO29" s="204"/>
      <c r="HP29" s="204"/>
      <c r="HQ29" s="204"/>
      <c r="HR29" s="197"/>
      <c r="HS29" s="206"/>
      <c r="HT29" s="204"/>
      <c r="HU29" s="204"/>
      <c r="HV29" s="204"/>
      <c r="HW29" s="204"/>
      <c r="HX29" s="204"/>
      <c r="HY29" s="198"/>
    </row>
    <row r="30" spans="1:233">
      <c r="A30" s="185" t="s">
        <v>657</v>
      </c>
      <c r="B30" s="197"/>
      <c r="C30" s="198"/>
      <c r="D30" s="198"/>
      <c r="E30" s="198"/>
      <c r="F30" s="198"/>
      <c r="G30" s="198"/>
      <c r="H30" s="199"/>
      <c r="I30" s="197"/>
      <c r="J30" s="198"/>
      <c r="K30" s="198"/>
      <c r="L30" s="198"/>
      <c r="M30" s="198"/>
      <c r="N30" s="198"/>
      <c r="O30" s="199"/>
      <c r="P30" s="198"/>
      <c r="Q30" s="198"/>
      <c r="R30" s="198"/>
      <c r="S30" s="198"/>
      <c r="T30" s="198"/>
      <c r="U30" s="198"/>
      <c r="V30" s="199"/>
      <c r="W30" s="198">
        <v>1201.78</v>
      </c>
      <c r="X30" s="198">
        <v>153.30500000000001</v>
      </c>
      <c r="Y30" s="198">
        <v>335.20700000000005</v>
      </c>
      <c r="Z30" s="198">
        <v>45.97</v>
      </c>
      <c r="AA30" s="198">
        <v>295.77600000000001</v>
      </c>
      <c r="AB30" s="198"/>
      <c r="AC30" s="199">
        <f t="shared" si="0"/>
        <v>371.52199999999976</v>
      </c>
      <c r="AD30" s="198"/>
      <c r="AE30" s="198">
        <v>23.251000000000001</v>
      </c>
      <c r="AF30" s="198">
        <v>80.153999999999996</v>
      </c>
      <c r="AG30" s="198">
        <v>51.201999999999998</v>
      </c>
      <c r="AH30" s="198">
        <v>30.934999999999999</v>
      </c>
      <c r="AI30" s="198"/>
      <c r="AJ30" s="198"/>
      <c r="AK30" s="197"/>
      <c r="AL30" s="198"/>
      <c r="AM30" s="198"/>
      <c r="AN30" s="198"/>
      <c r="AO30" s="198"/>
      <c r="AP30" s="198"/>
      <c r="AQ30" s="199"/>
      <c r="AR30" s="198">
        <v>0.73789775709377459</v>
      </c>
      <c r="AS30" s="198">
        <v>0.12037576766050682</v>
      </c>
      <c r="AT30" s="198">
        <v>2.8652562305752236E-2</v>
      </c>
      <c r="AU30" s="198">
        <v>0.26660893942445751</v>
      </c>
      <c r="AV30" s="198">
        <v>1.8141279192670563E-2</v>
      </c>
      <c r="AW30" s="198"/>
      <c r="AX30" s="198">
        <v>0.30411920851038743</v>
      </c>
      <c r="AY30" s="197"/>
      <c r="AZ30" s="198"/>
      <c r="BA30" s="198"/>
      <c r="BB30" s="198"/>
      <c r="BC30" s="198"/>
      <c r="BD30" s="198"/>
      <c r="BE30" s="198"/>
      <c r="BF30" s="197"/>
      <c r="BG30" s="198"/>
      <c r="BH30" s="198"/>
      <c r="BI30" s="198"/>
      <c r="BJ30" s="198"/>
      <c r="BK30" s="198"/>
      <c r="BL30" s="198"/>
      <c r="BM30" s="197"/>
      <c r="BN30" s="198"/>
      <c r="BO30" s="198"/>
      <c r="BP30" s="198"/>
      <c r="BQ30" s="198"/>
      <c r="BR30" s="198"/>
      <c r="BS30" s="198"/>
      <c r="BT30" s="197"/>
      <c r="BU30" s="198"/>
      <c r="BV30" s="198"/>
      <c r="BW30" s="198"/>
      <c r="BX30" s="198"/>
      <c r="BY30" s="198"/>
      <c r="BZ30" s="198"/>
      <c r="CA30" s="197"/>
      <c r="CB30" s="198"/>
      <c r="CC30" s="198"/>
      <c r="CD30" s="198"/>
      <c r="CE30" s="198"/>
      <c r="CF30" s="198"/>
      <c r="CG30" s="198"/>
      <c r="CH30" s="197"/>
      <c r="CI30" s="198"/>
      <c r="CJ30" s="198"/>
      <c r="CK30" s="198"/>
      <c r="CL30" s="198"/>
      <c r="CM30" s="198"/>
      <c r="CN30" s="198"/>
      <c r="CO30" s="197"/>
      <c r="CP30" s="198"/>
      <c r="CQ30" s="198"/>
      <c r="CR30" s="198"/>
      <c r="CS30" s="198"/>
      <c r="CT30" s="198"/>
      <c r="CU30" s="198"/>
      <c r="CV30" s="197"/>
      <c r="CW30" s="198"/>
      <c r="CX30" s="198"/>
      <c r="CY30" s="198"/>
      <c r="CZ30" s="198"/>
      <c r="DA30" s="198"/>
      <c r="DB30" s="198"/>
      <c r="DC30" s="197"/>
      <c r="DD30" s="198"/>
      <c r="DE30" s="198"/>
      <c r="DF30" s="198"/>
      <c r="DG30" s="198"/>
      <c r="DH30" s="198"/>
      <c r="DI30" s="198"/>
      <c r="DJ30" s="197"/>
      <c r="DK30" s="198"/>
      <c r="DL30" s="198"/>
      <c r="DM30" s="198"/>
      <c r="DN30" s="198"/>
      <c r="DO30" s="198"/>
      <c r="DP30" s="198"/>
      <c r="DQ30" s="197"/>
      <c r="DR30" s="198"/>
      <c r="DS30" s="198"/>
      <c r="DT30" s="198"/>
      <c r="DU30" s="198"/>
      <c r="DV30" s="198"/>
      <c r="DW30" s="198"/>
      <c r="DX30" s="197"/>
      <c r="DY30" s="198"/>
      <c r="DZ30" s="198"/>
      <c r="EA30" s="198"/>
      <c r="EB30" s="198"/>
      <c r="EC30" s="198"/>
      <c r="ED30" s="198"/>
      <c r="EE30" s="197"/>
      <c r="EF30" s="198"/>
      <c r="EG30" s="198"/>
      <c r="EH30" s="198"/>
      <c r="EI30" s="198"/>
      <c r="EJ30" s="198"/>
      <c r="EK30" s="199"/>
      <c r="EL30" s="198"/>
      <c r="EM30" s="198"/>
      <c r="EN30" s="198"/>
      <c r="EO30" s="198"/>
      <c r="EP30" s="198"/>
      <c r="EQ30" s="198"/>
      <c r="ER30" s="199"/>
      <c r="ES30" s="198"/>
      <c r="ET30" s="198"/>
      <c r="EU30" s="198"/>
      <c r="EV30" s="198"/>
      <c r="EW30" s="198"/>
      <c r="EX30" s="198"/>
      <c r="EY30" s="199"/>
      <c r="EZ30" s="198"/>
      <c r="FA30" s="198"/>
      <c r="FB30" s="198"/>
      <c r="FC30" s="198"/>
      <c r="FD30" s="198"/>
      <c r="FE30" s="198"/>
      <c r="FF30" s="198"/>
      <c r="FG30" s="197"/>
      <c r="FH30" s="198"/>
      <c r="FI30" s="198"/>
      <c r="FJ30" s="198"/>
      <c r="FK30" s="198"/>
      <c r="FL30" s="198"/>
      <c r="FM30" s="198"/>
      <c r="FN30" s="197"/>
      <c r="FO30" s="198"/>
      <c r="FP30" s="198"/>
      <c r="FQ30" s="198"/>
      <c r="FR30" s="198"/>
      <c r="FS30" s="198"/>
      <c r="FT30" s="199"/>
      <c r="FU30" s="197"/>
      <c r="FV30" s="198"/>
      <c r="FW30" s="198"/>
      <c r="FX30" s="198"/>
      <c r="FY30" s="198"/>
      <c r="FZ30" s="198"/>
      <c r="GA30" s="199"/>
      <c r="GB30" s="197"/>
      <c r="GC30" s="198"/>
      <c r="GD30" s="198"/>
      <c r="GE30" s="198"/>
      <c r="GF30" s="198"/>
      <c r="GG30" s="198"/>
      <c r="GH30" s="199"/>
      <c r="GI30" s="197"/>
      <c r="GJ30" s="198"/>
      <c r="GK30" s="198"/>
      <c r="GL30" s="198"/>
      <c r="GM30" s="198"/>
      <c r="GN30" s="198"/>
      <c r="GO30" s="199"/>
      <c r="GP30" s="197"/>
      <c r="GQ30" s="198"/>
      <c r="GR30" s="198"/>
      <c r="GS30" s="198"/>
      <c r="GT30" s="198"/>
      <c r="GU30" s="198"/>
      <c r="GV30" s="199"/>
      <c r="GW30" s="197"/>
      <c r="GX30" s="198"/>
      <c r="GY30" s="198"/>
      <c r="GZ30" s="198"/>
      <c r="HA30" s="198"/>
      <c r="HB30" s="198"/>
      <c r="HC30" s="199"/>
      <c r="HD30" s="197"/>
      <c r="HE30" s="198"/>
      <c r="HF30" s="198"/>
      <c r="HG30" s="198"/>
      <c r="HH30" s="198"/>
      <c r="HI30" s="198"/>
      <c r="HJ30" s="199"/>
      <c r="HK30" s="197"/>
      <c r="HL30" s="198"/>
      <c r="HM30" s="198"/>
      <c r="HN30" s="198"/>
      <c r="HO30" s="198"/>
      <c r="HP30" s="198"/>
      <c r="HQ30" s="198"/>
      <c r="HR30" s="197"/>
      <c r="HT30" s="201"/>
      <c r="HU30" s="201"/>
      <c r="HV30" s="201"/>
      <c r="HW30" s="201"/>
      <c r="HX30" s="198"/>
    </row>
    <row r="31" spans="1:233">
      <c r="A31" s="185" t="s">
        <v>490</v>
      </c>
      <c r="B31" s="197"/>
      <c r="C31" s="198"/>
      <c r="D31" s="198"/>
      <c r="E31" s="198"/>
      <c r="F31" s="198"/>
      <c r="G31" s="198"/>
      <c r="H31" s="199"/>
      <c r="I31" s="197"/>
      <c r="J31" s="198"/>
      <c r="K31" s="198"/>
      <c r="L31" s="198"/>
      <c r="M31" s="198"/>
      <c r="N31" s="198"/>
      <c r="O31" s="199"/>
      <c r="P31" s="198"/>
      <c r="Q31" s="198"/>
      <c r="R31" s="198"/>
      <c r="S31" s="198"/>
      <c r="T31" s="198"/>
      <c r="U31" s="198"/>
      <c r="V31" s="199"/>
      <c r="W31" s="198">
        <v>1194.0540000000001</v>
      </c>
      <c r="X31" s="198">
        <v>150.583</v>
      </c>
      <c r="Y31" s="198">
        <v>323.74299999999999</v>
      </c>
      <c r="Z31" s="198">
        <v>45.091999999999999</v>
      </c>
      <c r="AA31" s="198">
        <v>292.16800000000001</v>
      </c>
      <c r="AB31" s="198"/>
      <c r="AC31" s="199">
        <f t="shared" si="0"/>
        <v>382.46800000000007</v>
      </c>
      <c r="AD31" s="198"/>
      <c r="AE31" s="198">
        <v>22.766999999999999</v>
      </c>
      <c r="AF31" s="198">
        <v>82.14200000000001</v>
      </c>
      <c r="AG31" s="198">
        <v>52.507999999999996</v>
      </c>
      <c r="AH31" s="198">
        <v>30.85</v>
      </c>
      <c r="AI31" s="198"/>
      <c r="AJ31" s="198"/>
      <c r="AK31" s="197"/>
      <c r="AL31" s="198"/>
      <c r="AM31" s="198"/>
      <c r="AN31" s="198"/>
      <c r="AO31" s="198"/>
      <c r="AP31" s="198"/>
      <c r="AQ31" s="199"/>
      <c r="AR31" s="198">
        <v>1.2415493100168697</v>
      </c>
      <c r="AS31" s="198">
        <v>0.19855408176826012</v>
      </c>
      <c r="AT31" s="198">
        <v>4.6746164877020033E-2</v>
      </c>
      <c r="AU31" s="198">
        <v>0.45507422990402879</v>
      </c>
      <c r="AV31" s="198">
        <v>3.1428201037898902E-2</v>
      </c>
      <c r="AW31" s="198"/>
      <c r="AX31" s="198">
        <v>0.50974663242966201</v>
      </c>
      <c r="AY31" s="197"/>
      <c r="AZ31" s="198"/>
      <c r="BA31" s="198"/>
      <c r="BB31" s="198"/>
      <c r="BC31" s="198"/>
      <c r="BD31" s="198"/>
      <c r="BE31" s="198"/>
      <c r="BF31" s="197"/>
      <c r="BG31" s="198"/>
      <c r="BH31" s="198"/>
      <c r="BI31" s="198"/>
      <c r="BJ31" s="198"/>
      <c r="BK31" s="198"/>
      <c r="BL31" s="198"/>
      <c r="BM31" s="197"/>
      <c r="BN31" s="198"/>
      <c r="BO31" s="198"/>
      <c r="BP31" s="198"/>
      <c r="BQ31" s="198"/>
      <c r="BR31" s="198"/>
      <c r="BS31" s="198"/>
      <c r="BT31" s="197"/>
      <c r="BU31" s="198"/>
      <c r="BV31" s="198"/>
      <c r="BW31" s="198"/>
      <c r="BX31" s="198"/>
      <c r="BY31" s="198"/>
      <c r="BZ31" s="198"/>
      <c r="CA31" s="197"/>
      <c r="CB31" s="198"/>
      <c r="CC31" s="198"/>
      <c r="CD31" s="198"/>
      <c r="CE31" s="198"/>
      <c r="CF31" s="198"/>
      <c r="CG31" s="198"/>
      <c r="CH31" s="197"/>
      <c r="CI31" s="198"/>
      <c r="CJ31" s="198"/>
      <c r="CK31" s="198"/>
      <c r="CL31" s="198"/>
      <c r="CM31" s="198"/>
      <c r="CN31" s="198"/>
      <c r="CO31" s="197"/>
      <c r="CP31" s="198"/>
      <c r="CQ31" s="198"/>
      <c r="CR31" s="198"/>
      <c r="CS31" s="198"/>
      <c r="CT31" s="198"/>
      <c r="CU31" s="198"/>
      <c r="CV31" s="197"/>
      <c r="CW31" s="198"/>
      <c r="CX31" s="198"/>
      <c r="CY31" s="198"/>
      <c r="CZ31" s="198"/>
      <c r="DA31" s="198"/>
      <c r="DB31" s="198"/>
      <c r="DC31" s="197"/>
      <c r="DD31" s="198"/>
      <c r="DE31" s="198"/>
      <c r="DF31" s="198"/>
      <c r="DG31" s="198"/>
      <c r="DH31" s="198"/>
      <c r="DI31" s="198"/>
      <c r="DJ31" s="197"/>
      <c r="DK31" s="198"/>
      <c r="DL31" s="198"/>
      <c r="DM31" s="198"/>
      <c r="DN31" s="198"/>
      <c r="DO31" s="198"/>
      <c r="DP31" s="198"/>
      <c r="DQ31" s="197"/>
      <c r="DR31" s="198"/>
      <c r="DS31" s="198"/>
      <c r="DT31" s="198"/>
      <c r="DU31" s="198"/>
      <c r="DV31" s="198"/>
      <c r="DW31" s="198"/>
      <c r="DX31" s="197"/>
      <c r="DY31" s="198"/>
      <c r="DZ31" s="198"/>
      <c r="EA31" s="198"/>
      <c r="EB31" s="198"/>
      <c r="EC31" s="198"/>
      <c r="ED31" s="198"/>
      <c r="EE31" s="197"/>
      <c r="EF31" s="198"/>
      <c r="EG31" s="198"/>
      <c r="EH31" s="198"/>
      <c r="EI31" s="198"/>
      <c r="EJ31" s="198"/>
      <c r="EK31" s="199"/>
      <c r="EL31" s="198"/>
      <c r="EM31" s="198"/>
      <c r="EN31" s="198"/>
      <c r="EO31" s="198"/>
      <c r="EP31" s="198"/>
      <c r="EQ31" s="198"/>
      <c r="ER31" s="199"/>
      <c r="ES31" s="198"/>
      <c r="ET31" s="198"/>
      <c r="EU31" s="198"/>
      <c r="EV31" s="198"/>
      <c r="EW31" s="198"/>
      <c r="EX31" s="198"/>
      <c r="EY31" s="199"/>
      <c r="EZ31" s="198"/>
      <c r="FA31" s="198"/>
      <c r="FB31" s="198"/>
      <c r="FC31" s="198"/>
      <c r="FD31" s="198"/>
      <c r="FE31" s="198"/>
      <c r="FF31" s="198"/>
      <c r="FG31" s="197"/>
      <c r="FH31" s="198"/>
      <c r="FI31" s="198"/>
      <c r="FJ31" s="198"/>
      <c r="FK31" s="198"/>
      <c r="FL31" s="198"/>
      <c r="FM31" s="198"/>
      <c r="FN31" s="197"/>
      <c r="FO31" s="198"/>
      <c r="FP31" s="198"/>
      <c r="FQ31" s="198"/>
      <c r="FR31" s="198"/>
      <c r="FS31" s="198"/>
      <c r="FT31" s="199"/>
      <c r="FU31" s="197"/>
      <c r="FV31" s="198"/>
      <c r="FW31" s="198"/>
      <c r="FX31" s="198"/>
      <c r="FY31" s="198"/>
      <c r="FZ31" s="198"/>
      <c r="GA31" s="199"/>
      <c r="GB31" s="197"/>
      <c r="GC31" s="198"/>
      <c r="GD31" s="198"/>
      <c r="GE31" s="198"/>
      <c r="GF31" s="198"/>
      <c r="GG31" s="198"/>
      <c r="GH31" s="199"/>
      <c r="GI31" s="197"/>
      <c r="GJ31" s="198"/>
      <c r="GK31" s="198"/>
      <c r="GL31" s="198"/>
      <c r="GM31" s="198"/>
      <c r="GN31" s="198"/>
      <c r="GO31" s="199"/>
      <c r="GP31" s="197"/>
      <c r="GQ31" s="198"/>
      <c r="GR31" s="198"/>
      <c r="GS31" s="198"/>
      <c r="GT31" s="198"/>
      <c r="GU31" s="198"/>
      <c r="GV31" s="199"/>
      <c r="GW31" s="197"/>
      <c r="GX31" s="198"/>
      <c r="GY31" s="198"/>
      <c r="GZ31" s="198"/>
      <c r="HA31" s="198"/>
      <c r="HB31" s="198"/>
      <c r="HC31" s="199"/>
      <c r="HD31" s="197"/>
      <c r="HE31" s="198"/>
      <c r="HF31" s="198"/>
      <c r="HG31" s="198"/>
      <c r="HH31" s="198"/>
      <c r="HI31" s="198"/>
      <c r="HJ31" s="199"/>
      <c r="HK31" s="197"/>
      <c r="HL31" s="198"/>
      <c r="HM31" s="198"/>
      <c r="HN31" s="198"/>
      <c r="HO31" s="198"/>
      <c r="HP31" s="198"/>
      <c r="HQ31" s="198"/>
      <c r="HR31" s="197"/>
      <c r="HT31" s="198"/>
      <c r="HU31" s="198"/>
      <c r="HV31" s="198"/>
      <c r="HW31" s="198"/>
      <c r="HX31" s="198"/>
    </row>
    <row r="32" spans="1:233">
      <c r="A32" s="185" t="s">
        <v>491</v>
      </c>
      <c r="B32" s="197"/>
      <c r="C32" s="198"/>
      <c r="D32" s="198"/>
      <c r="E32" s="198"/>
      <c r="F32" s="198"/>
      <c r="G32" s="198"/>
      <c r="H32" s="199"/>
      <c r="I32" s="197"/>
      <c r="J32" s="198"/>
      <c r="K32" s="198"/>
      <c r="L32" s="198"/>
      <c r="M32" s="198"/>
      <c r="N32" s="198"/>
      <c r="O32" s="199"/>
      <c r="P32" s="198"/>
      <c r="Q32" s="198"/>
      <c r="R32" s="198"/>
      <c r="S32" s="198"/>
      <c r="T32" s="198"/>
      <c r="U32" s="198"/>
      <c r="V32" s="199"/>
      <c r="W32" s="198">
        <v>1200.221</v>
      </c>
      <c r="X32" s="198">
        <v>148.73699999999999</v>
      </c>
      <c r="Y32" s="198">
        <v>322.34700000000004</v>
      </c>
      <c r="Z32" s="198">
        <v>46.381999999999998</v>
      </c>
      <c r="AA32" s="198">
        <v>292.31599999999997</v>
      </c>
      <c r="AB32" s="198"/>
      <c r="AC32" s="199">
        <f t="shared" si="0"/>
        <v>390.43900000000002</v>
      </c>
      <c r="AD32" s="198">
        <f>[1]datos!$S164</f>
        <v>284.00200000000001</v>
      </c>
      <c r="AE32" s="198">
        <v>25.286999999999999</v>
      </c>
      <c r="AF32" s="198">
        <v>83.948999999999998</v>
      </c>
      <c r="AG32" s="198">
        <v>51.304000000000002</v>
      </c>
      <c r="AH32" s="198">
        <v>33.381</v>
      </c>
      <c r="AI32" s="198">
        <f>[1]datos!$U164</f>
        <v>34.857999999999997</v>
      </c>
      <c r="AJ32" s="198">
        <f>AD32-AE32-AF32-AG32-AH32-AI32</f>
        <v>55.22300000000002</v>
      </c>
      <c r="AK32" s="197"/>
      <c r="AL32" s="198"/>
      <c r="AM32" s="198"/>
      <c r="AN32" s="198"/>
      <c r="AO32" s="198"/>
      <c r="AP32" s="198"/>
      <c r="AQ32" s="199"/>
      <c r="AR32" s="198">
        <v>1.8087792712207877</v>
      </c>
      <c r="AS32" s="198">
        <v>0.29666268669599472</v>
      </c>
      <c r="AT32" s="198">
        <v>6.8512294417047287E-2</v>
      </c>
      <c r="AU32" s="198">
        <v>0.57510350593807147</v>
      </c>
      <c r="AV32" s="198">
        <v>4.9661348511196704E-2</v>
      </c>
      <c r="AW32" s="198"/>
      <c r="AX32" s="198">
        <v>0.8188394356584775</v>
      </c>
      <c r="AY32" s="197"/>
      <c r="AZ32" s="198"/>
      <c r="BA32" s="198"/>
      <c r="BB32" s="198"/>
      <c r="BC32" s="198"/>
      <c r="BD32" s="198"/>
      <c r="BE32" s="198"/>
      <c r="BF32" s="197"/>
      <c r="BG32" s="198"/>
      <c r="BH32" s="198"/>
      <c r="BI32" s="198"/>
      <c r="BJ32" s="198"/>
      <c r="BK32" s="198"/>
      <c r="BL32" s="198"/>
      <c r="BM32" s="197"/>
      <c r="BN32" s="198"/>
      <c r="BO32" s="198"/>
      <c r="BP32" s="198"/>
      <c r="BQ32" s="198"/>
      <c r="BR32" s="198"/>
      <c r="BS32" s="198"/>
      <c r="BT32" s="197"/>
      <c r="BU32" s="198"/>
      <c r="BV32" s="198"/>
      <c r="BW32" s="198"/>
      <c r="BX32" s="198"/>
      <c r="BY32" s="198"/>
      <c r="BZ32" s="198"/>
      <c r="CA32" s="197"/>
      <c r="CB32" s="198"/>
      <c r="CC32" s="198"/>
      <c r="CD32" s="198"/>
      <c r="CE32" s="198"/>
      <c r="CF32" s="198"/>
      <c r="CG32" s="198"/>
      <c r="CH32" s="197"/>
      <c r="CI32" s="198"/>
      <c r="CJ32" s="198"/>
      <c r="CK32" s="198"/>
      <c r="CL32" s="198"/>
      <c r="CM32" s="198"/>
      <c r="CN32" s="198"/>
      <c r="CO32" s="197"/>
      <c r="CP32" s="198"/>
      <c r="CQ32" s="198"/>
      <c r="CR32" s="198"/>
      <c r="CS32" s="198"/>
      <c r="CT32" s="198"/>
      <c r="CU32" s="198"/>
      <c r="CV32" s="197"/>
      <c r="CW32" s="198"/>
      <c r="CX32" s="198"/>
      <c r="CY32" s="198"/>
      <c r="CZ32" s="198"/>
      <c r="DA32" s="198"/>
      <c r="DB32" s="198"/>
      <c r="DC32" s="197"/>
      <c r="DD32" s="198"/>
      <c r="DE32" s="198"/>
      <c r="DF32" s="198"/>
      <c r="DG32" s="198"/>
      <c r="DH32" s="198"/>
      <c r="DI32" s="198"/>
      <c r="DJ32" s="197"/>
      <c r="DK32" s="198"/>
      <c r="DL32" s="198"/>
      <c r="DM32" s="198"/>
      <c r="DN32" s="198"/>
      <c r="DO32" s="198"/>
      <c r="DP32" s="198"/>
      <c r="DQ32" s="197"/>
      <c r="DR32" s="198"/>
      <c r="DS32" s="198"/>
      <c r="DT32" s="198"/>
      <c r="DU32" s="198"/>
      <c r="DV32" s="198"/>
      <c r="DW32" s="198"/>
      <c r="DX32" s="197"/>
      <c r="DY32" s="198"/>
      <c r="DZ32" s="198"/>
      <c r="EA32" s="198"/>
      <c r="EB32" s="198"/>
      <c r="EC32" s="198"/>
      <c r="ED32" s="198"/>
      <c r="EE32" s="197"/>
      <c r="EF32" s="198"/>
      <c r="EG32" s="198"/>
      <c r="EH32" s="198"/>
      <c r="EI32" s="198"/>
      <c r="EJ32" s="198"/>
      <c r="EK32" s="199"/>
      <c r="EL32" s="198"/>
      <c r="EM32" s="198"/>
      <c r="EN32" s="198"/>
      <c r="EO32" s="198"/>
      <c r="EP32" s="198"/>
      <c r="EQ32" s="198"/>
      <c r="ER32" s="199"/>
      <c r="ES32" s="198"/>
      <c r="ET32" s="198"/>
      <c r="EU32" s="198"/>
      <c r="EV32" s="198"/>
      <c r="EW32" s="198"/>
      <c r="EX32" s="198"/>
      <c r="EY32" s="199"/>
      <c r="EZ32" s="198"/>
      <c r="FA32" s="198"/>
      <c r="FB32" s="198"/>
      <c r="FC32" s="198"/>
      <c r="FD32" s="198"/>
      <c r="FE32" s="198"/>
      <c r="FF32" s="198"/>
      <c r="FG32" s="197"/>
      <c r="FH32" s="198"/>
      <c r="FI32" s="198"/>
      <c r="FJ32" s="198"/>
      <c r="FK32" s="198"/>
      <c r="FL32" s="198"/>
      <c r="FM32" s="198"/>
      <c r="FN32" s="197"/>
      <c r="FO32" s="198"/>
      <c r="FP32" s="198"/>
      <c r="FQ32" s="198"/>
      <c r="FR32" s="198"/>
      <c r="FS32" s="198"/>
      <c r="FT32" s="199"/>
      <c r="FU32" s="197"/>
      <c r="FV32" s="198"/>
      <c r="FW32" s="198"/>
      <c r="FX32" s="198"/>
      <c r="FY32" s="198"/>
      <c r="FZ32" s="198"/>
      <c r="GA32" s="199"/>
      <c r="GB32" s="197"/>
      <c r="GC32" s="198"/>
      <c r="GD32" s="198"/>
      <c r="GE32" s="198"/>
      <c r="GF32" s="198"/>
      <c r="GG32" s="198"/>
      <c r="GH32" s="199"/>
      <c r="GI32" s="197"/>
      <c r="GJ32" s="198"/>
      <c r="GK32" s="198"/>
      <c r="GL32" s="198"/>
      <c r="GM32" s="198"/>
      <c r="GN32" s="198"/>
      <c r="GO32" s="199"/>
      <c r="GP32" s="197"/>
      <c r="GQ32" s="198"/>
      <c r="GR32" s="198"/>
      <c r="GS32" s="198"/>
      <c r="GT32" s="198"/>
      <c r="GU32" s="198"/>
      <c r="GV32" s="199"/>
      <c r="GW32" s="197"/>
      <c r="GX32" s="198"/>
      <c r="GY32" s="198"/>
      <c r="GZ32" s="198"/>
      <c r="HA32" s="198"/>
      <c r="HB32" s="198"/>
      <c r="HC32" s="199"/>
      <c r="HD32" s="197"/>
      <c r="HE32" s="198"/>
      <c r="HF32" s="198"/>
      <c r="HG32" s="198"/>
      <c r="HH32" s="198"/>
      <c r="HI32" s="198"/>
      <c r="HJ32" s="199"/>
      <c r="HK32" s="197"/>
      <c r="HL32" s="198"/>
      <c r="HM32" s="198"/>
      <c r="HN32" s="198"/>
      <c r="HO32" s="198"/>
      <c r="HP32" s="198"/>
      <c r="HQ32" s="198"/>
      <c r="HR32" s="197"/>
      <c r="HT32" s="198"/>
      <c r="HU32" s="198"/>
      <c r="HV32" s="198"/>
      <c r="HW32" s="198"/>
      <c r="HX32" s="198"/>
    </row>
    <row r="33" spans="1:233">
      <c r="A33" s="185" t="s">
        <v>492</v>
      </c>
      <c r="B33" s="197"/>
      <c r="C33" s="198"/>
      <c r="D33" s="198"/>
      <c r="E33" s="198"/>
      <c r="F33" s="198"/>
      <c r="G33" s="198"/>
      <c r="H33" s="199"/>
      <c r="I33" s="197"/>
      <c r="J33" s="198"/>
      <c r="K33" s="198"/>
      <c r="L33" s="198"/>
      <c r="M33" s="198"/>
      <c r="N33" s="198"/>
      <c r="O33" s="199"/>
      <c r="P33" s="198"/>
      <c r="Q33" s="198"/>
      <c r="R33" s="198"/>
      <c r="S33" s="198"/>
      <c r="T33" s="198"/>
      <c r="U33" s="198"/>
      <c r="V33" s="199"/>
      <c r="W33" s="198">
        <v>1210.4870000000001</v>
      </c>
      <c r="X33" s="198">
        <v>143.673</v>
      </c>
      <c r="Y33" s="198">
        <v>324.51800000000003</v>
      </c>
      <c r="Z33" s="198">
        <v>45.97</v>
      </c>
      <c r="AA33" s="198">
        <v>290.78199999999998</v>
      </c>
      <c r="AB33" s="198"/>
      <c r="AC33" s="199">
        <f t="shared" si="0"/>
        <v>405.54400000000004</v>
      </c>
      <c r="AD33" s="198"/>
      <c r="AE33" s="198">
        <v>18.62</v>
      </c>
      <c r="AF33" s="198">
        <v>85.234000000000009</v>
      </c>
      <c r="AG33" s="198">
        <v>54.769999999999996</v>
      </c>
      <c r="AH33" s="198">
        <v>32.095999999999997</v>
      </c>
      <c r="AI33" s="198"/>
      <c r="AJ33" s="198"/>
      <c r="AK33" s="197"/>
      <c r="AL33" s="198"/>
      <c r="AM33" s="198"/>
      <c r="AN33" s="198"/>
      <c r="AO33" s="198"/>
      <c r="AP33" s="198"/>
      <c r="AQ33" s="199"/>
      <c r="AR33" s="198">
        <v>2.190776979641742</v>
      </c>
      <c r="AS33" s="198">
        <v>0.39339660561579803</v>
      </c>
      <c r="AT33" s="198">
        <v>8.4415592837426029E-2</v>
      </c>
      <c r="AU33" s="198">
        <v>0.65684902436613524</v>
      </c>
      <c r="AV33" s="198">
        <v>5.2924511436125837E-2</v>
      </c>
      <c r="AW33" s="198"/>
      <c r="AX33" s="198">
        <v>1.0031912453862568</v>
      </c>
      <c r="AY33" s="197"/>
      <c r="AZ33" s="198"/>
      <c r="BA33" s="198"/>
      <c r="BB33" s="198"/>
      <c r="BC33" s="198"/>
      <c r="BD33" s="198"/>
      <c r="BE33" s="198"/>
      <c r="BF33" s="197"/>
      <c r="BG33" s="198"/>
      <c r="BH33" s="198"/>
      <c r="BI33" s="198"/>
      <c r="BJ33" s="198"/>
      <c r="BK33" s="198"/>
      <c r="BL33" s="198"/>
      <c r="BM33" s="197"/>
      <c r="BN33" s="198"/>
      <c r="BO33" s="198"/>
      <c r="BP33" s="198"/>
      <c r="BQ33" s="198"/>
      <c r="BR33" s="198"/>
      <c r="BS33" s="198"/>
      <c r="BT33" s="197"/>
      <c r="BU33" s="198"/>
      <c r="BV33" s="198"/>
      <c r="BW33" s="198"/>
      <c r="BX33" s="198"/>
      <c r="BY33" s="198"/>
      <c r="BZ33" s="198"/>
      <c r="CA33" s="197"/>
      <c r="CB33" s="198"/>
      <c r="CC33" s="198"/>
      <c r="CD33" s="198"/>
      <c r="CE33" s="198"/>
      <c r="CF33" s="198"/>
      <c r="CG33" s="198"/>
      <c r="CH33" s="197"/>
      <c r="CI33" s="198"/>
      <c r="CJ33" s="198"/>
      <c r="CK33" s="198"/>
      <c r="CL33" s="198"/>
      <c r="CM33" s="198"/>
      <c r="CN33" s="198"/>
      <c r="CO33" s="197"/>
      <c r="CP33" s="198"/>
      <c r="CQ33" s="198"/>
      <c r="CR33" s="198"/>
      <c r="CS33" s="198"/>
      <c r="CT33" s="198"/>
      <c r="CU33" s="198"/>
      <c r="CV33" s="197"/>
      <c r="CW33" s="198"/>
      <c r="CX33" s="198"/>
      <c r="CY33" s="198"/>
      <c r="CZ33" s="198"/>
      <c r="DA33" s="198"/>
      <c r="DB33" s="198"/>
      <c r="DC33" s="197"/>
      <c r="DD33" s="198"/>
      <c r="DE33" s="198"/>
      <c r="DF33" s="198"/>
      <c r="DG33" s="198"/>
      <c r="DH33" s="198"/>
      <c r="DI33" s="198"/>
      <c r="DJ33" s="197"/>
      <c r="DK33" s="198"/>
      <c r="DL33" s="198"/>
      <c r="DM33" s="198"/>
      <c r="DN33" s="198"/>
      <c r="DO33" s="198"/>
      <c r="DP33" s="198"/>
      <c r="DQ33" s="197"/>
      <c r="DR33" s="198"/>
      <c r="DS33" s="198"/>
      <c r="DT33" s="198"/>
      <c r="DU33" s="198"/>
      <c r="DV33" s="198"/>
      <c r="DW33" s="198"/>
      <c r="DX33" s="197"/>
      <c r="DY33" s="198"/>
      <c r="DZ33" s="198"/>
      <c r="EA33" s="198"/>
      <c r="EB33" s="198"/>
      <c r="EC33" s="198"/>
      <c r="ED33" s="198"/>
      <c r="EE33" s="197"/>
      <c r="EF33" s="198"/>
      <c r="EG33" s="198"/>
      <c r="EH33" s="198"/>
      <c r="EI33" s="198"/>
      <c r="EJ33" s="198"/>
      <c r="EK33" s="199"/>
      <c r="EL33" s="198"/>
      <c r="EM33" s="198"/>
      <c r="EN33" s="198"/>
      <c r="EO33" s="198"/>
      <c r="EP33" s="198"/>
      <c r="EQ33" s="198"/>
      <c r="ER33" s="199"/>
      <c r="ES33" s="198"/>
      <c r="ET33" s="198"/>
      <c r="EU33" s="198"/>
      <c r="EV33" s="198"/>
      <c r="EW33" s="198"/>
      <c r="EX33" s="198"/>
      <c r="EY33" s="199"/>
      <c r="EZ33" s="198"/>
      <c r="FA33" s="198"/>
      <c r="FB33" s="198"/>
      <c r="FC33" s="198"/>
      <c r="FD33" s="198"/>
      <c r="FE33" s="198"/>
      <c r="FF33" s="198"/>
      <c r="FG33" s="197"/>
      <c r="FH33" s="198"/>
      <c r="FI33" s="198"/>
      <c r="FJ33" s="198"/>
      <c r="FK33" s="198"/>
      <c r="FL33" s="198"/>
      <c r="FM33" s="198"/>
      <c r="FN33" s="197"/>
      <c r="FO33" s="198"/>
      <c r="FP33" s="198"/>
      <c r="FQ33" s="198"/>
      <c r="FR33" s="198"/>
      <c r="FS33" s="198"/>
      <c r="FT33" s="199"/>
      <c r="FU33" s="197"/>
      <c r="FV33" s="198"/>
      <c r="FW33" s="198"/>
      <c r="FX33" s="198"/>
      <c r="FY33" s="198"/>
      <c r="FZ33" s="198"/>
      <c r="GA33" s="199"/>
      <c r="GB33" s="197"/>
      <c r="GC33" s="198"/>
      <c r="GD33" s="198"/>
      <c r="GE33" s="198"/>
      <c r="GF33" s="198"/>
      <c r="GG33" s="198"/>
      <c r="GH33" s="199"/>
      <c r="GI33" s="197"/>
      <c r="GJ33" s="198"/>
      <c r="GK33" s="198"/>
      <c r="GL33" s="198"/>
      <c r="GM33" s="198"/>
      <c r="GN33" s="198"/>
      <c r="GO33" s="199"/>
      <c r="GP33" s="197"/>
      <c r="GQ33" s="198"/>
      <c r="GR33" s="198"/>
      <c r="GS33" s="198"/>
      <c r="GT33" s="198"/>
      <c r="GU33" s="198"/>
      <c r="GV33" s="199"/>
      <c r="GW33" s="197"/>
      <c r="GX33" s="198"/>
      <c r="GY33" s="198"/>
      <c r="GZ33" s="198"/>
      <c r="HA33" s="198"/>
      <c r="HB33" s="198"/>
      <c r="HC33" s="199"/>
      <c r="HD33" s="197"/>
      <c r="HE33" s="198"/>
      <c r="HF33" s="198"/>
      <c r="HG33" s="198"/>
      <c r="HH33" s="198"/>
      <c r="HI33" s="198"/>
      <c r="HJ33" s="199"/>
      <c r="HK33" s="197"/>
      <c r="HL33" s="198"/>
      <c r="HM33" s="198"/>
      <c r="HN33" s="198"/>
      <c r="HO33" s="198"/>
      <c r="HP33" s="198"/>
      <c r="HQ33" s="198"/>
      <c r="HR33" s="197"/>
      <c r="HT33" s="198"/>
      <c r="HU33" s="198"/>
      <c r="HV33" s="198"/>
      <c r="HW33" s="198"/>
      <c r="HX33" s="198"/>
    </row>
    <row r="34" spans="1:233">
      <c r="A34" s="185" t="s">
        <v>493</v>
      </c>
      <c r="B34" s="197"/>
      <c r="C34" s="198"/>
      <c r="D34" s="198"/>
      <c r="E34" s="198"/>
      <c r="F34" s="198"/>
      <c r="G34" s="198"/>
      <c r="H34" s="199"/>
      <c r="I34" s="197"/>
      <c r="J34" s="198"/>
      <c r="K34" s="198"/>
      <c r="L34" s="198"/>
      <c r="M34" s="198"/>
      <c r="N34" s="198"/>
      <c r="O34" s="199"/>
      <c r="P34" s="198"/>
      <c r="Q34" s="198"/>
      <c r="R34" s="198"/>
      <c r="S34" s="198"/>
      <c r="T34" s="198"/>
      <c r="U34" s="198"/>
      <c r="V34" s="199"/>
      <c r="W34" s="198">
        <v>1184.991</v>
      </c>
      <c r="X34" s="198">
        <v>151.61099999999999</v>
      </c>
      <c r="Y34" s="198">
        <v>321.88599999999997</v>
      </c>
      <c r="Z34" s="198">
        <v>40.332000000000001</v>
      </c>
      <c r="AA34" s="198">
        <v>287.72399999999999</v>
      </c>
      <c r="AB34" s="198"/>
      <c r="AC34" s="199">
        <f t="shared" si="0"/>
        <v>383.43800000000016</v>
      </c>
      <c r="AD34" s="198"/>
      <c r="AE34" s="198">
        <v>14.696999999999999</v>
      </c>
      <c r="AF34" s="198">
        <v>77.319000000000003</v>
      </c>
      <c r="AG34" s="198">
        <v>59.628</v>
      </c>
      <c r="AH34" s="198">
        <v>34.241999999999997</v>
      </c>
      <c r="AI34" s="198"/>
      <c r="AJ34" s="198"/>
      <c r="AK34" s="197"/>
      <c r="AL34" s="198"/>
      <c r="AM34" s="198"/>
      <c r="AN34" s="198"/>
      <c r="AO34" s="198"/>
      <c r="AP34" s="198"/>
      <c r="AQ34" s="199"/>
      <c r="AR34" s="198">
        <v>2.3339558461492071</v>
      </c>
      <c r="AS34" s="198">
        <v>0.43529676911315424</v>
      </c>
      <c r="AT34" s="198">
        <v>9.5783856847913018E-2</v>
      </c>
      <c r="AU34" s="198">
        <v>0.70555531489433898</v>
      </c>
      <c r="AV34" s="198">
        <v>6.1912152034890804E-2</v>
      </c>
      <c r="AW34" s="198"/>
      <c r="AX34" s="198">
        <v>1.0354077532589101</v>
      </c>
      <c r="AY34" s="197"/>
      <c r="AZ34" s="198"/>
      <c r="BA34" s="198"/>
      <c r="BB34" s="198"/>
      <c r="BC34" s="198"/>
      <c r="BD34" s="198"/>
      <c r="BE34" s="198"/>
      <c r="BF34" s="197"/>
      <c r="BG34" s="198"/>
      <c r="BH34" s="198"/>
      <c r="BI34" s="198"/>
      <c r="BJ34" s="198"/>
      <c r="BK34" s="198"/>
      <c r="BL34" s="198"/>
      <c r="BM34" s="197"/>
      <c r="BN34" s="198"/>
      <c r="BO34" s="198"/>
      <c r="BP34" s="198"/>
      <c r="BQ34" s="198"/>
      <c r="BR34" s="198"/>
      <c r="BS34" s="198"/>
      <c r="BT34" s="197"/>
      <c r="BU34" s="198"/>
      <c r="BV34" s="198"/>
      <c r="BW34" s="198"/>
      <c r="BX34" s="198"/>
      <c r="BY34" s="198"/>
      <c r="BZ34" s="198"/>
      <c r="CA34" s="197"/>
      <c r="CB34" s="198"/>
      <c r="CC34" s="198"/>
      <c r="CD34" s="198"/>
      <c r="CE34" s="198"/>
      <c r="CF34" s="198"/>
      <c r="CG34" s="198"/>
      <c r="CH34" s="197"/>
      <c r="CI34" s="198"/>
      <c r="CJ34" s="198"/>
      <c r="CK34" s="198"/>
      <c r="CL34" s="198"/>
      <c r="CM34" s="198"/>
      <c r="CN34" s="198"/>
      <c r="CO34" s="197"/>
      <c r="CP34" s="198"/>
      <c r="CQ34" s="198"/>
      <c r="CR34" s="198"/>
      <c r="CS34" s="198"/>
      <c r="CT34" s="198"/>
      <c r="CU34" s="198"/>
      <c r="CV34" s="197"/>
      <c r="CW34" s="198"/>
      <c r="CX34" s="198"/>
      <c r="CY34" s="198"/>
      <c r="CZ34" s="198"/>
      <c r="DA34" s="198"/>
      <c r="DB34" s="198"/>
      <c r="DC34" s="197"/>
      <c r="DD34" s="198"/>
      <c r="DE34" s="198"/>
      <c r="DF34" s="198"/>
      <c r="DG34" s="198"/>
      <c r="DH34" s="198"/>
      <c r="DI34" s="198"/>
      <c r="DJ34" s="197"/>
      <c r="DK34" s="198"/>
      <c r="DL34" s="198"/>
      <c r="DM34" s="198"/>
      <c r="DN34" s="198"/>
      <c r="DO34" s="198"/>
      <c r="DP34" s="198"/>
      <c r="DQ34" s="197"/>
      <c r="DR34" s="198"/>
      <c r="DS34" s="198"/>
      <c r="DT34" s="198"/>
      <c r="DU34" s="198"/>
      <c r="DV34" s="198"/>
      <c r="DW34" s="198"/>
      <c r="DX34" s="197"/>
      <c r="DY34" s="198"/>
      <c r="DZ34" s="198"/>
      <c r="EA34" s="198"/>
      <c r="EB34" s="198"/>
      <c r="EC34" s="198"/>
      <c r="ED34" s="198"/>
      <c r="EE34" s="197"/>
      <c r="EF34" s="198"/>
      <c r="EG34" s="198"/>
      <c r="EH34" s="198"/>
      <c r="EI34" s="198"/>
      <c r="EJ34" s="198"/>
      <c r="EK34" s="199"/>
      <c r="EL34" s="198"/>
      <c r="EM34" s="198"/>
      <c r="EN34" s="198"/>
      <c r="EO34" s="198"/>
      <c r="EP34" s="198"/>
      <c r="EQ34" s="198"/>
      <c r="ER34" s="199"/>
      <c r="ES34" s="198"/>
      <c r="ET34" s="198"/>
      <c r="EU34" s="198"/>
      <c r="EV34" s="198"/>
      <c r="EW34" s="198"/>
      <c r="EX34" s="198"/>
      <c r="EY34" s="199"/>
      <c r="EZ34" s="198"/>
      <c r="FA34" s="198"/>
      <c r="FB34" s="198"/>
      <c r="FC34" s="198"/>
      <c r="FD34" s="198"/>
      <c r="FE34" s="198"/>
      <c r="FF34" s="198"/>
      <c r="FG34" s="197"/>
      <c r="FH34" s="198"/>
      <c r="FI34" s="198"/>
      <c r="FJ34" s="198"/>
      <c r="FK34" s="198"/>
      <c r="FL34" s="198"/>
      <c r="FM34" s="198"/>
      <c r="FN34" s="197"/>
      <c r="FO34" s="198"/>
      <c r="FP34" s="198"/>
      <c r="FQ34" s="198"/>
      <c r="FR34" s="198"/>
      <c r="FS34" s="198"/>
      <c r="FT34" s="199"/>
      <c r="FU34" s="197"/>
      <c r="FV34" s="198"/>
      <c r="FW34" s="198"/>
      <c r="FX34" s="198"/>
      <c r="FY34" s="198"/>
      <c r="FZ34" s="198"/>
      <c r="GA34" s="199"/>
      <c r="GB34" s="197"/>
      <c r="GC34" s="198"/>
      <c r="GD34" s="198"/>
      <c r="GE34" s="198"/>
      <c r="GF34" s="198"/>
      <c r="GG34" s="198"/>
      <c r="GH34" s="199"/>
      <c r="GI34" s="197"/>
      <c r="GJ34" s="198"/>
      <c r="GK34" s="198"/>
      <c r="GL34" s="198"/>
      <c r="GM34" s="198"/>
      <c r="GN34" s="198"/>
      <c r="GO34" s="199"/>
      <c r="GP34" s="197"/>
      <c r="GQ34" s="198"/>
      <c r="GR34" s="198"/>
      <c r="GS34" s="198"/>
      <c r="GT34" s="198"/>
      <c r="GU34" s="198"/>
      <c r="GV34" s="199"/>
      <c r="GW34" s="197"/>
      <c r="GX34" s="198"/>
      <c r="GY34" s="198"/>
      <c r="GZ34" s="198"/>
      <c r="HA34" s="198"/>
      <c r="HB34" s="198"/>
      <c r="HC34" s="199"/>
      <c r="HD34" s="197"/>
      <c r="HE34" s="198"/>
      <c r="HF34" s="198"/>
      <c r="HG34" s="198"/>
      <c r="HH34" s="198"/>
      <c r="HI34" s="198"/>
      <c r="HJ34" s="199"/>
      <c r="HK34" s="197"/>
      <c r="HL34" s="198"/>
      <c r="HM34" s="198"/>
      <c r="HN34" s="198"/>
      <c r="HO34" s="198"/>
      <c r="HP34" s="198"/>
      <c r="HQ34" s="198"/>
      <c r="HR34" s="197"/>
      <c r="HT34" s="198"/>
      <c r="HU34" s="198"/>
      <c r="HV34" s="198"/>
      <c r="HW34" s="198"/>
      <c r="HX34" s="198"/>
    </row>
    <row r="35" spans="1:233">
      <c r="A35" s="185" t="s">
        <v>494</v>
      </c>
      <c r="B35" s="197"/>
      <c r="C35" s="198"/>
      <c r="D35" s="198"/>
      <c r="E35" s="198"/>
      <c r="F35" s="198"/>
      <c r="G35" s="198"/>
      <c r="H35" s="199"/>
      <c r="I35" s="197"/>
      <c r="J35" s="198"/>
      <c r="K35" s="198"/>
      <c r="L35" s="198"/>
      <c r="M35" s="198"/>
      <c r="N35" s="198"/>
      <c r="O35" s="199"/>
      <c r="P35" s="198"/>
      <c r="Q35" s="198"/>
      <c r="R35" s="198"/>
      <c r="S35" s="198"/>
      <c r="T35" s="198"/>
      <c r="U35" s="198"/>
      <c r="V35" s="199"/>
      <c r="W35" s="198">
        <v>1192.4269999999999</v>
      </c>
      <c r="X35" s="198">
        <v>153.774</v>
      </c>
      <c r="Y35" s="198">
        <v>322.84100000000007</v>
      </c>
      <c r="Z35" s="198">
        <v>40.351999999999997</v>
      </c>
      <c r="AA35" s="198">
        <v>287.38900000000001</v>
      </c>
      <c r="AB35" s="198"/>
      <c r="AC35" s="199">
        <f t="shared" si="0"/>
        <v>388.07099999999969</v>
      </c>
      <c r="AD35" s="198">
        <f>[1]datos!$S167</f>
        <v>283.702</v>
      </c>
      <c r="AE35" s="198">
        <v>18.709</v>
      </c>
      <c r="AF35" s="198">
        <v>80.163000000000011</v>
      </c>
      <c r="AG35" s="198">
        <v>58.52</v>
      </c>
      <c r="AH35" s="198">
        <v>34.902000000000001</v>
      </c>
      <c r="AI35" s="198">
        <f>[1]datos!$U167</f>
        <v>34.328000000000003</v>
      </c>
      <c r="AJ35" s="198">
        <f>AD35-AE35-AF35-AG35-AH35-AI35</f>
        <v>57.07999999999997</v>
      </c>
      <c r="AK35" s="197"/>
      <c r="AL35" s="198"/>
      <c r="AM35" s="198"/>
      <c r="AN35" s="198"/>
      <c r="AO35" s="198"/>
      <c r="AP35" s="198"/>
      <c r="AQ35" s="199"/>
      <c r="AR35" s="198">
        <v>2.5794763946276706</v>
      </c>
      <c r="AS35" s="198">
        <v>0.47895304637133435</v>
      </c>
      <c r="AT35" s="198">
        <v>0.11811190736639191</v>
      </c>
      <c r="AU35" s="198">
        <v>0.77868980669564369</v>
      </c>
      <c r="AV35" s="198">
        <v>6.0380362438102464E-2</v>
      </c>
      <c r="AW35" s="198"/>
      <c r="AX35" s="198">
        <v>1.1433412717561984</v>
      </c>
      <c r="AY35" s="197"/>
      <c r="AZ35" s="198"/>
      <c r="BA35" s="198"/>
      <c r="BB35" s="198"/>
      <c r="BC35" s="198"/>
      <c r="BD35" s="198"/>
      <c r="BE35" s="198"/>
      <c r="BF35" s="197"/>
      <c r="BG35" s="198"/>
      <c r="BH35" s="198"/>
      <c r="BI35" s="198"/>
      <c r="BJ35" s="198"/>
      <c r="BK35" s="198"/>
      <c r="BL35" s="198"/>
      <c r="BM35" s="197"/>
      <c r="BN35" s="198"/>
      <c r="BO35" s="198"/>
      <c r="BP35" s="198"/>
      <c r="BQ35" s="198"/>
      <c r="BR35" s="198"/>
      <c r="BS35" s="198"/>
      <c r="BT35" s="197"/>
      <c r="BU35" s="198"/>
      <c r="BV35" s="198"/>
      <c r="BW35" s="198"/>
      <c r="BX35" s="198"/>
      <c r="BY35" s="198"/>
      <c r="BZ35" s="198"/>
      <c r="CA35" s="197"/>
      <c r="CB35" s="198"/>
      <c r="CC35" s="198"/>
      <c r="CD35" s="198"/>
      <c r="CE35" s="198"/>
      <c r="CF35" s="198"/>
      <c r="CG35" s="198"/>
      <c r="CH35" s="197"/>
      <c r="CI35" s="198"/>
      <c r="CJ35" s="198"/>
      <c r="CK35" s="198"/>
      <c r="CL35" s="198"/>
      <c r="CM35" s="198"/>
      <c r="CN35" s="198"/>
      <c r="CO35" s="197"/>
      <c r="CP35" s="198"/>
      <c r="CQ35" s="198"/>
      <c r="CR35" s="198"/>
      <c r="CS35" s="198"/>
      <c r="CT35" s="198"/>
      <c r="CU35" s="198"/>
      <c r="CV35" s="197"/>
      <c r="CW35" s="198"/>
      <c r="CX35" s="198"/>
      <c r="CY35" s="198"/>
      <c r="CZ35" s="198"/>
      <c r="DA35" s="198"/>
      <c r="DB35" s="198"/>
      <c r="DC35" s="197"/>
      <c r="DD35" s="198"/>
      <c r="DE35" s="198"/>
      <c r="DF35" s="198"/>
      <c r="DG35" s="198"/>
      <c r="DH35" s="198"/>
      <c r="DI35" s="198"/>
      <c r="DJ35" s="197"/>
      <c r="DK35" s="198"/>
      <c r="DL35" s="198"/>
      <c r="DM35" s="198"/>
      <c r="DN35" s="198"/>
      <c r="DO35" s="198"/>
      <c r="DP35" s="198"/>
      <c r="DQ35" s="197"/>
      <c r="DR35" s="198"/>
      <c r="DS35" s="198"/>
      <c r="DT35" s="198"/>
      <c r="DU35" s="198"/>
      <c r="DV35" s="198"/>
      <c r="DW35" s="198"/>
      <c r="DX35" s="197"/>
      <c r="DY35" s="198"/>
      <c r="DZ35" s="198"/>
      <c r="EA35" s="198"/>
      <c r="EB35" s="198"/>
      <c r="EC35" s="198"/>
      <c r="ED35" s="198"/>
      <c r="EE35" s="197"/>
      <c r="EF35" s="198"/>
      <c r="EG35" s="198"/>
      <c r="EH35" s="198"/>
      <c r="EI35" s="198"/>
      <c r="EJ35" s="198"/>
      <c r="EK35" s="199"/>
      <c r="EL35" s="198"/>
      <c r="EM35" s="198"/>
      <c r="EN35" s="198"/>
      <c r="EO35" s="198"/>
      <c r="EP35" s="198"/>
      <c r="EQ35" s="198"/>
      <c r="ER35" s="199"/>
      <c r="ES35" s="198"/>
      <c r="ET35" s="198"/>
      <c r="EU35" s="198"/>
      <c r="EV35" s="198"/>
      <c r="EW35" s="198"/>
      <c r="EX35" s="198"/>
      <c r="EY35" s="199"/>
      <c r="EZ35" s="198"/>
      <c r="FA35" s="198"/>
      <c r="FB35" s="198"/>
      <c r="FC35" s="198"/>
      <c r="FD35" s="198"/>
      <c r="FE35" s="198"/>
      <c r="FF35" s="198"/>
      <c r="FG35" s="197"/>
      <c r="FH35" s="198"/>
      <c r="FI35" s="198"/>
      <c r="FJ35" s="198"/>
      <c r="FK35" s="198"/>
      <c r="FL35" s="198"/>
      <c r="FM35" s="198"/>
      <c r="FN35" s="197"/>
      <c r="FO35" s="198"/>
      <c r="FP35" s="198"/>
      <c r="FQ35" s="198"/>
      <c r="FR35" s="198"/>
      <c r="FS35" s="198"/>
      <c r="FT35" s="199"/>
      <c r="FU35" s="197"/>
      <c r="FV35" s="198"/>
      <c r="FW35" s="198"/>
      <c r="FX35" s="198"/>
      <c r="FY35" s="198"/>
      <c r="FZ35" s="198"/>
      <c r="GA35" s="199"/>
      <c r="GB35" s="197"/>
      <c r="GC35" s="198"/>
      <c r="GD35" s="198"/>
      <c r="GE35" s="198"/>
      <c r="GF35" s="198"/>
      <c r="GG35" s="198"/>
      <c r="GH35" s="199"/>
      <c r="GI35" s="197"/>
      <c r="GJ35" s="198"/>
      <c r="GK35" s="198"/>
      <c r="GL35" s="198"/>
      <c r="GM35" s="198"/>
      <c r="GN35" s="198"/>
      <c r="GO35" s="199"/>
      <c r="GP35" s="197"/>
      <c r="GQ35" s="198"/>
      <c r="GR35" s="198"/>
      <c r="GS35" s="198"/>
      <c r="GT35" s="198"/>
      <c r="GU35" s="198"/>
      <c r="GV35" s="199"/>
      <c r="GW35" s="197"/>
      <c r="GX35" s="198"/>
      <c r="GY35" s="198"/>
      <c r="GZ35" s="198"/>
      <c r="HA35" s="198"/>
      <c r="HB35" s="198"/>
      <c r="HC35" s="199"/>
      <c r="HD35" s="197"/>
      <c r="HE35" s="198"/>
      <c r="HF35" s="198"/>
      <c r="HG35" s="198"/>
      <c r="HH35" s="198"/>
      <c r="HI35" s="198"/>
      <c r="HJ35" s="199"/>
      <c r="HK35" s="197"/>
      <c r="HL35" s="198"/>
      <c r="HM35" s="198"/>
      <c r="HN35" s="198"/>
      <c r="HO35" s="198"/>
      <c r="HP35" s="198"/>
      <c r="HQ35" s="198"/>
      <c r="HR35" s="197"/>
      <c r="HT35" s="198"/>
      <c r="HU35" s="198"/>
      <c r="HV35" s="198"/>
      <c r="HW35" s="198"/>
      <c r="HX35" s="198"/>
    </row>
    <row r="36" spans="1:233">
      <c r="A36" s="185" t="s">
        <v>495</v>
      </c>
      <c r="B36" s="197"/>
      <c r="C36" s="198"/>
      <c r="D36" s="198"/>
      <c r="E36" s="198"/>
      <c r="F36" s="198"/>
      <c r="G36" s="198"/>
      <c r="H36" s="199"/>
      <c r="I36" s="197"/>
      <c r="J36" s="198"/>
      <c r="K36" s="198"/>
      <c r="L36" s="198"/>
      <c r="M36" s="198"/>
      <c r="N36" s="198"/>
      <c r="O36" s="199"/>
      <c r="P36" s="198"/>
      <c r="Q36" s="198"/>
      <c r="R36" s="198"/>
      <c r="S36" s="198"/>
      <c r="T36" s="198"/>
      <c r="U36" s="198"/>
      <c r="V36" s="199"/>
      <c r="W36" s="198">
        <v>1207.21</v>
      </c>
      <c r="X36" s="198">
        <v>165.78299999999999</v>
      </c>
      <c r="Y36" s="198">
        <v>318.44100000000003</v>
      </c>
      <c r="Z36" s="198">
        <v>40.307000000000002</v>
      </c>
      <c r="AA36" s="198">
        <v>285.505</v>
      </c>
      <c r="AB36" s="198"/>
      <c r="AC36" s="199">
        <f t="shared" si="0"/>
        <v>397.17400000000009</v>
      </c>
      <c r="AD36" s="198"/>
      <c r="AE36" s="198">
        <v>19.329999999999998</v>
      </c>
      <c r="AF36" s="198">
        <v>81.89800000000001</v>
      </c>
      <c r="AG36" s="198">
        <v>58.515000000000001</v>
      </c>
      <c r="AH36" s="198">
        <v>35.33</v>
      </c>
      <c r="AI36" s="198"/>
      <c r="AJ36" s="198"/>
      <c r="AK36" s="197"/>
      <c r="AL36" s="198"/>
      <c r="AM36" s="198"/>
      <c r="AN36" s="198"/>
      <c r="AO36" s="198"/>
      <c r="AP36" s="198"/>
      <c r="AQ36" s="199"/>
      <c r="AR36" s="198">
        <v>2.9249711187536196</v>
      </c>
      <c r="AS36" s="198">
        <v>0.55737168523785741</v>
      </c>
      <c r="AT36" s="198">
        <v>0.14168606343101545</v>
      </c>
      <c r="AU36" s="198">
        <v>0.87432490088074799</v>
      </c>
      <c r="AV36" s="198">
        <v>7.3402217616522616E-2</v>
      </c>
      <c r="AW36" s="198"/>
      <c r="AX36" s="198">
        <v>1.2781862515874765</v>
      </c>
      <c r="AY36" s="197"/>
      <c r="AZ36" s="198"/>
      <c r="BA36" s="198"/>
      <c r="BB36" s="198"/>
      <c r="BC36" s="198"/>
      <c r="BD36" s="198"/>
      <c r="BE36" s="198"/>
      <c r="BF36" s="197"/>
      <c r="BG36" s="198"/>
      <c r="BH36" s="198"/>
      <c r="BI36" s="198"/>
      <c r="BJ36" s="198"/>
      <c r="BK36" s="198"/>
      <c r="BL36" s="198"/>
      <c r="BM36" s="197"/>
      <c r="BN36" s="198"/>
      <c r="BO36" s="198"/>
      <c r="BP36" s="198"/>
      <c r="BQ36" s="198"/>
      <c r="BR36" s="198"/>
      <c r="BS36" s="198"/>
      <c r="BT36" s="197"/>
      <c r="BU36" s="198"/>
      <c r="BV36" s="198"/>
      <c r="BW36" s="198"/>
      <c r="BX36" s="198"/>
      <c r="BY36" s="198"/>
      <c r="BZ36" s="198"/>
      <c r="CA36" s="197"/>
      <c r="CB36" s="198"/>
      <c r="CC36" s="198"/>
      <c r="CD36" s="198"/>
      <c r="CE36" s="198"/>
      <c r="CF36" s="198"/>
      <c r="CG36" s="198"/>
      <c r="CH36" s="197"/>
      <c r="CI36" s="198"/>
      <c r="CJ36" s="198"/>
      <c r="CK36" s="198"/>
      <c r="CL36" s="198"/>
      <c r="CM36" s="198"/>
      <c r="CN36" s="198"/>
      <c r="CO36" s="197"/>
      <c r="CP36" s="198"/>
      <c r="CQ36" s="198"/>
      <c r="CR36" s="198"/>
      <c r="CS36" s="198"/>
      <c r="CT36" s="198"/>
      <c r="CU36" s="198"/>
      <c r="CV36" s="197"/>
      <c r="CW36" s="198"/>
      <c r="CX36" s="198"/>
      <c r="CY36" s="198"/>
      <c r="CZ36" s="198"/>
      <c r="DA36" s="198"/>
      <c r="DB36" s="198"/>
      <c r="DC36" s="197"/>
      <c r="DD36" s="198"/>
      <c r="DE36" s="198"/>
      <c r="DF36" s="198"/>
      <c r="DG36" s="198"/>
      <c r="DH36" s="198"/>
      <c r="DI36" s="198"/>
      <c r="DJ36" s="197"/>
      <c r="DK36" s="198"/>
      <c r="DL36" s="198"/>
      <c r="DM36" s="198"/>
      <c r="DN36" s="198"/>
      <c r="DO36" s="198"/>
      <c r="DP36" s="198"/>
      <c r="DQ36" s="197"/>
      <c r="DR36" s="198"/>
      <c r="DS36" s="198"/>
      <c r="DT36" s="198"/>
      <c r="DU36" s="198"/>
      <c r="DV36" s="198"/>
      <c r="DW36" s="198"/>
      <c r="DX36" s="197"/>
      <c r="DY36" s="198"/>
      <c r="DZ36" s="198"/>
      <c r="EA36" s="198"/>
      <c r="EB36" s="198"/>
      <c r="EC36" s="198"/>
      <c r="ED36" s="198"/>
      <c r="EE36" s="197"/>
      <c r="EF36" s="198"/>
      <c r="EG36" s="198"/>
      <c r="EH36" s="198"/>
      <c r="EI36" s="198"/>
      <c r="EJ36" s="198"/>
      <c r="EK36" s="199"/>
      <c r="EL36" s="198"/>
      <c r="EM36" s="198"/>
      <c r="EN36" s="198"/>
      <c r="EO36" s="198"/>
      <c r="EP36" s="198"/>
      <c r="EQ36" s="198"/>
      <c r="ER36" s="199"/>
      <c r="ES36" s="198"/>
      <c r="ET36" s="198"/>
      <c r="EU36" s="198"/>
      <c r="EV36" s="198"/>
      <c r="EW36" s="198"/>
      <c r="EX36" s="198"/>
      <c r="EY36" s="199"/>
      <c r="EZ36" s="198"/>
      <c r="FA36" s="198"/>
      <c r="FB36" s="198"/>
      <c r="FC36" s="198"/>
      <c r="FD36" s="198"/>
      <c r="FE36" s="198"/>
      <c r="FF36" s="198"/>
      <c r="FG36" s="197"/>
      <c r="FH36" s="198"/>
      <c r="FI36" s="198"/>
      <c r="FJ36" s="198"/>
      <c r="FK36" s="198"/>
      <c r="FL36" s="198"/>
      <c r="FM36" s="198"/>
      <c r="FN36" s="197"/>
      <c r="FO36" s="198"/>
      <c r="FP36" s="198"/>
      <c r="FQ36" s="198"/>
      <c r="FR36" s="198"/>
      <c r="FS36" s="198"/>
      <c r="FT36" s="199"/>
      <c r="FU36" s="197"/>
      <c r="FV36" s="198"/>
      <c r="FW36" s="198"/>
      <c r="FX36" s="198"/>
      <c r="FY36" s="198"/>
      <c r="FZ36" s="198"/>
      <c r="GA36" s="199"/>
      <c r="GB36" s="197"/>
      <c r="GC36" s="198"/>
      <c r="GD36" s="198"/>
      <c r="GE36" s="198"/>
      <c r="GF36" s="198"/>
      <c r="GG36" s="198"/>
      <c r="GH36" s="199"/>
      <c r="GI36" s="197"/>
      <c r="GJ36" s="198"/>
      <c r="GK36" s="198"/>
      <c r="GL36" s="198"/>
      <c r="GM36" s="198"/>
      <c r="GN36" s="198"/>
      <c r="GO36" s="199"/>
      <c r="GP36" s="197"/>
      <c r="GQ36" s="198"/>
      <c r="GR36" s="198"/>
      <c r="GS36" s="198"/>
      <c r="GT36" s="198"/>
      <c r="GU36" s="198"/>
      <c r="GV36" s="199"/>
      <c r="GW36" s="197"/>
      <c r="GX36" s="198"/>
      <c r="GY36" s="198"/>
      <c r="GZ36" s="198"/>
      <c r="HA36" s="198"/>
      <c r="HB36" s="198"/>
      <c r="HC36" s="199"/>
      <c r="HD36" s="197"/>
      <c r="HE36" s="198"/>
      <c r="HF36" s="198"/>
      <c r="HG36" s="198"/>
      <c r="HH36" s="198"/>
      <c r="HI36" s="198"/>
      <c r="HJ36" s="199"/>
      <c r="HK36" s="197"/>
      <c r="HL36" s="198"/>
      <c r="HM36" s="198"/>
      <c r="HN36" s="198"/>
      <c r="HO36" s="198"/>
      <c r="HP36" s="198"/>
      <c r="HQ36" s="198"/>
      <c r="HR36" s="197"/>
      <c r="HT36" s="198"/>
      <c r="HU36" s="198"/>
      <c r="HV36" s="198"/>
      <c r="HW36" s="198"/>
      <c r="HX36" s="198"/>
    </row>
    <row r="37" spans="1:233">
      <c r="A37" s="185" t="s">
        <v>496</v>
      </c>
      <c r="B37" s="197"/>
      <c r="C37" s="198"/>
      <c r="D37" s="198"/>
      <c r="E37" s="198"/>
      <c r="F37" s="198"/>
      <c r="G37" s="198"/>
      <c r="H37" s="199"/>
      <c r="I37" s="197"/>
      <c r="J37" s="198"/>
      <c r="K37" s="198"/>
      <c r="L37" s="198"/>
      <c r="M37" s="198"/>
      <c r="N37" s="198"/>
      <c r="O37" s="199"/>
      <c r="P37" s="198"/>
      <c r="Q37" s="198"/>
      <c r="R37" s="198"/>
      <c r="S37" s="198"/>
      <c r="T37" s="198"/>
      <c r="U37" s="198"/>
      <c r="V37" s="199"/>
      <c r="W37" s="198">
        <v>1205.7809999999999</v>
      </c>
      <c r="X37" s="198">
        <v>165.779</v>
      </c>
      <c r="Y37" s="198">
        <v>319.04300000000001</v>
      </c>
      <c r="Z37" s="198">
        <v>38.768999999999998</v>
      </c>
      <c r="AA37" s="198">
        <v>285.54599999999999</v>
      </c>
      <c r="AB37" s="198"/>
      <c r="AC37" s="199">
        <f t="shared" si="0"/>
        <v>396.64399999999995</v>
      </c>
      <c r="AD37" s="198"/>
      <c r="AE37" s="198">
        <v>15.285</v>
      </c>
      <c r="AF37" s="198">
        <v>81.497</v>
      </c>
      <c r="AG37" s="198">
        <v>59.762999999999998</v>
      </c>
      <c r="AH37" s="198">
        <v>37.820999999999998</v>
      </c>
      <c r="AI37" s="198"/>
      <c r="AJ37" s="198"/>
      <c r="AK37" s="197"/>
      <c r="AL37" s="198"/>
      <c r="AM37" s="198"/>
      <c r="AN37" s="198"/>
      <c r="AO37" s="198"/>
      <c r="AP37" s="198"/>
      <c r="AQ37" s="199"/>
      <c r="AR37" s="198">
        <v>3.2885151617700883</v>
      </c>
      <c r="AS37" s="198">
        <v>0.64163254920528878</v>
      </c>
      <c r="AT37" s="198">
        <v>0.19152094215657406</v>
      </c>
      <c r="AU37" s="198">
        <v>0.96465503416687381</v>
      </c>
      <c r="AV37" s="198">
        <v>7.5466381152810444E-2</v>
      </c>
      <c r="AW37" s="198"/>
      <c r="AX37" s="198">
        <v>1.4152402550885415</v>
      </c>
      <c r="AY37" s="197"/>
      <c r="AZ37" s="198"/>
      <c r="BA37" s="198"/>
      <c r="BB37" s="198"/>
      <c r="BC37" s="198"/>
      <c r="BD37" s="198"/>
      <c r="BE37" s="198"/>
      <c r="BF37" s="197"/>
      <c r="BG37" s="198"/>
      <c r="BH37" s="198"/>
      <c r="BI37" s="198"/>
      <c r="BJ37" s="198"/>
      <c r="BK37" s="198"/>
      <c r="BL37" s="198"/>
      <c r="BM37" s="197"/>
      <c r="BN37" s="198"/>
      <c r="BO37" s="198"/>
      <c r="BP37" s="198"/>
      <c r="BQ37" s="198"/>
      <c r="BR37" s="198"/>
      <c r="BS37" s="198"/>
      <c r="BT37" s="197"/>
      <c r="BU37" s="198"/>
      <c r="BV37" s="198"/>
      <c r="BW37" s="198"/>
      <c r="BX37" s="198"/>
      <c r="BY37" s="198"/>
      <c r="BZ37" s="198"/>
      <c r="CA37" s="197"/>
      <c r="CB37" s="198"/>
      <c r="CC37" s="198"/>
      <c r="CD37" s="198"/>
      <c r="CE37" s="198"/>
      <c r="CF37" s="198"/>
      <c r="CG37" s="198"/>
      <c r="CH37" s="197"/>
      <c r="CI37" s="198"/>
      <c r="CJ37" s="198"/>
      <c r="CK37" s="198"/>
      <c r="CL37" s="198"/>
      <c r="CM37" s="198"/>
      <c r="CN37" s="198"/>
      <c r="CO37" s="197"/>
      <c r="CP37" s="198"/>
      <c r="CQ37" s="198"/>
      <c r="CR37" s="198"/>
      <c r="CS37" s="198"/>
      <c r="CT37" s="198"/>
      <c r="CU37" s="198"/>
      <c r="CV37" s="197"/>
      <c r="CW37" s="198"/>
      <c r="CX37" s="198"/>
      <c r="CY37" s="198"/>
      <c r="CZ37" s="198"/>
      <c r="DA37" s="198"/>
      <c r="DB37" s="198"/>
      <c r="DC37" s="197"/>
      <c r="DD37" s="198"/>
      <c r="DE37" s="198"/>
      <c r="DF37" s="198"/>
      <c r="DG37" s="198"/>
      <c r="DH37" s="198"/>
      <c r="DI37" s="198"/>
      <c r="DJ37" s="197"/>
      <c r="DK37" s="198"/>
      <c r="DL37" s="198"/>
      <c r="DM37" s="198"/>
      <c r="DN37" s="198"/>
      <c r="DO37" s="198"/>
      <c r="DP37" s="198"/>
      <c r="DQ37" s="197"/>
      <c r="DR37" s="198"/>
      <c r="DS37" s="198"/>
      <c r="DT37" s="198"/>
      <c r="DU37" s="198"/>
      <c r="DV37" s="198"/>
      <c r="DW37" s="198"/>
      <c r="DX37" s="197"/>
      <c r="DY37" s="198"/>
      <c r="DZ37" s="198"/>
      <c r="EA37" s="198"/>
      <c r="EB37" s="198"/>
      <c r="EC37" s="198"/>
      <c r="ED37" s="198"/>
      <c r="EE37" s="197"/>
      <c r="EF37" s="198"/>
      <c r="EG37" s="198"/>
      <c r="EH37" s="198"/>
      <c r="EI37" s="198"/>
      <c r="EJ37" s="198"/>
      <c r="EK37" s="199"/>
      <c r="EL37" s="198"/>
      <c r="EM37" s="198"/>
      <c r="EN37" s="198"/>
      <c r="EO37" s="198"/>
      <c r="EP37" s="198"/>
      <c r="EQ37" s="198"/>
      <c r="ER37" s="199"/>
      <c r="ES37" s="198"/>
      <c r="ET37" s="198"/>
      <c r="EU37" s="198"/>
      <c r="EV37" s="198"/>
      <c r="EW37" s="198"/>
      <c r="EX37" s="198"/>
      <c r="EY37" s="199"/>
      <c r="EZ37" s="198"/>
      <c r="FA37" s="198"/>
      <c r="FB37" s="198"/>
      <c r="FC37" s="198"/>
      <c r="FD37" s="198"/>
      <c r="FE37" s="198"/>
      <c r="FF37" s="198"/>
      <c r="FG37" s="197"/>
      <c r="FH37" s="198"/>
      <c r="FI37" s="198"/>
      <c r="FJ37" s="198"/>
      <c r="FK37" s="198"/>
      <c r="FL37" s="198"/>
      <c r="FM37" s="198"/>
      <c r="FN37" s="197"/>
      <c r="FO37" s="198"/>
      <c r="FP37" s="198"/>
      <c r="FQ37" s="198"/>
      <c r="FR37" s="198"/>
      <c r="FS37" s="198"/>
      <c r="FT37" s="199"/>
      <c r="FU37" s="197"/>
      <c r="FV37" s="198"/>
      <c r="FW37" s="198"/>
      <c r="FX37" s="198"/>
      <c r="FY37" s="198"/>
      <c r="FZ37" s="198"/>
      <c r="GA37" s="199"/>
      <c r="GB37" s="197"/>
      <c r="GC37" s="198"/>
      <c r="GD37" s="198"/>
      <c r="GE37" s="198"/>
      <c r="GF37" s="198"/>
      <c r="GG37" s="198"/>
      <c r="GH37" s="199"/>
      <c r="GI37" s="197"/>
      <c r="GJ37" s="198"/>
      <c r="GK37" s="198"/>
      <c r="GL37" s="198"/>
      <c r="GM37" s="198"/>
      <c r="GN37" s="198"/>
      <c r="GO37" s="199"/>
      <c r="GP37" s="197"/>
      <c r="GQ37" s="198"/>
      <c r="GR37" s="198"/>
      <c r="GS37" s="198"/>
      <c r="GT37" s="198"/>
      <c r="GU37" s="198"/>
      <c r="GV37" s="199"/>
      <c r="GW37" s="197"/>
      <c r="GX37" s="198"/>
      <c r="GY37" s="198"/>
      <c r="GZ37" s="198"/>
      <c r="HA37" s="198"/>
      <c r="HB37" s="198"/>
      <c r="HC37" s="199"/>
      <c r="HD37" s="197"/>
      <c r="HE37" s="198"/>
      <c r="HF37" s="198"/>
      <c r="HG37" s="198"/>
      <c r="HH37" s="198"/>
      <c r="HI37" s="198"/>
      <c r="HJ37" s="199"/>
      <c r="HK37" s="197"/>
      <c r="HL37" s="198"/>
      <c r="HM37" s="198"/>
      <c r="HN37" s="198"/>
      <c r="HO37" s="198"/>
      <c r="HP37" s="198"/>
      <c r="HQ37" s="198"/>
      <c r="HR37" s="197"/>
      <c r="HT37" s="198"/>
      <c r="HU37" s="198"/>
      <c r="HV37" s="198"/>
      <c r="HW37" s="198"/>
      <c r="HX37" s="198"/>
    </row>
    <row r="38" spans="1:233">
      <c r="A38" s="185" t="s">
        <v>497</v>
      </c>
      <c r="B38" s="197"/>
      <c r="C38" s="198"/>
      <c r="D38" s="198"/>
      <c r="E38" s="198"/>
      <c r="F38" s="198"/>
      <c r="G38" s="198"/>
      <c r="H38" s="199"/>
      <c r="I38" s="197"/>
      <c r="J38" s="198"/>
      <c r="K38" s="198"/>
      <c r="L38" s="198"/>
      <c r="M38" s="198"/>
      <c r="N38" s="198"/>
      <c r="O38" s="199"/>
      <c r="P38" s="198"/>
      <c r="Q38" s="198"/>
      <c r="R38" s="198"/>
      <c r="S38" s="198"/>
      <c r="T38" s="198"/>
      <c r="U38" s="198"/>
      <c r="V38" s="199"/>
      <c r="W38" s="198">
        <v>1227.644</v>
      </c>
      <c r="X38" s="198">
        <v>167.87</v>
      </c>
      <c r="Y38" s="198">
        <v>325.10499999999996</v>
      </c>
      <c r="Z38" s="198">
        <v>43.118000000000002</v>
      </c>
      <c r="AA38" s="198">
        <v>284.06700000000001</v>
      </c>
      <c r="AB38" s="198"/>
      <c r="AC38" s="199">
        <f t="shared" si="0"/>
        <v>407.48399999999981</v>
      </c>
      <c r="AD38" s="198">
        <f>[1]datos!$S170</f>
        <v>301.09500000000003</v>
      </c>
      <c r="AE38" s="198">
        <v>13.273</v>
      </c>
      <c r="AF38" s="198">
        <v>81.211999999999989</v>
      </c>
      <c r="AG38" s="198">
        <v>63.316000000000003</v>
      </c>
      <c r="AH38" s="198">
        <v>37.161000000000001</v>
      </c>
      <c r="AI38" s="198">
        <f>[1]datos!$U170</f>
        <v>32.694000000000003</v>
      </c>
      <c r="AJ38" s="198">
        <f>AD38-AE38-AF38-AG38-AH38-AI38</f>
        <v>73.439000000000007</v>
      </c>
      <c r="AK38" s="197"/>
      <c r="AL38" s="198"/>
      <c r="AM38" s="198"/>
      <c r="AN38" s="198"/>
      <c r="AO38" s="198"/>
      <c r="AP38" s="198"/>
      <c r="AQ38" s="199"/>
      <c r="AR38" s="198">
        <v>3.7804023414673624</v>
      </c>
      <c r="AS38" s="198">
        <v>0.73807926568402904</v>
      </c>
      <c r="AT38" s="198">
        <v>0.2383374020001913</v>
      </c>
      <c r="AU38" s="198">
        <v>1.0811998728360122</v>
      </c>
      <c r="AV38" s="198">
        <v>8.2372504841541114E-2</v>
      </c>
      <c r="AW38" s="198"/>
      <c r="AX38" s="198">
        <v>1.6404132961055886</v>
      </c>
      <c r="AY38" s="197"/>
      <c r="AZ38" s="198"/>
      <c r="BA38" s="198"/>
      <c r="BB38" s="198"/>
      <c r="BC38" s="198"/>
      <c r="BD38" s="198"/>
      <c r="BE38" s="198"/>
      <c r="BF38" s="197"/>
      <c r="BG38" s="198"/>
      <c r="BH38" s="198"/>
      <c r="BI38" s="198"/>
      <c r="BJ38" s="198"/>
      <c r="BK38" s="198"/>
      <c r="BL38" s="198"/>
      <c r="BM38" s="197"/>
      <c r="BN38" s="198"/>
      <c r="BO38" s="198"/>
      <c r="BP38" s="198"/>
      <c r="BQ38" s="198"/>
      <c r="BR38" s="198"/>
      <c r="BS38" s="198"/>
      <c r="BT38" s="197"/>
      <c r="BU38" s="198"/>
      <c r="BV38" s="198"/>
      <c r="BW38" s="198"/>
      <c r="BX38" s="198"/>
      <c r="BY38" s="198"/>
      <c r="BZ38" s="198"/>
      <c r="CA38" s="197"/>
      <c r="CB38" s="198"/>
      <c r="CC38" s="198"/>
      <c r="CD38" s="198"/>
      <c r="CE38" s="198"/>
      <c r="CF38" s="198"/>
      <c r="CG38" s="198"/>
      <c r="CH38" s="197"/>
      <c r="CI38" s="198"/>
      <c r="CJ38" s="198"/>
      <c r="CK38" s="198"/>
      <c r="CL38" s="198"/>
      <c r="CM38" s="198"/>
      <c r="CN38" s="198"/>
      <c r="CO38" s="197"/>
      <c r="CP38" s="198"/>
      <c r="CQ38" s="198"/>
      <c r="CR38" s="198"/>
      <c r="CS38" s="198"/>
      <c r="CT38" s="198"/>
      <c r="CU38" s="198"/>
      <c r="CV38" s="197"/>
      <c r="CW38" s="198"/>
      <c r="CX38" s="198"/>
      <c r="CY38" s="198"/>
      <c r="CZ38" s="198"/>
      <c r="DA38" s="198"/>
      <c r="DB38" s="198"/>
      <c r="DC38" s="197"/>
      <c r="DD38" s="198"/>
      <c r="DE38" s="198"/>
      <c r="DF38" s="198"/>
      <c r="DG38" s="198"/>
      <c r="DH38" s="198"/>
      <c r="DI38" s="198"/>
      <c r="DJ38" s="197"/>
      <c r="DK38" s="198"/>
      <c r="DL38" s="198"/>
      <c r="DM38" s="198"/>
      <c r="DN38" s="198"/>
      <c r="DO38" s="198"/>
      <c r="DP38" s="198"/>
      <c r="DQ38" s="197"/>
      <c r="DR38" s="198"/>
      <c r="DS38" s="198"/>
      <c r="DT38" s="198"/>
      <c r="DU38" s="198"/>
      <c r="DV38" s="198"/>
      <c r="DW38" s="198"/>
      <c r="DX38" s="197"/>
      <c r="DY38" s="198"/>
      <c r="DZ38" s="198"/>
      <c r="EA38" s="198"/>
      <c r="EB38" s="198"/>
      <c r="EC38" s="198"/>
      <c r="ED38" s="198"/>
      <c r="EE38" s="197"/>
      <c r="EF38" s="198"/>
      <c r="EG38" s="198"/>
      <c r="EH38" s="198"/>
      <c r="EI38" s="198"/>
      <c r="EJ38" s="198"/>
      <c r="EK38" s="199"/>
      <c r="EL38" s="198"/>
      <c r="EM38" s="198"/>
      <c r="EN38" s="198"/>
      <c r="EO38" s="198"/>
      <c r="EP38" s="198"/>
      <c r="EQ38" s="198"/>
      <c r="ER38" s="199"/>
      <c r="ES38" s="198"/>
      <c r="ET38" s="198"/>
      <c r="EU38" s="198"/>
      <c r="EV38" s="198"/>
      <c r="EW38" s="198"/>
      <c r="EX38" s="198"/>
      <c r="EY38" s="199"/>
      <c r="EZ38" s="198"/>
      <c r="FA38" s="198"/>
      <c r="FB38" s="198"/>
      <c r="FC38" s="198"/>
      <c r="FD38" s="198"/>
      <c r="FE38" s="198"/>
      <c r="FF38" s="198"/>
      <c r="FG38" s="197"/>
      <c r="FH38" s="198"/>
      <c r="FI38" s="198"/>
      <c r="FJ38" s="198"/>
      <c r="FK38" s="198"/>
      <c r="FL38" s="198"/>
      <c r="FM38" s="198"/>
      <c r="FN38" s="197"/>
      <c r="FO38" s="198"/>
      <c r="FP38" s="198"/>
      <c r="FQ38" s="198"/>
      <c r="FR38" s="198"/>
      <c r="FS38" s="198"/>
      <c r="FT38" s="199"/>
      <c r="FU38" s="197"/>
      <c r="FV38" s="198"/>
      <c r="FW38" s="198"/>
      <c r="FX38" s="198"/>
      <c r="FY38" s="198"/>
      <c r="FZ38" s="198"/>
      <c r="GA38" s="199"/>
      <c r="GB38" s="197"/>
      <c r="GC38" s="198"/>
      <c r="GD38" s="198"/>
      <c r="GE38" s="198"/>
      <c r="GF38" s="198"/>
      <c r="GG38" s="198"/>
      <c r="GH38" s="199"/>
      <c r="GI38" s="197"/>
      <c r="GJ38" s="198"/>
      <c r="GK38" s="198"/>
      <c r="GL38" s="198"/>
      <c r="GM38" s="198"/>
      <c r="GN38" s="198"/>
      <c r="GO38" s="199"/>
      <c r="GP38" s="197"/>
      <c r="GQ38" s="198"/>
      <c r="GR38" s="198"/>
      <c r="GS38" s="198"/>
      <c r="GT38" s="198"/>
      <c r="GU38" s="198"/>
      <c r="GV38" s="199"/>
      <c r="GW38" s="197"/>
      <c r="GX38" s="198"/>
      <c r="GY38" s="198"/>
      <c r="GZ38" s="198"/>
      <c r="HA38" s="198"/>
      <c r="HB38" s="198"/>
      <c r="HC38" s="199"/>
      <c r="HD38" s="197"/>
      <c r="HE38" s="198"/>
      <c r="HF38" s="198"/>
      <c r="HG38" s="198"/>
      <c r="HH38" s="198"/>
      <c r="HI38" s="198"/>
      <c r="HJ38" s="199"/>
      <c r="HK38" s="197"/>
      <c r="HL38" s="198"/>
      <c r="HM38" s="198"/>
      <c r="HN38" s="198"/>
      <c r="HO38" s="198"/>
      <c r="HP38" s="198"/>
      <c r="HQ38" s="198"/>
      <c r="HR38" s="197"/>
      <c r="HT38" s="198"/>
      <c r="HU38" s="198"/>
      <c r="HV38" s="198"/>
      <c r="HW38" s="198"/>
      <c r="HX38" s="198"/>
    </row>
    <row r="39" spans="1:233">
      <c r="A39" s="185" t="s">
        <v>498</v>
      </c>
      <c r="B39" s="197"/>
      <c r="C39" s="198"/>
      <c r="D39" s="198"/>
      <c r="E39" s="198"/>
      <c r="F39" s="198"/>
      <c r="G39" s="198"/>
      <c r="H39" s="199"/>
      <c r="I39" s="197"/>
      <c r="J39" s="198"/>
      <c r="K39" s="198"/>
      <c r="L39" s="198"/>
      <c r="M39" s="198"/>
      <c r="N39" s="198"/>
      <c r="O39" s="199"/>
      <c r="P39" s="198"/>
      <c r="Q39" s="198"/>
      <c r="R39" s="198"/>
      <c r="S39" s="198"/>
      <c r="T39" s="198"/>
      <c r="U39" s="198"/>
      <c r="V39" s="199"/>
      <c r="W39" s="198">
        <v>1241.93</v>
      </c>
      <c r="X39" s="198">
        <v>170.99100000000001</v>
      </c>
      <c r="Y39" s="198">
        <v>326.89800000000002</v>
      </c>
      <c r="Z39" s="198">
        <v>49.649000000000001</v>
      </c>
      <c r="AA39" s="198">
        <v>282.54399999999998</v>
      </c>
      <c r="AB39" s="198"/>
      <c r="AC39" s="199">
        <f t="shared" si="0"/>
        <v>411.84800000000007</v>
      </c>
      <c r="AD39" s="198"/>
      <c r="AE39" s="198">
        <v>11.82</v>
      </c>
      <c r="AF39" s="198">
        <v>76.628</v>
      </c>
      <c r="AG39" s="198">
        <v>66.251999999999995</v>
      </c>
      <c r="AH39" s="198">
        <v>43.3</v>
      </c>
      <c r="AI39" s="198"/>
      <c r="AJ39" s="198"/>
      <c r="AK39" s="197"/>
      <c r="AL39" s="198"/>
      <c r="AM39" s="198"/>
      <c r="AN39" s="198"/>
      <c r="AO39" s="198"/>
      <c r="AP39" s="198"/>
      <c r="AQ39" s="199"/>
      <c r="AR39" s="198">
        <v>4.3673400679882546</v>
      </c>
      <c r="AS39" s="198">
        <v>0.88172552898773238</v>
      </c>
      <c r="AT39" s="198">
        <v>0.27356072754498656</v>
      </c>
      <c r="AU39" s="198">
        <v>1.2232110475320723</v>
      </c>
      <c r="AV39" s="198">
        <v>9.459774661574559E-2</v>
      </c>
      <c r="AW39" s="198"/>
      <c r="AX39" s="198">
        <v>1.8942450173077181</v>
      </c>
      <c r="AY39" s="197"/>
      <c r="AZ39" s="198"/>
      <c r="BA39" s="198"/>
      <c r="BB39" s="198"/>
      <c r="BC39" s="198"/>
      <c r="BD39" s="198"/>
      <c r="BE39" s="198"/>
      <c r="BF39" s="197"/>
      <c r="BG39" s="198"/>
      <c r="BH39" s="198"/>
      <c r="BI39" s="198"/>
      <c r="BJ39" s="198"/>
      <c r="BK39" s="198"/>
      <c r="BL39" s="198"/>
      <c r="BM39" s="197"/>
      <c r="BN39" s="198"/>
      <c r="BO39" s="198"/>
      <c r="BP39" s="198"/>
      <c r="BQ39" s="198"/>
      <c r="BR39" s="198"/>
      <c r="BS39" s="198"/>
      <c r="BT39" s="197"/>
      <c r="BU39" s="198"/>
      <c r="BV39" s="198"/>
      <c r="BW39" s="198"/>
      <c r="BX39" s="198"/>
      <c r="BY39" s="198"/>
      <c r="BZ39" s="198"/>
      <c r="CA39" s="197"/>
      <c r="CB39" s="198"/>
      <c r="CC39" s="198"/>
      <c r="CD39" s="198"/>
      <c r="CE39" s="198"/>
      <c r="CF39" s="198"/>
      <c r="CG39" s="198"/>
      <c r="CH39" s="197"/>
      <c r="CI39" s="198"/>
      <c r="CJ39" s="198"/>
      <c r="CK39" s="198"/>
      <c r="CL39" s="198"/>
      <c r="CM39" s="198"/>
      <c r="CN39" s="198"/>
      <c r="CO39" s="197"/>
      <c r="CP39" s="198"/>
      <c r="CQ39" s="198"/>
      <c r="CR39" s="198"/>
      <c r="CS39" s="198"/>
      <c r="CT39" s="198"/>
      <c r="CU39" s="198"/>
      <c r="CV39" s="197"/>
      <c r="CW39" s="198"/>
      <c r="CX39" s="198"/>
      <c r="CY39" s="198"/>
      <c r="CZ39" s="198"/>
      <c r="DA39" s="198"/>
      <c r="DB39" s="198"/>
      <c r="DC39" s="197"/>
      <c r="DD39" s="198"/>
      <c r="DE39" s="198"/>
      <c r="DF39" s="198"/>
      <c r="DG39" s="198"/>
      <c r="DH39" s="198"/>
      <c r="DI39" s="198"/>
      <c r="DJ39" s="197"/>
      <c r="DK39" s="198"/>
      <c r="DL39" s="198"/>
      <c r="DM39" s="198"/>
      <c r="DN39" s="198"/>
      <c r="DO39" s="198"/>
      <c r="DP39" s="198"/>
      <c r="DQ39" s="197"/>
      <c r="DR39" s="198"/>
      <c r="DS39" s="198"/>
      <c r="DT39" s="198"/>
      <c r="DU39" s="198"/>
      <c r="DV39" s="198"/>
      <c r="DW39" s="198"/>
      <c r="DX39" s="197"/>
      <c r="DY39" s="198"/>
      <c r="DZ39" s="198"/>
      <c r="EA39" s="198"/>
      <c r="EB39" s="198"/>
      <c r="EC39" s="198"/>
      <c r="ED39" s="198"/>
      <c r="EE39" s="197"/>
      <c r="EF39" s="198"/>
      <c r="EG39" s="198"/>
      <c r="EH39" s="198"/>
      <c r="EI39" s="198"/>
      <c r="EJ39" s="198"/>
      <c r="EK39" s="199"/>
      <c r="EL39" s="198"/>
      <c r="EM39" s="198"/>
      <c r="EN39" s="198"/>
      <c r="EO39" s="198"/>
      <c r="EP39" s="198"/>
      <c r="EQ39" s="198"/>
      <c r="ER39" s="199"/>
      <c r="ES39" s="198"/>
      <c r="ET39" s="198"/>
      <c r="EU39" s="198"/>
      <c r="EV39" s="198"/>
      <c r="EW39" s="198"/>
      <c r="EX39" s="198"/>
      <c r="EY39" s="199"/>
      <c r="EZ39" s="198"/>
      <c r="FA39" s="198"/>
      <c r="FB39" s="198"/>
      <c r="FC39" s="198"/>
      <c r="FD39" s="198"/>
      <c r="FE39" s="198"/>
      <c r="FF39" s="198"/>
      <c r="FG39" s="197"/>
      <c r="FH39" s="198"/>
      <c r="FI39" s="198"/>
      <c r="FJ39" s="198"/>
      <c r="FK39" s="198"/>
      <c r="FL39" s="198"/>
      <c r="FM39" s="198"/>
      <c r="FN39" s="197"/>
      <c r="FO39" s="198"/>
      <c r="FP39" s="198"/>
      <c r="FQ39" s="198"/>
      <c r="FR39" s="198"/>
      <c r="FS39" s="198"/>
      <c r="FT39" s="199"/>
      <c r="FU39" s="197"/>
      <c r="FV39" s="198"/>
      <c r="FW39" s="198"/>
      <c r="FX39" s="198"/>
      <c r="FY39" s="198"/>
      <c r="FZ39" s="198"/>
      <c r="GA39" s="199"/>
      <c r="GB39" s="197"/>
      <c r="GC39" s="198"/>
      <c r="GD39" s="198"/>
      <c r="GE39" s="198"/>
      <c r="GF39" s="198"/>
      <c r="GG39" s="198"/>
      <c r="GH39" s="199"/>
      <c r="GI39" s="197"/>
      <c r="GJ39" s="198"/>
      <c r="GK39" s="198"/>
      <c r="GL39" s="198"/>
      <c r="GM39" s="198"/>
      <c r="GN39" s="198"/>
      <c r="GO39" s="199"/>
      <c r="GP39" s="197"/>
      <c r="GQ39" s="198"/>
      <c r="GR39" s="198"/>
      <c r="GS39" s="198"/>
      <c r="GT39" s="198"/>
      <c r="GU39" s="198"/>
      <c r="GV39" s="199"/>
      <c r="GW39" s="197"/>
      <c r="GX39" s="198"/>
      <c r="GY39" s="198"/>
      <c r="GZ39" s="198"/>
      <c r="HA39" s="198"/>
      <c r="HB39" s="198"/>
      <c r="HC39" s="199"/>
      <c r="HD39" s="197"/>
      <c r="HE39" s="198"/>
      <c r="HF39" s="198"/>
      <c r="HG39" s="198"/>
      <c r="HH39" s="198"/>
      <c r="HI39" s="198"/>
      <c r="HJ39" s="199"/>
      <c r="HK39" s="197"/>
      <c r="HL39" s="198"/>
      <c r="HM39" s="198"/>
      <c r="HN39" s="198"/>
      <c r="HO39" s="198"/>
      <c r="HP39" s="198"/>
      <c r="HQ39" s="198"/>
      <c r="HR39" s="197"/>
      <c r="HT39" s="198"/>
      <c r="HU39" s="198"/>
      <c r="HV39" s="198"/>
      <c r="HW39" s="198"/>
      <c r="HX39" s="198"/>
    </row>
    <row r="40" spans="1:233">
      <c r="A40" s="185" t="s">
        <v>499</v>
      </c>
      <c r="B40" s="197"/>
      <c r="C40" s="198"/>
      <c r="D40" s="198"/>
      <c r="E40" s="198"/>
      <c r="F40" s="198"/>
      <c r="G40" s="198"/>
      <c r="H40" s="199"/>
      <c r="I40" s="197"/>
      <c r="J40" s="198"/>
      <c r="K40" s="198"/>
      <c r="L40" s="198"/>
      <c r="M40" s="198"/>
      <c r="N40" s="198"/>
      <c r="O40" s="199"/>
      <c r="P40" s="198"/>
      <c r="Q40" s="198"/>
      <c r="R40" s="198"/>
      <c r="S40" s="198"/>
      <c r="T40" s="198"/>
      <c r="U40" s="198"/>
      <c r="V40" s="199"/>
      <c r="W40" s="198">
        <v>1258.934</v>
      </c>
      <c r="X40" s="198">
        <v>170.53200000000001</v>
      </c>
      <c r="Y40" s="198">
        <v>334.875</v>
      </c>
      <c r="Z40" s="198">
        <v>51.283000000000001</v>
      </c>
      <c r="AA40" s="198">
        <v>279.40499999999997</v>
      </c>
      <c r="AB40" s="198"/>
      <c r="AC40" s="199">
        <f t="shared" si="0"/>
        <v>422.83900000000006</v>
      </c>
      <c r="AD40" s="198"/>
      <c r="AE40" s="198">
        <v>14.26</v>
      </c>
      <c r="AF40" s="198">
        <v>79.849000000000004</v>
      </c>
      <c r="AG40" s="198">
        <v>67.504000000000005</v>
      </c>
      <c r="AH40" s="198">
        <v>44.369</v>
      </c>
      <c r="AI40" s="198"/>
      <c r="AJ40" s="198"/>
      <c r="AK40" s="197"/>
      <c r="AL40" s="198"/>
      <c r="AM40" s="198"/>
      <c r="AN40" s="198"/>
      <c r="AO40" s="198"/>
      <c r="AP40" s="198"/>
      <c r="AQ40" s="199"/>
      <c r="AR40" s="198">
        <v>5.1762203759690664</v>
      </c>
      <c r="AS40" s="198">
        <v>1.0601493777268702</v>
      </c>
      <c r="AT40" s="198">
        <v>0.30082458645692256</v>
      </c>
      <c r="AU40" s="198">
        <v>1.4125536296416539</v>
      </c>
      <c r="AV40" s="198">
        <v>0.10924093745587204</v>
      </c>
      <c r="AW40" s="198"/>
      <c r="AX40" s="198">
        <v>2.2934518446877474</v>
      </c>
      <c r="AY40" s="197"/>
      <c r="AZ40" s="198"/>
      <c r="BA40" s="198"/>
      <c r="BB40" s="198"/>
      <c r="BC40" s="198"/>
      <c r="BD40" s="198"/>
      <c r="BE40" s="198"/>
      <c r="BF40" s="197"/>
      <c r="BG40" s="198"/>
      <c r="BH40" s="198"/>
      <c r="BI40" s="198"/>
      <c r="BJ40" s="198"/>
      <c r="BK40" s="198"/>
      <c r="BL40" s="198"/>
      <c r="BM40" s="197"/>
      <c r="BN40" s="198"/>
      <c r="BO40" s="198"/>
      <c r="BP40" s="198"/>
      <c r="BQ40" s="198"/>
      <c r="BR40" s="198"/>
      <c r="BS40" s="198"/>
      <c r="BT40" s="197"/>
      <c r="BU40" s="198"/>
      <c r="BV40" s="198"/>
      <c r="BW40" s="198"/>
      <c r="BX40" s="198"/>
      <c r="BY40" s="198"/>
      <c r="BZ40" s="198"/>
      <c r="CA40" s="197"/>
      <c r="CB40" s="198"/>
      <c r="CC40" s="198"/>
      <c r="CD40" s="198"/>
      <c r="CE40" s="198"/>
      <c r="CF40" s="198"/>
      <c r="CG40" s="198"/>
      <c r="CH40" s="197"/>
      <c r="CI40" s="198"/>
      <c r="CJ40" s="198"/>
      <c r="CK40" s="198"/>
      <c r="CL40" s="198"/>
      <c r="CM40" s="198"/>
      <c r="CN40" s="198"/>
      <c r="CO40" s="197"/>
      <c r="CP40" s="198"/>
      <c r="CQ40" s="198"/>
      <c r="CR40" s="198"/>
      <c r="CS40" s="198"/>
      <c r="CT40" s="198"/>
      <c r="CU40" s="198"/>
      <c r="CV40" s="197"/>
      <c r="CW40" s="198"/>
      <c r="CX40" s="198"/>
      <c r="CY40" s="198"/>
      <c r="CZ40" s="198"/>
      <c r="DA40" s="198"/>
      <c r="DB40" s="198"/>
      <c r="DC40" s="197"/>
      <c r="DD40" s="198"/>
      <c r="DE40" s="198"/>
      <c r="DF40" s="198"/>
      <c r="DG40" s="198"/>
      <c r="DH40" s="198"/>
      <c r="DI40" s="198"/>
      <c r="DJ40" s="197"/>
      <c r="DK40" s="198"/>
      <c r="DL40" s="198"/>
      <c r="DM40" s="198"/>
      <c r="DN40" s="198"/>
      <c r="DO40" s="198"/>
      <c r="DP40" s="198"/>
      <c r="DQ40" s="197"/>
      <c r="DR40" s="198"/>
      <c r="DS40" s="198"/>
      <c r="DT40" s="198"/>
      <c r="DU40" s="198"/>
      <c r="DV40" s="198"/>
      <c r="DW40" s="198"/>
      <c r="DX40" s="197"/>
      <c r="DY40" s="198"/>
      <c r="DZ40" s="198"/>
      <c r="EA40" s="198"/>
      <c r="EB40" s="198"/>
      <c r="EC40" s="198"/>
      <c r="ED40" s="198"/>
      <c r="EE40" s="197"/>
      <c r="EF40" s="198"/>
      <c r="EG40" s="198"/>
      <c r="EH40" s="198"/>
      <c r="EI40" s="198"/>
      <c r="EJ40" s="198"/>
      <c r="EK40" s="199"/>
      <c r="EL40" s="198"/>
      <c r="EM40" s="198"/>
      <c r="EN40" s="198"/>
      <c r="EO40" s="198"/>
      <c r="EP40" s="198"/>
      <c r="EQ40" s="198"/>
      <c r="ER40" s="199"/>
      <c r="ES40" s="198"/>
      <c r="ET40" s="198"/>
      <c r="EU40" s="198"/>
      <c r="EV40" s="198"/>
      <c r="EW40" s="198"/>
      <c r="EX40" s="198"/>
      <c r="EY40" s="199"/>
      <c r="EZ40" s="198"/>
      <c r="FA40" s="198"/>
      <c r="FB40" s="198"/>
      <c r="FC40" s="198"/>
      <c r="FD40" s="198"/>
      <c r="FE40" s="198"/>
      <c r="FF40" s="198"/>
      <c r="FG40" s="197"/>
      <c r="FH40" s="198"/>
      <c r="FI40" s="198"/>
      <c r="FJ40" s="198"/>
      <c r="FK40" s="198"/>
      <c r="FL40" s="198"/>
      <c r="FM40" s="198"/>
      <c r="FN40" s="197"/>
      <c r="FO40" s="198"/>
      <c r="FP40" s="198"/>
      <c r="FQ40" s="198"/>
      <c r="FR40" s="198"/>
      <c r="FS40" s="198"/>
      <c r="FT40" s="199"/>
      <c r="FU40" s="197"/>
      <c r="FV40" s="198"/>
      <c r="FW40" s="198"/>
      <c r="FX40" s="198"/>
      <c r="FY40" s="198"/>
      <c r="FZ40" s="198"/>
      <c r="GA40" s="199"/>
      <c r="GB40" s="197"/>
      <c r="GC40" s="198"/>
      <c r="GD40" s="198"/>
      <c r="GE40" s="198"/>
      <c r="GF40" s="198"/>
      <c r="GG40" s="198"/>
      <c r="GH40" s="199"/>
      <c r="GI40" s="197"/>
      <c r="GJ40" s="198"/>
      <c r="GK40" s="198"/>
      <c r="GL40" s="198"/>
      <c r="GM40" s="198"/>
      <c r="GN40" s="198"/>
      <c r="GO40" s="199"/>
      <c r="GP40" s="197"/>
      <c r="GQ40" s="198"/>
      <c r="GR40" s="198"/>
      <c r="GS40" s="198"/>
      <c r="GT40" s="198"/>
      <c r="GU40" s="198"/>
      <c r="GV40" s="199"/>
      <c r="GW40" s="197"/>
      <c r="GX40" s="198"/>
      <c r="GY40" s="198"/>
      <c r="GZ40" s="198"/>
      <c r="HA40" s="198"/>
      <c r="HB40" s="198"/>
      <c r="HC40" s="199"/>
      <c r="HD40" s="197"/>
      <c r="HE40" s="198"/>
      <c r="HF40" s="198"/>
      <c r="HG40" s="198"/>
      <c r="HH40" s="198"/>
      <c r="HI40" s="198"/>
      <c r="HJ40" s="199"/>
      <c r="HK40" s="197"/>
      <c r="HL40" s="198"/>
      <c r="HM40" s="198"/>
      <c r="HN40" s="198"/>
      <c r="HO40" s="198"/>
      <c r="HP40" s="198"/>
      <c r="HQ40" s="198"/>
      <c r="HR40" s="197"/>
      <c r="HT40" s="198"/>
      <c r="HU40" s="198"/>
      <c r="HV40" s="198"/>
      <c r="HW40" s="198"/>
      <c r="HX40" s="198"/>
    </row>
    <row r="41" spans="1:233">
      <c r="A41" s="202" t="s">
        <v>500</v>
      </c>
      <c r="B41" s="203"/>
      <c r="C41" s="204"/>
      <c r="D41" s="204"/>
      <c r="E41" s="204"/>
      <c r="F41" s="204"/>
      <c r="G41" s="204"/>
      <c r="H41" s="205"/>
      <c r="I41" s="203"/>
      <c r="J41" s="204"/>
      <c r="K41" s="204"/>
      <c r="L41" s="204"/>
      <c r="M41" s="204"/>
      <c r="N41" s="204"/>
      <c r="O41" s="205"/>
      <c r="P41" s="204"/>
      <c r="Q41" s="204"/>
      <c r="R41" s="204"/>
      <c r="S41" s="204"/>
      <c r="T41" s="204"/>
      <c r="U41" s="204"/>
      <c r="V41" s="205"/>
      <c r="W41" s="204">
        <v>1235.6489999999999</v>
      </c>
      <c r="X41" s="204">
        <v>173.53200000000001</v>
      </c>
      <c r="Y41" s="204">
        <v>317.166</v>
      </c>
      <c r="Z41" s="204">
        <v>49.057000000000002</v>
      </c>
      <c r="AA41" s="204">
        <v>283.3</v>
      </c>
      <c r="AB41" s="204"/>
      <c r="AC41" s="205">
        <f t="shared" si="0"/>
        <v>412.59399999999999</v>
      </c>
      <c r="AD41" s="204">
        <f>[1]datos!$S173</f>
        <v>315.197</v>
      </c>
      <c r="AE41" s="204">
        <v>17.239999999999998</v>
      </c>
      <c r="AF41" s="204">
        <v>83.24199999999999</v>
      </c>
      <c r="AG41" s="204">
        <v>67.179000000000002</v>
      </c>
      <c r="AH41" s="204">
        <v>43.704000000000001</v>
      </c>
      <c r="AI41" s="204">
        <f>[1]datos!$U173</f>
        <v>34.228999999999999</v>
      </c>
      <c r="AJ41" s="204">
        <f>AD41-AE41-AF41-AG41-AH41-AI41</f>
        <v>69.602999999999994</v>
      </c>
      <c r="AK41" s="203"/>
      <c r="AL41" s="204"/>
      <c r="AM41" s="204"/>
      <c r="AN41" s="204"/>
      <c r="AO41" s="204"/>
      <c r="AP41" s="204"/>
      <c r="AQ41" s="205"/>
      <c r="AR41" s="204">
        <v>6.0915582236870431</v>
      </c>
      <c r="AS41" s="204">
        <v>1.2423522627723356</v>
      </c>
      <c r="AT41" s="204">
        <v>0.34403286013325152</v>
      </c>
      <c r="AU41" s="204">
        <v>1.6916562846113103</v>
      </c>
      <c r="AV41" s="204">
        <v>0.1227423687192537</v>
      </c>
      <c r="AW41" s="204"/>
      <c r="AX41" s="204">
        <v>2.6907744474508926</v>
      </c>
      <c r="AY41" s="203"/>
      <c r="AZ41" s="204"/>
      <c r="BA41" s="204"/>
      <c r="BB41" s="204"/>
      <c r="BC41" s="204"/>
      <c r="BD41" s="204"/>
      <c r="BE41" s="204"/>
      <c r="BF41" s="203"/>
      <c r="BG41" s="204"/>
      <c r="BH41" s="204"/>
      <c r="BI41" s="204"/>
      <c r="BJ41" s="204"/>
      <c r="BK41" s="204"/>
      <c r="BL41" s="204"/>
      <c r="BM41" s="203"/>
      <c r="BN41" s="204"/>
      <c r="BO41" s="204"/>
      <c r="BP41" s="204"/>
      <c r="BQ41" s="204"/>
      <c r="BR41" s="204"/>
      <c r="BS41" s="204"/>
      <c r="BT41" s="203"/>
      <c r="BU41" s="204"/>
      <c r="BV41" s="204"/>
      <c r="BW41" s="204"/>
      <c r="BX41" s="204"/>
      <c r="BY41" s="204"/>
      <c r="BZ41" s="204"/>
      <c r="CA41" s="203"/>
      <c r="CB41" s="204"/>
      <c r="CC41" s="204"/>
      <c r="CD41" s="204"/>
      <c r="CE41" s="204"/>
      <c r="CF41" s="204"/>
      <c r="CG41" s="204"/>
      <c r="CH41" s="203"/>
      <c r="CI41" s="204"/>
      <c r="CJ41" s="204"/>
      <c r="CK41" s="204"/>
      <c r="CL41" s="204"/>
      <c r="CM41" s="204"/>
      <c r="CN41" s="204"/>
      <c r="CO41" s="203"/>
      <c r="CP41" s="204"/>
      <c r="CQ41" s="204"/>
      <c r="CR41" s="204"/>
      <c r="CS41" s="204"/>
      <c r="CT41" s="204"/>
      <c r="CU41" s="204"/>
      <c r="CV41" s="203"/>
      <c r="CW41" s="204"/>
      <c r="CX41" s="204"/>
      <c r="CY41" s="204"/>
      <c r="CZ41" s="204"/>
      <c r="DA41" s="204"/>
      <c r="DB41" s="204"/>
      <c r="DC41" s="203"/>
      <c r="DD41" s="204"/>
      <c r="DE41" s="204"/>
      <c r="DF41" s="204"/>
      <c r="DG41" s="204"/>
      <c r="DH41" s="204"/>
      <c r="DI41" s="204"/>
      <c r="DJ41" s="203"/>
      <c r="DK41" s="204"/>
      <c r="DL41" s="204"/>
      <c r="DM41" s="204"/>
      <c r="DN41" s="204"/>
      <c r="DO41" s="204"/>
      <c r="DP41" s="204"/>
      <c r="DQ41" s="203"/>
      <c r="DR41" s="204"/>
      <c r="DS41" s="204"/>
      <c r="DT41" s="204"/>
      <c r="DU41" s="204"/>
      <c r="DV41" s="204"/>
      <c r="DW41" s="204"/>
      <c r="DX41" s="203"/>
      <c r="DY41" s="204"/>
      <c r="DZ41" s="204"/>
      <c r="EA41" s="204"/>
      <c r="EB41" s="204"/>
      <c r="EC41" s="204"/>
      <c r="ED41" s="204"/>
      <c r="EE41" s="203">
        <v>8997.2060000000001</v>
      </c>
      <c r="EF41" s="204">
        <v>1535.68</v>
      </c>
      <c r="EG41" s="204">
        <v>1194.3789999999999</v>
      </c>
      <c r="EH41" s="204">
        <v>2060.5819999999999</v>
      </c>
      <c r="EI41" s="204">
        <v>558.00800000000004</v>
      </c>
      <c r="EJ41" s="204"/>
      <c r="EK41" s="205">
        <f>EE41-EF41-EG41-EH41-EI41</f>
        <v>3648.5570000000007</v>
      </c>
      <c r="EL41" s="204"/>
      <c r="EM41" s="204"/>
      <c r="EN41" s="204"/>
      <c r="EO41" s="204"/>
      <c r="EP41" s="204"/>
      <c r="EQ41" s="204"/>
      <c r="ER41" s="205"/>
      <c r="ES41" s="204"/>
      <c r="ET41" s="204"/>
      <c r="EU41" s="204"/>
      <c r="EV41" s="204"/>
      <c r="EW41" s="204"/>
      <c r="EX41" s="204"/>
      <c r="EY41" s="205"/>
      <c r="EZ41" s="204"/>
      <c r="FA41" s="204"/>
      <c r="FB41" s="204"/>
      <c r="FC41" s="204"/>
      <c r="FD41" s="204"/>
      <c r="FE41" s="204"/>
      <c r="FF41" s="204"/>
      <c r="FG41" s="203"/>
      <c r="FH41" s="204"/>
      <c r="FI41" s="204"/>
      <c r="FJ41" s="204"/>
      <c r="FK41" s="204"/>
      <c r="FL41" s="204"/>
      <c r="FM41" s="204"/>
      <c r="FN41" s="203"/>
      <c r="FO41" s="204"/>
      <c r="FP41" s="204"/>
      <c r="FQ41" s="204"/>
      <c r="FR41" s="204"/>
      <c r="FS41" s="204"/>
      <c r="FT41" s="205"/>
      <c r="FU41" s="203"/>
      <c r="FV41" s="204"/>
      <c r="FW41" s="204"/>
      <c r="FX41" s="204"/>
      <c r="FY41" s="204"/>
      <c r="FZ41" s="204"/>
      <c r="GA41" s="205"/>
      <c r="GB41" s="203"/>
      <c r="GC41" s="204"/>
      <c r="GD41" s="204"/>
      <c r="GE41" s="204"/>
      <c r="GF41" s="204"/>
      <c r="GG41" s="204"/>
      <c r="GH41" s="205"/>
      <c r="GI41" s="203"/>
      <c r="GJ41" s="204"/>
      <c r="GK41" s="204"/>
      <c r="GL41" s="204"/>
      <c r="GM41" s="204"/>
      <c r="GN41" s="204"/>
      <c r="GO41" s="205"/>
      <c r="GP41" s="203"/>
      <c r="GQ41" s="204"/>
      <c r="GR41" s="204"/>
      <c r="GS41" s="204"/>
      <c r="GT41" s="204"/>
      <c r="GU41" s="204"/>
      <c r="GV41" s="205"/>
      <c r="GW41" s="203"/>
      <c r="GX41" s="204"/>
      <c r="GY41" s="204"/>
      <c r="GZ41" s="204"/>
      <c r="HA41" s="204"/>
      <c r="HB41" s="204"/>
      <c r="HC41" s="205"/>
      <c r="HD41" s="203"/>
      <c r="HE41" s="204"/>
      <c r="HF41" s="204"/>
      <c r="HG41" s="204"/>
      <c r="HH41" s="204"/>
      <c r="HI41" s="204"/>
      <c r="HJ41" s="205"/>
      <c r="HK41" s="203"/>
      <c r="HL41" s="204"/>
      <c r="HM41" s="204"/>
      <c r="HN41" s="204"/>
      <c r="HO41" s="204"/>
      <c r="HP41" s="204"/>
      <c r="HQ41" s="204"/>
      <c r="HR41" s="197"/>
      <c r="HS41" s="206"/>
      <c r="HT41" s="204"/>
      <c r="HU41" s="204"/>
      <c r="HV41" s="204"/>
      <c r="HW41" s="204"/>
      <c r="HX41" s="204"/>
      <c r="HY41" s="198"/>
    </row>
    <row r="42" spans="1:233">
      <c r="A42" s="185" t="s">
        <v>658</v>
      </c>
      <c r="B42" s="197"/>
      <c r="C42" s="198"/>
      <c r="D42" s="198"/>
      <c r="E42" s="198"/>
      <c r="F42" s="198"/>
      <c r="G42" s="198"/>
      <c r="H42" s="199"/>
      <c r="I42" s="197"/>
      <c r="J42" s="198"/>
      <c r="K42" s="198"/>
      <c r="L42" s="198"/>
      <c r="M42" s="198"/>
      <c r="N42" s="198"/>
      <c r="O42" s="199"/>
      <c r="P42" s="198"/>
      <c r="Q42" s="198"/>
      <c r="R42" s="198"/>
      <c r="S42" s="198"/>
      <c r="T42" s="198"/>
      <c r="U42" s="198"/>
      <c r="V42" s="199"/>
      <c r="W42" s="198">
        <v>1251.6759999999999</v>
      </c>
      <c r="X42" s="198">
        <v>178.83500000000001</v>
      </c>
      <c r="Y42" s="198">
        <v>307.44200000000001</v>
      </c>
      <c r="Z42" s="198">
        <v>54.112000000000002</v>
      </c>
      <c r="AA42" s="198">
        <v>278.30700000000002</v>
      </c>
      <c r="AB42" s="198"/>
      <c r="AC42" s="199">
        <f t="shared" si="0"/>
        <v>432.9799999999999</v>
      </c>
      <c r="AD42" s="198"/>
      <c r="AE42" s="198">
        <v>20.893000000000001</v>
      </c>
      <c r="AF42" s="198">
        <v>81.097999999999999</v>
      </c>
      <c r="AG42" s="198">
        <v>66.59899999999999</v>
      </c>
      <c r="AH42" s="198">
        <v>45.677999999999997</v>
      </c>
      <c r="AI42" s="198"/>
      <c r="AJ42" s="198"/>
      <c r="AK42" s="197"/>
      <c r="AL42" s="198"/>
      <c r="AM42" s="198"/>
      <c r="AN42" s="198"/>
      <c r="AO42" s="198"/>
      <c r="AP42" s="198"/>
      <c r="AQ42" s="199"/>
      <c r="AR42" s="198">
        <v>7.263014541716438</v>
      </c>
      <c r="AS42" s="198">
        <v>1.4727051818382606</v>
      </c>
      <c r="AT42" s="198">
        <v>0.38524290546347295</v>
      </c>
      <c r="AU42" s="198">
        <v>2.0399334172514911</v>
      </c>
      <c r="AV42" s="198">
        <v>0.14998138047550771</v>
      </c>
      <c r="AW42" s="198"/>
      <c r="AX42" s="198">
        <v>3.2151516566877052</v>
      </c>
      <c r="AY42" s="197"/>
      <c r="AZ42" s="198"/>
      <c r="BA42" s="198"/>
      <c r="BB42" s="198"/>
      <c r="BC42" s="198"/>
      <c r="BD42" s="198"/>
      <c r="BE42" s="198"/>
      <c r="BF42" s="197"/>
      <c r="BG42" s="198"/>
      <c r="BH42" s="198"/>
      <c r="BI42" s="198"/>
      <c r="BJ42" s="198"/>
      <c r="BK42" s="198"/>
      <c r="BL42" s="198"/>
      <c r="BM42" s="197"/>
      <c r="BN42" s="198"/>
      <c r="BO42" s="198"/>
      <c r="BP42" s="198"/>
      <c r="BQ42" s="198"/>
      <c r="BR42" s="198"/>
      <c r="BS42" s="198"/>
      <c r="BT42" s="197"/>
      <c r="BU42" s="198"/>
      <c r="BV42" s="198"/>
      <c r="BW42" s="198"/>
      <c r="BX42" s="198"/>
      <c r="BY42" s="198"/>
      <c r="BZ42" s="198"/>
      <c r="CA42" s="197"/>
      <c r="CB42" s="198"/>
      <c r="CC42" s="198"/>
      <c r="CD42" s="198"/>
      <c r="CE42" s="198"/>
      <c r="CF42" s="198"/>
      <c r="CG42" s="198"/>
      <c r="CH42" s="197"/>
      <c r="CI42" s="198"/>
      <c r="CJ42" s="198"/>
      <c r="CK42" s="198"/>
      <c r="CL42" s="198"/>
      <c r="CM42" s="198"/>
      <c r="CN42" s="198"/>
      <c r="CO42" s="197"/>
      <c r="CP42" s="198"/>
      <c r="CQ42" s="198"/>
      <c r="CR42" s="198"/>
      <c r="CS42" s="198"/>
      <c r="CT42" s="198"/>
      <c r="CU42" s="198"/>
      <c r="CV42" s="197"/>
      <c r="CW42" s="198"/>
      <c r="CX42" s="198"/>
      <c r="CY42" s="198"/>
      <c r="CZ42" s="198"/>
      <c r="DA42" s="198"/>
      <c r="DB42" s="198"/>
      <c r="DC42" s="197"/>
      <c r="DD42" s="198"/>
      <c r="DE42" s="198"/>
      <c r="DF42" s="198"/>
      <c r="DG42" s="198"/>
      <c r="DH42" s="198"/>
      <c r="DI42" s="198"/>
      <c r="DJ42" s="197"/>
      <c r="DK42" s="198"/>
      <c r="DL42" s="198"/>
      <c r="DM42" s="198"/>
      <c r="DN42" s="198"/>
      <c r="DO42" s="198"/>
      <c r="DP42" s="198"/>
      <c r="DQ42" s="197"/>
      <c r="DR42" s="198"/>
      <c r="DS42" s="198"/>
      <c r="DT42" s="198"/>
      <c r="DU42" s="198"/>
      <c r="DV42" s="198"/>
      <c r="DW42" s="198"/>
      <c r="DX42" s="197"/>
      <c r="DY42" s="198"/>
      <c r="DZ42" s="198"/>
      <c r="EA42" s="198"/>
      <c r="EB42" s="198"/>
      <c r="EC42" s="198"/>
      <c r="ED42" s="198"/>
      <c r="EE42" s="197"/>
      <c r="EF42" s="198"/>
      <c r="EG42" s="198"/>
      <c r="EH42" s="198"/>
      <c r="EI42" s="198"/>
      <c r="EJ42" s="198"/>
      <c r="EK42" s="199"/>
      <c r="EL42" s="198"/>
      <c r="EM42" s="198"/>
      <c r="EN42" s="198"/>
      <c r="EO42" s="198"/>
      <c r="EP42" s="198"/>
      <c r="EQ42" s="198"/>
      <c r="ER42" s="199"/>
      <c r="ES42" s="198"/>
      <c r="ET42" s="198"/>
      <c r="EU42" s="198"/>
      <c r="EV42" s="198"/>
      <c r="EW42" s="198"/>
      <c r="EX42" s="198"/>
      <c r="EY42" s="199"/>
      <c r="EZ42" s="198"/>
      <c r="FA42" s="198"/>
      <c r="FB42" s="198"/>
      <c r="FC42" s="198"/>
      <c r="FD42" s="198"/>
      <c r="FE42" s="198"/>
      <c r="FF42" s="198"/>
      <c r="FG42" s="197"/>
      <c r="FH42" s="198"/>
      <c r="FI42" s="198"/>
      <c r="FJ42" s="198"/>
      <c r="FK42" s="198"/>
      <c r="FL42" s="198"/>
      <c r="FM42" s="198"/>
      <c r="FN42" s="197"/>
      <c r="FO42" s="198"/>
      <c r="FP42" s="198"/>
      <c r="FQ42" s="198"/>
      <c r="FR42" s="198"/>
      <c r="FS42" s="198"/>
      <c r="FT42" s="199"/>
      <c r="FU42" s="197"/>
      <c r="FV42" s="198"/>
      <c r="FW42" s="198"/>
      <c r="FX42" s="198"/>
      <c r="FY42" s="198"/>
      <c r="FZ42" s="198"/>
      <c r="GA42" s="199"/>
      <c r="GB42" s="197"/>
      <c r="GC42" s="198"/>
      <c r="GD42" s="198"/>
      <c r="GE42" s="198"/>
      <c r="GF42" s="198"/>
      <c r="GG42" s="198"/>
      <c r="GH42" s="199"/>
      <c r="GI42" s="197"/>
      <c r="GJ42" s="198"/>
      <c r="GK42" s="198"/>
      <c r="GL42" s="198"/>
      <c r="GM42" s="198"/>
      <c r="GN42" s="198"/>
      <c r="GO42" s="199"/>
      <c r="GP42" s="197"/>
      <c r="GQ42" s="198"/>
      <c r="GR42" s="198"/>
      <c r="GS42" s="198"/>
      <c r="GT42" s="198"/>
      <c r="GU42" s="198"/>
      <c r="GV42" s="199"/>
      <c r="GW42" s="197"/>
      <c r="GX42" s="198"/>
      <c r="GY42" s="198"/>
      <c r="GZ42" s="198"/>
      <c r="HA42" s="198"/>
      <c r="HB42" s="198"/>
      <c r="HC42" s="199"/>
      <c r="HD42" s="197"/>
      <c r="HE42" s="198"/>
      <c r="HF42" s="198"/>
      <c r="HG42" s="198"/>
      <c r="HH42" s="198"/>
      <c r="HI42" s="198"/>
      <c r="HJ42" s="199"/>
      <c r="HK42" s="197"/>
      <c r="HL42" s="198"/>
      <c r="HM42" s="198"/>
      <c r="HN42" s="198"/>
      <c r="HO42" s="198"/>
      <c r="HP42" s="198"/>
      <c r="HQ42" s="198"/>
      <c r="HR42" s="197"/>
      <c r="HT42" s="201"/>
      <c r="HU42" s="201"/>
      <c r="HV42" s="201"/>
      <c r="HW42" s="201"/>
      <c r="HX42" s="198"/>
    </row>
    <row r="43" spans="1:233">
      <c r="A43" s="185" t="s">
        <v>490</v>
      </c>
      <c r="B43" s="197"/>
      <c r="C43" s="198"/>
      <c r="D43" s="198"/>
      <c r="E43" s="198"/>
      <c r="F43" s="198"/>
      <c r="G43" s="198"/>
      <c r="H43" s="199"/>
      <c r="I43" s="197"/>
      <c r="J43" s="198"/>
      <c r="K43" s="198"/>
      <c r="L43" s="198"/>
      <c r="M43" s="198"/>
      <c r="N43" s="198"/>
      <c r="O43" s="199"/>
      <c r="P43" s="198"/>
      <c r="Q43" s="198"/>
      <c r="R43" s="198"/>
      <c r="S43" s="198"/>
      <c r="T43" s="198"/>
      <c r="U43" s="198"/>
      <c r="V43" s="199"/>
      <c r="W43" s="198">
        <v>1252.17</v>
      </c>
      <c r="X43" s="198">
        <v>172.59299999999999</v>
      </c>
      <c r="Y43" s="198">
        <v>310.65499999999997</v>
      </c>
      <c r="Z43" s="198">
        <v>55.418999999999997</v>
      </c>
      <c r="AA43" s="198">
        <v>279.32600000000002</v>
      </c>
      <c r="AB43" s="198"/>
      <c r="AC43" s="199">
        <f t="shared" si="0"/>
        <v>434.17700000000002</v>
      </c>
      <c r="AD43" s="198"/>
      <c r="AE43" s="198">
        <v>26.128</v>
      </c>
      <c r="AF43" s="198">
        <v>78.542999999999992</v>
      </c>
      <c r="AG43" s="198">
        <v>67.88</v>
      </c>
      <c r="AH43" s="198">
        <v>44.82</v>
      </c>
      <c r="AI43" s="198"/>
      <c r="AJ43" s="198"/>
      <c r="AK43" s="197"/>
      <c r="AL43" s="198"/>
      <c r="AM43" s="198"/>
      <c r="AN43" s="198"/>
      <c r="AO43" s="198"/>
      <c r="AP43" s="198"/>
      <c r="AQ43" s="199"/>
      <c r="AR43" s="198">
        <v>7.9773081159581283</v>
      </c>
      <c r="AS43" s="198">
        <v>1.6259838052575772</v>
      </c>
      <c r="AT43" s="198">
        <v>0.4263813036252197</v>
      </c>
      <c r="AU43" s="198">
        <v>2.2101330190654327</v>
      </c>
      <c r="AV43" s="198">
        <v>0.16603691595749323</v>
      </c>
      <c r="AW43" s="198"/>
      <c r="AX43" s="198">
        <v>3.5487730720524056</v>
      </c>
      <c r="AY43" s="197"/>
      <c r="AZ43" s="198"/>
      <c r="BA43" s="198"/>
      <c r="BB43" s="198"/>
      <c r="BC43" s="198"/>
      <c r="BD43" s="198"/>
      <c r="BE43" s="198"/>
      <c r="BF43" s="197"/>
      <c r="BG43" s="198"/>
      <c r="BH43" s="198"/>
      <c r="BI43" s="198"/>
      <c r="BJ43" s="198"/>
      <c r="BK43" s="198"/>
      <c r="BL43" s="198"/>
      <c r="BM43" s="197"/>
      <c r="BN43" s="198"/>
      <c r="BO43" s="198"/>
      <c r="BP43" s="198"/>
      <c r="BQ43" s="198"/>
      <c r="BR43" s="198"/>
      <c r="BS43" s="198"/>
      <c r="BT43" s="197"/>
      <c r="BU43" s="198"/>
      <c r="BV43" s="198"/>
      <c r="BW43" s="198"/>
      <c r="BX43" s="198"/>
      <c r="BY43" s="198"/>
      <c r="BZ43" s="198"/>
      <c r="CA43" s="197"/>
      <c r="CB43" s="198"/>
      <c r="CC43" s="198"/>
      <c r="CD43" s="198"/>
      <c r="CE43" s="198"/>
      <c r="CF43" s="198"/>
      <c r="CG43" s="198"/>
      <c r="CH43" s="197"/>
      <c r="CI43" s="198"/>
      <c r="CJ43" s="198"/>
      <c r="CK43" s="198"/>
      <c r="CL43" s="198"/>
      <c r="CM43" s="198"/>
      <c r="CN43" s="198"/>
      <c r="CO43" s="197"/>
      <c r="CP43" s="198"/>
      <c r="CQ43" s="198"/>
      <c r="CR43" s="198"/>
      <c r="CS43" s="198"/>
      <c r="CT43" s="198"/>
      <c r="CU43" s="198"/>
      <c r="CV43" s="197"/>
      <c r="CW43" s="198"/>
      <c r="CX43" s="198"/>
      <c r="CY43" s="198"/>
      <c r="CZ43" s="198"/>
      <c r="DA43" s="198"/>
      <c r="DB43" s="198"/>
      <c r="DC43" s="197"/>
      <c r="DD43" s="198"/>
      <c r="DE43" s="198"/>
      <c r="DF43" s="198"/>
      <c r="DG43" s="198"/>
      <c r="DH43" s="198"/>
      <c r="DI43" s="198"/>
      <c r="DJ43" s="197"/>
      <c r="DK43" s="198"/>
      <c r="DL43" s="198"/>
      <c r="DM43" s="198"/>
      <c r="DN43" s="198"/>
      <c r="DO43" s="198"/>
      <c r="DP43" s="198"/>
      <c r="DQ43" s="197"/>
      <c r="DR43" s="198"/>
      <c r="DS43" s="198"/>
      <c r="DT43" s="198"/>
      <c r="DU43" s="198"/>
      <c r="DV43" s="198"/>
      <c r="DW43" s="198"/>
      <c r="DX43" s="197"/>
      <c r="DY43" s="198"/>
      <c r="DZ43" s="198"/>
      <c r="EA43" s="198"/>
      <c r="EB43" s="198"/>
      <c r="EC43" s="198"/>
      <c r="ED43" s="198"/>
      <c r="EE43" s="197"/>
      <c r="EF43" s="198"/>
      <c r="EG43" s="198"/>
      <c r="EH43" s="198"/>
      <c r="EI43" s="198"/>
      <c r="EJ43" s="198"/>
      <c r="EK43" s="199"/>
      <c r="EL43" s="197"/>
      <c r="EM43" s="198"/>
      <c r="EN43" s="198"/>
      <c r="EO43" s="198"/>
      <c r="EP43" s="198"/>
      <c r="EQ43" s="198"/>
      <c r="ER43" s="199"/>
      <c r="ES43" s="197"/>
      <c r="ET43" s="198"/>
      <c r="EU43" s="198"/>
      <c r="EV43" s="198"/>
      <c r="EW43" s="198"/>
      <c r="EX43" s="198"/>
      <c r="EY43" s="199"/>
      <c r="EZ43" s="198"/>
      <c r="FA43" s="198"/>
      <c r="FB43" s="198"/>
      <c r="FC43" s="198"/>
      <c r="FD43" s="198"/>
      <c r="FE43" s="198"/>
      <c r="FF43" s="198"/>
      <c r="FG43" s="197"/>
      <c r="FH43" s="198"/>
      <c r="FI43" s="198"/>
      <c r="FJ43" s="198"/>
      <c r="FK43" s="198"/>
      <c r="FL43" s="198"/>
      <c r="FM43" s="198"/>
      <c r="FN43" s="197"/>
      <c r="FO43" s="198"/>
      <c r="FP43" s="198"/>
      <c r="FQ43" s="198"/>
      <c r="FR43" s="198"/>
      <c r="FS43" s="198"/>
      <c r="FT43" s="199"/>
      <c r="FU43" s="197"/>
      <c r="FV43" s="198"/>
      <c r="FW43" s="198"/>
      <c r="FX43" s="198"/>
      <c r="FY43" s="198"/>
      <c r="FZ43" s="198"/>
      <c r="GA43" s="199"/>
      <c r="GB43" s="197"/>
      <c r="GC43" s="198"/>
      <c r="GD43" s="198"/>
      <c r="GE43" s="198"/>
      <c r="GF43" s="198"/>
      <c r="GG43" s="198"/>
      <c r="GH43" s="199"/>
      <c r="GI43" s="197"/>
      <c r="GJ43" s="198"/>
      <c r="GK43" s="198"/>
      <c r="GL43" s="198"/>
      <c r="GM43" s="198"/>
      <c r="GN43" s="198"/>
      <c r="GO43" s="199"/>
      <c r="GP43" s="197"/>
      <c r="GQ43" s="198"/>
      <c r="GR43" s="198"/>
      <c r="GS43" s="198"/>
      <c r="GT43" s="198"/>
      <c r="GU43" s="198"/>
      <c r="GV43" s="199"/>
      <c r="GW43" s="197"/>
      <c r="GX43" s="198"/>
      <c r="GY43" s="198"/>
      <c r="GZ43" s="198"/>
      <c r="HA43" s="198"/>
      <c r="HB43" s="198"/>
      <c r="HC43" s="199"/>
      <c r="HD43" s="197"/>
      <c r="HE43" s="198"/>
      <c r="HF43" s="198"/>
      <c r="HG43" s="198"/>
      <c r="HH43" s="198"/>
      <c r="HI43" s="198"/>
      <c r="HJ43" s="199"/>
      <c r="HK43" s="197"/>
      <c r="HL43" s="198"/>
      <c r="HM43" s="198"/>
      <c r="HN43" s="198"/>
      <c r="HO43" s="198"/>
      <c r="HP43" s="198"/>
      <c r="HQ43" s="198"/>
      <c r="HR43" s="197"/>
      <c r="HT43" s="198"/>
      <c r="HU43" s="198"/>
      <c r="HV43" s="198"/>
      <c r="HW43" s="198"/>
      <c r="HX43" s="198"/>
    </row>
    <row r="44" spans="1:233">
      <c r="A44" s="185" t="s">
        <v>491</v>
      </c>
      <c r="B44" s="197"/>
      <c r="C44" s="198"/>
      <c r="D44" s="198"/>
      <c r="E44" s="198"/>
      <c r="F44" s="198"/>
      <c r="G44" s="198"/>
      <c r="H44" s="199"/>
      <c r="I44" s="197"/>
      <c r="J44" s="198"/>
      <c r="K44" s="198"/>
      <c r="L44" s="198"/>
      <c r="M44" s="198"/>
      <c r="N44" s="198"/>
      <c r="O44" s="199"/>
      <c r="P44" s="198"/>
      <c r="Q44" s="198"/>
      <c r="R44" s="198"/>
      <c r="S44" s="198"/>
      <c r="T44" s="198"/>
      <c r="U44" s="198"/>
      <c r="V44" s="199"/>
      <c r="W44" s="198">
        <v>1270.5619999999999</v>
      </c>
      <c r="X44" s="198">
        <v>180.655</v>
      </c>
      <c r="Y44" s="198">
        <v>321.36699999999996</v>
      </c>
      <c r="Z44" s="198">
        <v>55.192999999999998</v>
      </c>
      <c r="AA44" s="198">
        <v>281.62</v>
      </c>
      <c r="AB44" s="198"/>
      <c r="AC44" s="199">
        <f t="shared" si="0"/>
        <v>431.72699999999998</v>
      </c>
      <c r="AD44" s="198">
        <f>[1]datos!$S176</f>
        <v>312.50200000000001</v>
      </c>
      <c r="AE44" s="198">
        <v>25.265000000000001</v>
      </c>
      <c r="AF44" s="198">
        <v>76.998999999999995</v>
      </c>
      <c r="AG44" s="198">
        <v>70.349999999999994</v>
      </c>
      <c r="AH44" s="198">
        <v>42.601999999999997</v>
      </c>
      <c r="AI44" s="198">
        <f>[1]datos!$U176</f>
        <v>32.390999999999998</v>
      </c>
      <c r="AJ44" s="198">
        <f>AD44-AE44-AF44-AG44-AH44-AI44</f>
        <v>64.895000000000039</v>
      </c>
      <c r="AK44" s="197"/>
      <c r="AL44" s="198"/>
      <c r="AM44" s="198"/>
      <c r="AN44" s="198"/>
      <c r="AO44" s="198"/>
      <c r="AP44" s="198"/>
      <c r="AQ44" s="199"/>
      <c r="AR44" s="198">
        <v>8.699271495932706</v>
      </c>
      <c r="AS44" s="198">
        <v>1.784069690669283</v>
      </c>
      <c r="AT44" s="198">
        <v>0.46716676218494896</v>
      </c>
      <c r="AU44" s="198">
        <v>2.3400335847881282</v>
      </c>
      <c r="AV44" s="198">
        <v>0.17803208133619705</v>
      </c>
      <c r="AW44" s="198"/>
      <c r="AX44" s="198">
        <v>3.9299693769541486</v>
      </c>
      <c r="AY44" s="197"/>
      <c r="AZ44" s="198"/>
      <c r="BA44" s="198"/>
      <c r="BB44" s="198"/>
      <c r="BC44" s="198"/>
      <c r="BD44" s="198"/>
      <c r="BE44" s="198"/>
      <c r="BF44" s="197"/>
      <c r="BG44" s="198"/>
      <c r="BH44" s="198"/>
      <c r="BI44" s="198"/>
      <c r="BJ44" s="198"/>
      <c r="BK44" s="198"/>
      <c r="BL44" s="198"/>
      <c r="BM44" s="197"/>
      <c r="BN44" s="198"/>
      <c r="BO44" s="198"/>
      <c r="BP44" s="198"/>
      <c r="BQ44" s="198"/>
      <c r="BR44" s="198"/>
      <c r="BS44" s="198"/>
      <c r="BT44" s="197"/>
      <c r="BU44" s="198"/>
      <c r="BV44" s="198"/>
      <c r="BW44" s="198"/>
      <c r="BX44" s="198"/>
      <c r="BY44" s="198"/>
      <c r="BZ44" s="198"/>
      <c r="CA44" s="197"/>
      <c r="CB44" s="198"/>
      <c r="CC44" s="198"/>
      <c r="CD44" s="198"/>
      <c r="CE44" s="198"/>
      <c r="CF44" s="198"/>
      <c r="CG44" s="198"/>
      <c r="CH44" s="197"/>
      <c r="CI44" s="198"/>
      <c r="CJ44" s="198"/>
      <c r="CK44" s="198"/>
      <c r="CL44" s="198"/>
      <c r="CM44" s="198"/>
      <c r="CN44" s="198"/>
      <c r="CO44" s="197"/>
      <c r="CP44" s="198"/>
      <c r="CQ44" s="198"/>
      <c r="CR44" s="198"/>
      <c r="CS44" s="198"/>
      <c r="CT44" s="198"/>
      <c r="CU44" s="198"/>
      <c r="CV44" s="197"/>
      <c r="CW44" s="198"/>
      <c r="CX44" s="198"/>
      <c r="CY44" s="198"/>
      <c r="CZ44" s="198"/>
      <c r="DA44" s="198"/>
      <c r="DB44" s="198"/>
      <c r="DC44" s="197"/>
      <c r="DD44" s="198"/>
      <c r="DE44" s="198"/>
      <c r="DF44" s="198"/>
      <c r="DG44" s="198"/>
      <c r="DH44" s="198"/>
      <c r="DI44" s="198"/>
      <c r="DJ44" s="197"/>
      <c r="DK44" s="198"/>
      <c r="DL44" s="198"/>
      <c r="DM44" s="198"/>
      <c r="DN44" s="198"/>
      <c r="DO44" s="198"/>
      <c r="DP44" s="198"/>
      <c r="DQ44" s="197"/>
      <c r="DR44" s="198"/>
      <c r="DS44" s="198"/>
      <c r="DT44" s="198"/>
      <c r="DU44" s="198"/>
      <c r="DV44" s="198"/>
      <c r="DW44" s="198"/>
      <c r="DX44" s="197"/>
      <c r="DY44" s="198"/>
      <c r="DZ44" s="198"/>
      <c r="EA44" s="198"/>
      <c r="EB44" s="198"/>
      <c r="EC44" s="198"/>
      <c r="ED44" s="198"/>
      <c r="EE44" s="197"/>
      <c r="EF44" s="198"/>
      <c r="EG44" s="198"/>
      <c r="EH44" s="198"/>
      <c r="EI44" s="198"/>
      <c r="EJ44" s="198"/>
      <c r="EK44" s="199"/>
      <c r="EL44" s="197"/>
      <c r="EM44" s="198"/>
      <c r="EN44" s="198"/>
      <c r="EO44" s="198"/>
      <c r="EP44" s="198"/>
      <c r="EQ44" s="198"/>
      <c r="ER44" s="199"/>
      <c r="ES44" s="197"/>
      <c r="ET44" s="198"/>
      <c r="EU44" s="198"/>
      <c r="EV44" s="198"/>
      <c r="EW44" s="198"/>
      <c r="EX44" s="198"/>
      <c r="EY44" s="199"/>
      <c r="EZ44" s="198"/>
      <c r="FA44" s="198"/>
      <c r="FB44" s="198"/>
      <c r="FC44" s="198"/>
      <c r="FD44" s="198"/>
      <c r="FE44" s="198"/>
      <c r="FF44" s="198"/>
      <c r="FG44" s="197"/>
      <c r="FH44" s="198"/>
      <c r="FI44" s="198"/>
      <c r="FJ44" s="198"/>
      <c r="FK44" s="198"/>
      <c r="FL44" s="198"/>
      <c r="FM44" s="198"/>
      <c r="FN44" s="197"/>
      <c r="FO44" s="198"/>
      <c r="FP44" s="198"/>
      <c r="FQ44" s="198"/>
      <c r="FR44" s="198"/>
      <c r="FS44" s="198"/>
      <c r="FT44" s="199"/>
      <c r="FU44" s="197"/>
      <c r="FV44" s="198"/>
      <c r="FW44" s="198"/>
      <c r="FX44" s="198"/>
      <c r="FY44" s="198"/>
      <c r="FZ44" s="198"/>
      <c r="GA44" s="199"/>
      <c r="GB44" s="197"/>
      <c r="GC44" s="198"/>
      <c r="GD44" s="198"/>
      <c r="GE44" s="198"/>
      <c r="GF44" s="198"/>
      <c r="GG44" s="198"/>
      <c r="GH44" s="199"/>
      <c r="GI44" s="197"/>
      <c r="GJ44" s="198"/>
      <c r="GK44" s="198"/>
      <c r="GL44" s="198"/>
      <c r="GM44" s="198"/>
      <c r="GN44" s="198"/>
      <c r="GO44" s="199"/>
      <c r="GP44" s="197"/>
      <c r="GQ44" s="198"/>
      <c r="GR44" s="198"/>
      <c r="GS44" s="198"/>
      <c r="GT44" s="198"/>
      <c r="GU44" s="198"/>
      <c r="GV44" s="199"/>
      <c r="GW44" s="197"/>
      <c r="GX44" s="198"/>
      <c r="GY44" s="198"/>
      <c r="GZ44" s="198"/>
      <c r="HA44" s="198"/>
      <c r="HB44" s="198"/>
      <c r="HC44" s="199"/>
      <c r="HD44" s="197"/>
      <c r="HE44" s="198"/>
      <c r="HF44" s="198"/>
      <c r="HG44" s="198"/>
      <c r="HH44" s="198"/>
      <c r="HI44" s="198"/>
      <c r="HJ44" s="199"/>
      <c r="HK44" s="197"/>
      <c r="HL44" s="198"/>
      <c r="HM44" s="198"/>
      <c r="HN44" s="198"/>
      <c r="HO44" s="198"/>
      <c r="HP44" s="198"/>
      <c r="HQ44" s="198"/>
      <c r="HR44" s="197"/>
      <c r="HT44" s="198"/>
      <c r="HU44" s="198"/>
      <c r="HV44" s="198"/>
      <c r="HW44" s="198"/>
      <c r="HX44" s="198"/>
    </row>
    <row r="45" spans="1:233">
      <c r="A45" s="185" t="s">
        <v>492</v>
      </c>
      <c r="B45" s="197"/>
      <c r="C45" s="198"/>
      <c r="D45" s="198"/>
      <c r="E45" s="198"/>
      <c r="F45" s="198"/>
      <c r="G45" s="198"/>
      <c r="H45" s="199"/>
      <c r="I45" s="197"/>
      <c r="J45" s="198"/>
      <c r="K45" s="198"/>
      <c r="L45" s="198"/>
      <c r="M45" s="198"/>
      <c r="N45" s="198"/>
      <c r="O45" s="199"/>
      <c r="P45" s="198"/>
      <c r="Q45" s="198"/>
      <c r="R45" s="198"/>
      <c r="S45" s="198"/>
      <c r="T45" s="198"/>
      <c r="U45" s="198"/>
      <c r="V45" s="199"/>
      <c r="W45" s="198">
        <v>1276.204</v>
      </c>
      <c r="X45" s="198">
        <v>189.09</v>
      </c>
      <c r="Y45" s="198">
        <v>320.02499999999998</v>
      </c>
      <c r="Z45" s="198">
        <v>46.856999999999999</v>
      </c>
      <c r="AA45" s="198">
        <v>284.411</v>
      </c>
      <c r="AB45" s="198"/>
      <c r="AC45" s="199">
        <f t="shared" si="0"/>
        <v>435.82100000000008</v>
      </c>
      <c r="AD45" s="198"/>
      <c r="AE45" s="198">
        <v>24.422000000000001</v>
      </c>
      <c r="AF45" s="198">
        <v>76.573999999999998</v>
      </c>
      <c r="AG45" s="198">
        <v>70.162999999999997</v>
      </c>
      <c r="AH45" s="198">
        <v>43.091999999999999</v>
      </c>
      <c r="AI45" s="198"/>
      <c r="AJ45" s="198"/>
      <c r="AK45" s="197"/>
      <c r="AL45" s="198"/>
      <c r="AM45" s="198"/>
      <c r="AN45" s="198"/>
      <c r="AO45" s="198"/>
      <c r="AP45" s="198"/>
      <c r="AQ45" s="199"/>
      <c r="AR45" s="198">
        <v>9.6291860168997641</v>
      </c>
      <c r="AS45" s="198">
        <v>2.0416352618770204</v>
      </c>
      <c r="AT45" s="198">
        <v>0.55100272503116599</v>
      </c>
      <c r="AU45" s="198">
        <v>2.4160824173106668</v>
      </c>
      <c r="AV45" s="198">
        <v>0.22062830725010568</v>
      </c>
      <c r="AW45" s="198"/>
      <c r="AX45" s="198">
        <v>4.3998373054308058</v>
      </c>
      <c r="AY45" s="197"/>
      <c r="AZ45" s="198"/>
      <c r="BA45" s="198"/>
      <c r="BB45" s="198"/>
      <c r="BC45" s="198"/>
      <c r="BD45" s="198"/>
      <c r="BE45" s="198"/>
      <c r="BF45" s="197"/>
      <c r="BG45" s="198"/>
      <c r="BH45" s="198"/>
      <c r="BI45" s="198"/>
      <c r="BJ45" s="198"/>
      <c r="BK45" s="198"/>
      <c r="BL45" s="198"/>
      <c r="BM45" s="197"/>
      <c r="BN45" s="198"/>
      <c r="BO45" s="198"/>
      <c r="BP45" s="198"/>
      <c r="BQ45" s="198"/>
      <c r="BR45" s="198"/>
      <c r="BS45" s="198"/>
      <c r="BT45" s="197"/>
      <c r="BU45" s="198"/>
      <c r="BV45" s="198"/>
      <c r="BW45" s="198"/>
      <c r="BX45" s="198"/>
      <c r="BY45" s="198"/>
      <c r="BZ45" s="198"/>
      <c r="CA45" s="197"/>
      <c r="CB45" s="198"/>
      <c r="CC45" s="198"/>
      <c r="CD45" s="198"/>
      <c r="CE45" s="198"/>
      <c r="CF45" s="198"/>
      <c r="CG45" s="198"/>
      <c r="CH45" s="197"/>
      <c r="CI45" s="198"/>
      <c r="CJ45" s="198"/>
      <c r="CK45" s="198"/>
      <c r="CL45" s="198"/>
      <c r="CM45" s="198"/>
      <c r="CN45" s="198"/>
      <c r="CO45" s="197"/>
      <c r="CP45" s="198"/>
      <c r="CQ45" s="198"/>
      <c r="CR45" s="198"/>
      <c r="CS45" s="198"/>
      <c r="CT45" s="198"/>
      <c r="CU45" s="198"/>
      <c r="CV45" s="197"/>
      <c r="CW45" s="198"/>
      <c r="CX45" s="198"/>
      <c r="CY45" s="198"/>
      <c r="CZ45" s="198"/>
      <c r="DA45" s="198"/>
      <c r="DB45" s="198"/>
      <c r="DC45" s="197"/>
      <c r="DD45" s="198"/>
      <c r="DE45" s="198"/>
      <c r="DF45" s="198"/>
      <c r="DG45" s="198"/>
      <c r="DH45" s="198"/>
      <c r="DI45" s="198"/>
      <c r="DJ45" s="197"/>
      <c r="DK45" s="198"/>
      <c r="DL45" s="198"/>
      <c r="DM45" s="198"/>
      <c r="DN45" s="198"/>
      <c r="DO45" s="198"/>
      <c r="DP45" s="198"/>
      <c r="DQ45" s="197"/>
      <c r="DR45" s="198"/>
      <c r="DS45" s="198"/>
      <c r="DT45" s="198"/>
      <c r="DU45" s="198"/>
      <c r="DV45" s="198"/>
      <c r="DW45" s="198"/>
      <c r="DX45" s="197"/>
      <c r="DY45" s="198"/>
      <c r="DZ45" s="198"/>
      <c r="EA45" s="198"/>
      <c r="EB45" s="198"/>
      <c r="EC45" s="198"/>
      <c r="ED45" s="198"/>
      <c r="EE45" s="197"/>
      <c r="EF45" s="198"/>
      <c r="EG45" s="198"/>
      <c r="EH45" s="198"/>
      <c r="EI45" s="198"/>
      <c r="EJ45" s="198"/>
      <c r="EK45" s="199"/>
      <c r="EL45" s="197"/>
      <c r="EM45" s="198"/>
      <c r="EN45" s="198"/>
      <c r="EO45" s="198"/>
      <c r="EP45" s="198"/>
      <c r="EQ45" s="198"/>
      <c r="ER45" s="199"/>
      <c r="ES45" s="197"/>
      <c r="ET45" s="198"/>
      <c r="EU45" s="198"/>
      <c r="EV45" s="198"/>
      <c r="EW45" s="198"/>
      <c r="EX45" s="198"/>
      <c r="EY45" s="199"/>
      <c r="EZ45" s="198"/>
      <c r="FA45" s="198"/>
      <c r="FB45" s="198"/>
      <c r="FC45" s="198"/>
      <c r="FD45" s="198"/>
      <c r="FE45" s="198"/>
      <c r="FF45" s="198"/>
      <c r="FG45" s="197"/>
      <c r="FH45" s="198"/>
      <c r="FI45" s="198"/>
      <c r="FJ45" s="198"/>
      <c r="FK45" s="198"/>
      <c r="FL45" s="198"/>
      <c r="FM45" s="198"/>
      <c r="FN45" s="197"/>
      <c r="FO45" s="198"/>
      <c r="FP45" s="198"/>
      <c r="FQ45" s="198"/>
      <c r="FR45" s="198"/>
      <c r="FS45" s="198"/>
      <c r="FT45" s="199"/>
      <c r="FU45" s="197"/>
      <c r="FV45" s="198"/>
      <c r="FW45" s="198"/>
      <c r="FX45" s="198"/>
      <c r="FY45" s="198"/>
      <c r="FZ45" s="198"/>
      <c r="GA45" s="199"/>
      <c r="GB45" s="197"/>
      <c r="GC45" s="198"/>
      <c r="GD45" s="198"/>
      <c r="GE45" s="198"/>
      <c r="GF45" s="198"/>
      <c r="GG45" s="198"/>
      <c r="GH45" s="199"/>
      <c r="GI45" s="197"/>
      <c r="GJ45" s="198"/>
      <c r="GK45" s="198"/>
      <c r="GL45" s="198"/>
      <c r="GM45" s="198"/>
      <c r="GN45" s="198"/>
      <c r="GO45" s="199"/>
      <c r="GP45" s="197"/>
      <c r="GQ45" s="198"/>
      <c r="GR45" s="198"/>
      <c r="GS45" s="198"/>
      <c r="GT45" s="198"/>
      <c r="GU45" s="198"/>
      <c r="GV45" s="199"/>
      <c r="GW45" s="197"/>
      <c r="GX45" s="198"/>
      <c r="GY45" s="198"/>
      <c r="GZ45" s="198"/>
      <c r="HA45" s="198"/>
      <c r="HB45" s="198"/>
      <c r="HC45" s="199"/>
      <c r="HD45" s="197"/>
      <c r="HE45" s="198"/>
      <c r="HF45" s="198"/>
      <c r="HG45" s="198"/>
      <c r="HH45" s="198"/>
      <c r="HI45" s="198"/>
      <c r="HJ45" s="199"/>
      <c r="HK45" s="197"/>
      <c r="HL45" s="198"/>
      <c r="HM45" s="198"/>
      <c r="HN45" s="198"/>
      <c r="HO45" s="198"/>
      <c r="HP45" s="198"/>
      <c r="HQ45" s="198"/>
      <c r="HR45" s="197"/>
      <c r="HT45" s="198"/>
      <c r="HU45" s="198"/>
      <c r="HV45" s="198"/>
      <c r="HW45" s="198"/>
      <c r="HX45" s="198"/>
    </row>
    <row r="46" spans="1:233">
      <c r="A46" s="185" t="s">
        <v>493</v>
      </c>
      <c r="B46" s="197"/>
      <c r="C46" s="198"/>
      <c r="D46" s="198"/>
      <c r="E46" s="198"/>
      <c r="F46" s="198"/>
      <c r="G46" s="198"/>
      <c r="H46" s="199"/>
      <c r="I46" s="197"/>
      <c r="J46" s="198"/>
      <c r="K46" s="198"/>
      <c r="L46" s="198"/>
      <c r="M46" s="198"/>
      <c r="N46" s="198"/>
      <c r="O46" s="199"/>
      <c r="P46" s="198"/>
      <c r="Q46" s="198"/>
      <c r="R46" s="198"/>
      <c r="S46" s="198"/>
      <c r="T46" s="198"/>
      <c r="U46" s="198"/>
      <c r="V46" s="199"/>
      <c r="W46" s="198">
        <v>1290.182</v>
      </c>
      <c r="X46" s="198">
        <v>186.643</v>
      </c>
      <c r="Y46" s="198">
        <v>328.58199999999999</v>
      </c>
      <c r="Z46" s="198">
        <v>47.884</v>
      </c>
      <c r="AA46" s="198">
        <v>288.81400000000002</v>
      </c>
      <c r="AB46" s="198"/>
      <c r="AC46" s="199">
        <f t="shared" si="0"/>
        <v>438.25899999999996</v>
      </c>
      <c r="AD46" s="198"/>
      <c r="AE46" s="198">
        <v>24.433</v>
      </c>
      <c r="AF46" s="198">
        <v>77.468999999999994</v>
      </c>
      <c r="AG46" s="198">
        <v>71.194000000000003</v>
      </c>
      <c r="AH46" s="198">
        <v>43.378</v>
      </c>
      <c r="AI46" s="198"/>
      <c r="AJ46" s="198"/>
      <c r="AK46" s="197"/>
      <c r="AL46" s="198"/>
      <c r="AM46" s="198"/>
      <c r="AN46" s="198"/>
      <c r="AO46" s="198"/>
      <c r="AP46" s="198"/>
      <c r="AQ46" s="199"/>
      <c r="AR46" s="198">
        <v>10.564051898262051</v>
      </c>
      <c r="AS46" s="198">
        <v>2.2278845834026328</v>
      </c>
      <c r="AT46" s="198">
        <v>0.65085824254317948</v>
      </c>
      <c r="AU46" s="198">
        <v>2.5786859028263835</v>
      </c>
      <c r="AV46" s="198">
        <v>0.25223706593647438</v>
      </c>
      <c r="AW46" s="198"/>
      <c r="AX46" s="198">
        <v>4.8543861035533808</v>
      </c>
      <c r="AY46" s="197"/>
      <c r="AZ46" s="198"/>
      <c r="BA46" s="198"/>
      <c r="BB46" s="198"/>
      <c r="BC46" s="198"/>
      <c r="BD46" s="198"/>
      <c r="BE46" s="198"/>
      <c r="BF46" s="197"/>
      <c r="BG46" s="198"/>
      <c r="BH46" s="198"/>
      <c r="BI46" s="198"/>
      <c r="BJ46" s="198"/>
      <c r="BK46" s="198"/>
      <c r="BL46" s="198"/>
      <c r="BM46" s="197"/>
      <c r="BN46" s="198"/>
      <c r="BO46" s="198"/>
      <c r="BP46" s="198"/>
      <c r="BQ46" s="198"/>
      <c r="BR46" s="198"/>
      <c r="BS46" s="198"/>
      <c r="BT46" s="197"/>
      <c r="BU46" s="198"/>
      <c r="BV46" s="198"/>
      <c r="BW46" s="198"/>
      <c r="BX46" s="198"/>
      <c r="BY46" s="198"/>
      <c r="BZ46" s="198"/>
      <c r="CA46" s="197"/>
      <c r="CB46" s="198"/>
      <c r="CC46" s="198"/>
      <c r="CD46" s="198"/>
      <c r="CE46" s="198"/>
      <c r="CF46" s="198"/>
      <c r="CG46" s="198"/>
      <c r="CH46" s="197"/>
      <c r="CI46" s="198"/>
      <c r="CJ46" s="198"/>
      <c r="CK46" s="198"/>
      <c r="CL46" s="198"/>
      <c r="CM46" s="198"/>
      <c r="CN46" s="198"/>
      <c r="CO46" s="197"/>
      <c r="CP46" s="198"/>
      <c r="CQ46" s="198"/>
      <c r="CR46" s="198"/>
      <c r="CS46" s="198"/>
      <c r="CT46" s="198"/>
      <c r="CU46" s="198"/>
      <c r="CV46" s="197"/>
      <c r="CW46" s="198"/>
      <c r="CX46" s="198"/>
      <c r="CY46" s="198"/>
      <c r="CZ46" s="198"/>
      <c r="DA46" s="198"/>
      <c r="DB46" s="198"/>
      <c r="DC46" s="197"/>
      <c r="DD46" s="198"/>
      <c r="DE46" s="198"/>
      <c r="DF46" s="198"/>
      <c r="DG46" s="198"/>
      <c r="DH46" s="198"/>
      <c r="DI46" s="198"/>
      <c r="DJ46" s="197"/>
      <c r="DK46" s="198"/>
      <c r="DL46" s="198"/>
      <c r="DM46" s="198"/>
      <c r="DN46" s="198"/>
      <c r="DO46" s="198"/>
      <c r="DP46" s="198"/>
      <c r="DQ46" s="197"/>
      <c r="DR46" s="198"/>
      <c r="DS46" s="198"/>
      <c r="DT46" s="198"/>
      <c r="DU46" s="198"/>
      <c r="DV46" s="198"/>
      <c r="DW46" s="198"/>
      <c r="DX46" s="197"/>
      <c r="DY46" s="198"/>
      <c r="DZ46" s="198"/>
      <c r="EA46" s="198"/>
      <c r="EB46" s="198"/>
      <c r="EC46" s="198"/>
      <c r="ED46" s="198"/>
      <c r="EE46" s="197"/>
      <c r="EF46" s="198"/>
      <c r="EG46" s="198"/>
      <c r="EH46" s="198"/>
      <c r="EI46" s="198"/>
      <c r="EJ46" s="198"/>
      <c r="EK46" s="199"/>
      <c r="EL46" s="197"/>
      <c r="EM46" s="198"/>
      <c r="EN46" s="198"/>
      <c r="EO46" s="198"/>
      <c r="EP46" s="198"/>
      <c r="EQ46" s="198"/>
      <c r="ER46" s="199"/>
      <c r="ES46" s="197"/>
      <c r="ET46" s="198"/>
      <c r="EU46" s="198"/>
      <c r="EV46" s="198"/>
      <c r="EW46" s="198"/>
      <c r="EX46" s="198"/>
      <c r="EY46" s="199"/>
      <c r="EZ46" s="198"/>
      <c r="FA46" s="198"/>
      <c r="FB46" s="198"/>
      <c r="FC46" s="198"/>
      <c r="FD46" s="198"/>
      <c r="FE46" s="198"/>
      <c r="FF46" s="198"/>
      <c r="FG46" s="197"/>
      <c r="FH46" s="198"/>
      <c r="FI46" s="198"/>
      <c r="FJ46" s="198"/>
      <c r="FK46" s="198"/>
      <c r="FL46" s="198"/>
      <c r="FM46" s="198"/>
      <c r="FN46" s="197"/>
      <c r="FO46" s="198"/>
      <c r="FP46" s="198"/>
      <c r="FQ46" s="198"/>
      <c r="FR46" s="198"/>
      <c r="FS46" s="198"/>
      <c r="FT46" s="199"/>
      <c r="FU46" s="197"/>
      <c r="FV46" s="198"/>
      <c r="FW46" s="198"/>
      <c r="FX46" s="198"/>
      <c r="FY46" s="198"/>
      <c r="FZ46" s="198"/>
      <c r="GA46" s="199"/>
      <c r="GB46" s="197"/>
      <c r="GC46" s="198"/>
      <c r="GD46" s="198"/>
      <c r="GE46" s="198"/>
      <c r="GF46" s="198"/>
      <c r="GG46" s="198"/>
      <c r="GH46" s="199"/>
      <c r="GI46" s="197"/>
      <c r="GJ46" s="198"/>
      <c r="GK46" s="198"/>
      <c r="GL46" s="198"/>
      <c r="GM46" s="198"/>
      <c r="GN46" s="198"/>
      <c r="GO46" s="199"/>
      <c r="GP46" s="197"/>
      <c r="GQ46" s="198"/>
      <c r="GR46" s="198"/>
      <c r="GS46" s="198"/>
      <c r="GT46" s="198"/>
      <c r="GU46" s="198"/>
      <c r="GV46" s="199"/>
      <c r="GW46" s="197"/>
      <c r="GX46" s="198"/>
      <c r="GY46" s="198"/>
      <c r="GZ46" s="198"/>
      <c r="HA46" s="198"/>
      <c r="HB46" s="198"/>
      <c r="HC46" s="199"/>
      <c r="HD46" s="197"/>
      <c r="HE46" s="198"/>
      <c r="HF46" s="198"/>
      <c r="HG46" s="198"/>
      <c r="HH46" s="198"/>
      <c r="HI46" s="198"/>
      <c r="HJ46" s="199"/>
      <c r="HK46" s="197"/>
      <c r="HL46" s="198"/>
      <c r="HM46" s="198"/>
      <c r="HN46" s="198"/>
      <c r="HO46" s="198"/>
      <c r="HP46" s="198"/>
      <c r="HQ46" s="198"/>
      <c r="HR46" s="197"/>
      <c r="HT46" s="198"/>
      <c r="HU46" s="198"/>
      <c r="HV46" s="198"/>
      <c r="HW46" s="198"/>
      <c r="HX46" s="198"/>
    </row>
    <row r="47" spans="1:233">
      <c r="A47" s="185" t="s">
        <v>494</v>
      </c>
      <c r="B47" s="197"/>
      <c r="C47" s="198"/>
      <c r="D47" s="198"/>
      <c r="E47" s="198"/>
      <c r="F47" s="198"/>
      <c r="G47" s="198"/>
      <c r="H47" s="199"/>
      <c r="I47" s="197"/>
      <c r="J47" s="198"/>
      <c r="K47" s="198"/>
      <c r="L47" s="198"/>
      <c r="M47" s="198"/>
      <c r="N47" s="198"/>
      <c r="O47" s="199"/>
      <c r="P47" s="198"/>
      <c r="Q47" s="198"/>
      <c r="R47" s="198"/>
      <c r="S47" s="198"/>
      <c r="T47" s="198"/>
      <c r="U47" s="198"/>
      <c r="V47" s="199"/>
      <c r="W47" s="198">
        <v>1314.6020000000001</v>
      </c>
      <c r="X47" s="198">
        <v>185.86600000000001</v>
      </c>
      <c r="Y47" s="198">
        <v>333.03</v>
      </c>
      <c r="Z47" s="198">
        <v>46.947000000000003</v>
      </c>
      <c r="AA47" s="198">
        <v>293.88499999999999</v>
      </c>
      <c r="AB47" s="198"/>
      <c r="AC47" s="199">
        <f t="shared" si="0"/>
        <v>454.87400000000014</v>
      </c>
      <c r="AD47" s="198">
        <f>[1]datos!$S179</f>
        <v>326.32799999999997</v>
      </c>
      <c r="AE47" s="198">
        <v>22.882999999999999</v>
      </c>
      <c r="AF47" s="198">
        <v>82.99</v>
      </c>
      <c r="AG47" s="198">
        <v>71.489000000000004</v>
      </c>
      <c r="AH47" s="198">
        <v>45.529000000000003</v>
      </c>
      <c r="AI47" s="198">
        <f>[1]datos!$U179</f>
        <v>32.420999999999999</v>
      </c>
      <c r="AJ47" s="198">
        <f>AD47-AE47-AF47-AG47-AH47-AI47</f>
        <v>71.015999999999991</v>
      </c>
      <c r="AK47" s="197"/>
      <c r="AL47" s="198"/>
      <c r="AM47" s="198"/>
      <c r="AN47" s="198"/>
      <c r="AO47" s="198"/>
      <c r="AP47" s="198"/>
      <c r="AQ47" s="199"/>
      <c r="AR47" s="198">
        <v>11.979665745557917</v>
      </c>
      <c r="AS47" s="198">
        <v>2.5388701534013829</v>
      </c>
      <c r="AT47" s="198">
        <v>0.76656701362253366</v>
      </c>
      <c r="AU47" s="198">
        <v>2.8331044970773873</v>
      </c>
      <c r="AV47" s="198">
        <v>0.30237554373072262</v>
      </c>
      <c r="AW47" s="198"/>
      <c r="AX47" s="198">
        <v>5.5387485377258887</v>
      </c>
      <c r="AY47" s="198"/>
      <c r="AZ47" s="198"/>
      <c r="BA47" s="198"/>
      <c r="BB47" s="198"/>
      <c r="BC47" s="198"/>
      <c r="BD47" s="198"/>
      <c r="BE47" s="198"/>
      <c r="BF47" s="198"/>
      <c r="BG47" s="198"/>
      <c r="BH47" s="198"/>
      <c r="BI47" s="198"/>
      <c r="BJ47" s="198"/>
      <c r="BK47" s="198"/>
      <c r="BL47" s="198"/>
      <c r="BM47" s="198"/>
      <c r="BN47" s="198"/>
      <c r="BO47" s="198"/>
      <c r="BP47" s="198"/>
      <c r="BQ47" s="198"/>
      <c r="BR47" s="198"/>
      <c r="BS47" s="198"/>
      <c r="BT47" s="197"/>
      <c r="BU47" s="198"/>
      <c r="BV47" s="198"/>
      <c r="BW47" s="198"/>
      <c r="BX47" s="198"/>
      <c r="BY47" s="198"/>
      <c r="BZ47" s="198"/>
      <c r="CA47" s="197"/>
      <c r="CB47" s="198"/>
      <c r="CC47" s="198"/>
      <c r="CD47" s="198"/>
      <c r="CE47" s="198"/>
      <c r="CF47" s="198"/>
      <c r="CG47" s="198"/>
      <c r="CH47" s="198"/>
      <c r="CI47" s="198"/>
      <c r="CJ47" s="198"/>
      <c r="CK47" s="198"/>
      <c r="CL47" s="198"/>
      <c r="CM47" s="198"/>
      <c r="CN47" s="198"/>
      <c r="CO47" s="198"/>
      <c r="CP47" s="198"/>
      <c r="CQ47" s="198"/>
      <c r="CR47" s="198"/>
      <c r="CS47" s="198"/>
      <c r="CT47" s="198"/>
      <c r="CU47" s="198"/>
      <c r="CV47" s="197"/>
      <c r="CW47" s="198"/>
      <c r="CX47" s="198"/>
      <c r="CY47" s="198"/>
      <c r="CZ47" s="198"/>
      <c r="DA47" s="198"/>
      <c r="DB47" s="198"/>
      <c r="DC47" s="198"/>
      <c r="DD47" s="198"/>
      <c r="DE47" s="198"/>
      <c r="DF47" s="198"/>
      <c r="DG47" s="198"/>
      <c r="DH47" s="198"/>
      <c r="DI47" s="198"/>
      <c r="DJ47" s="198"/>
      <c r="DK47" s="198"/>
      <c r="DL47" s="198"/>
      <c r="DM47" s="198"/>
      <c r="DN47" s="198"/>
      <c r="DO47" s="198"/>
      <c r="DP47" s="198"/>
      <c r="DQ47" s="198"/>
      <c r="DR47" s="198"/>
      <c r="DS47" s="198"/>
      <c r="DT47" s="198"/>
      <c r="DU47" s="198"/>
      <c r="DV47" s="198"/>
      <c r="DW47" s="198"/>
      <c r="DX47" s="198"/>
      <c r="DY47" s="198"/>
      <c r="DZ47" s="198"/>
      <c r="EA47" s="198"/>
      <c r="EB47" s="198"/>
      <c r="EC47" s="198"/>
      <c r="ED47" s="198"/>
      <c r="EE47" s="197"/>
      <c r="EF47" s="198"/>
      <c r="EG47" s="198"/>
      <c r="EH47" s="198"/>
      <c r="EI47" s="198"/>
      <c r="EJ47" s="198"/>
      <c r="EK47" s="198"/>
      <c r="EL47" s="197"/>
      <c r="EM47" s="198"/>
      <c r="EN47" s="198"/>
      <c r="EO47" s="198"/>
      <c r="EP47" s="198"/>
      <c r="EQ47" s="198"/>
      <c r="ER47" s="198"/>
      <c r="ES47" s="197"/>
      <c r="ET47" s="198"/>
      <c r="EU47" s="198"/>
      <c r="EV47" s="198"/>
      <c r="EW47" s="198"/>
      <c r="EX47" s="198"/>
      <c r="EY47" s="198"/>
      <c r="EZ47" s="198"/>
      <c r="FA47" s="198"/>
      <c r="FB47" s="198"/>
      <c r="FC47" s="198"/>
      <c r="FD47" s="198"/>
      <c r="FE47" s="198"/>
      <c r="FF47" s="198"/>
      <c r="FG47" s="197"/>
      <c r="FH47" s="198"/>
      <c r="FI47" s="198"/>
      <c r="FJ47" s="198"/>
      <c r="FK47" s="198"/>
      <c r="FL47" s="198"/>
      <c r="FM47" s="198"/>
      <c r="FN47" s="197"/>
      <c r="FO47" s="198"/>
      <c r="FP47" s="198"/>
      <c r="FQ47" s="198"/>
      <c r="FR47" s="198"/>
      <c r="FS47" s="198"/>
      <c r="FT47" s="199"/>
      <c r="FU47" s="197"/>
      <c r="FV47" s="198"/>
      <c r="FW47" s="198"/>
      <c r="FX47" s="198"/>
      <c r="FY47" s="198"/>
      <c r="FZ47" s="198"/>
      <c r="GA47" s="199"/>
      <c r="GB47" s="197"/>
      <c r="GC47" s="198"/>
      <c r="GD47" s="198"/>
      <c r="GE47" s="198"/>
      <c r="GF47" s="198"/>
      <c r="GG47" s="198"/>
      <c r="GH47" s="199"/>
      <c r="GI47" s="197"/>
      <c r="GJ47" s="198"/>
      <c r="GK47" s="198"/>
      <c r="GL47" s="198"/>
      <c r="GM47" s="198"/>
      <c r="GN47" s="198"/>
      <c r="GO47" s="199"/>
      <c r="GP47" s="197"/>
      <c r="GQ47" s="198"/>
      <c r="GR47" s="198"/>
      <c r="GS47" s="198"/>
      <c r="GT47" s="198"/>
      <c r="GU47" s="198"/>
      <c r="GV47" s="199"/>
      <c r="GW47" s="197"/>
      <c r="GX47" s="198"/>
      <c r="GY47" s="198"/>
      <c r="GZ47" s="198"/>
      <c r="HA47" s="198"/>
      <c r="HB47" s="198"/>
      <c r="HC47" s="199"/>
      <c r="HD47" s="197"/>
      <c r="HE47" s="198"/>
      <c r="HF47" s="198"/>
      <c r="HG47" s="198"/>
      <c r="HH47" s="198"/>
      <c r="HI47" s="198"/>
      <c r="HJ47" s="199"/>
      <c r="HK47" s="197"/>
      <c r="HL47" s="198"/>
      <c r="HM47" s="198"/>
      <c r="HN47" s="198"/>
      <c r="HO47" s="198"/>
      <c r="HP47" s="198"/>
      <c r="HQ47" s="198"/>
      <c r="HR47" s="197"/>
      <c r="HT47" s="198"/>
      <c r="HU47" s="198"/>
      <c r="HV47" s="198"/>
      <c r="HW47" s="198"/>
      <c r="HX47" s="198"/>
    </row>
    <row r="48" spans="1:233">
      <c r="A48" s="185" t="s">
        <v>495</v>
      </c>
      <c r="B48" s="197"/>
      <c r="C48" s="198"/>
      <c r="D48" s="198"/>
      <c r="E48" s="198"/>
      <c r="F48" s="198"/>
      <c r="G48" s="198"/>
      <c r="H48" s="199"/>
      <c r="I48" s="197"/>
      <c r="J48" s="198"/>
      <c r="K48" s="198"/>
      <c r="L48" s="198"/>
      <c r="M48" s="198"/>
      <c r="N48" s="198"/>
      <c r="O48" s="199"/>
      <c r="P48" s="198"/>
      <c r="Q48" s="198"/>
      <c r="R48" s="198"/>
      <c r="S48" s="198"/>
      <c r="T48" s="198"/>
      <c r="U48" s="198"/>
      <c r="V48" s="199"/>
      <c r="W48" s="198">
        <v>1332.373</v>
      </c>
      <c r="X48" s="198">
        <v>189.274</v>
      </c>
      <c r="Y48" s="198">
        <v>318.24700000000001</v>
      </c>
      <c r="Z48" s="198">
        <v>46.911999999999999</v>
      </c>
      <c r="AA48" s="198">
        <v>299.60599999999999</v>
      </c>
      <c r="AB48" s="198"/>
      <c r="AC48" s="199">
        <f t="shared" si="0"/>
        <v>478.33400000000006</v>
      </c>
      <c r="AD48" s="198"/>
      <c r="AE48" s="198">
        <v>23.42</v>
      </c>
      <c r="AF48" s="198">
        <v>85.194000000000003</v>
      </c>
      <c r="AG48" s="198">
        <v>75.355000000000004</v>
      </c>
      <c r="AH48" s="198">
        <v>46.588000000000001</v>
      </c>
      <c r="AI48" s="198"/>
      <c r="AJ48" s="198"/>
      <c r="AK48" s="197"/>
      <c r="AL48" s="198"/>
      <c r="AM48" s="198"/>
      <c r="AN48" s="198"/>
      <c r="AO48" s="198"/>
      <c r="AP48" s="198"/>
      <c r="AQ48" s="199"/>
      <c r="AR48" s="198">
        <v>13.426841387557719</v>
      </c>
      <c r="AS48" s="198">
        <v>2.8447336054857124</v>
      </c>
      <c r="AT48" s="198">
        <v>0.88909715769551512</v>
      </c>
      <c r="AU48" s="198">
        <v>3.1720980160946328</v>
      </c>
      <c r="AV48" s="198">
        <v>0.39277109583156899</v>
      </c>
      <c r="AW48" s="198"/>
      <c r="AX48" s="198">
        <v>6.1281415124502896</v>
      </c>
      <c r="AY48" s="198"/>
      <c r="AZ48" s="198"/>
      <c r="BA48" s="198"/>
      <c r="BB48" s="198"/>
      <c r="BC48" s="198"/>
      <c r="BD48" s="198"/>
      <c r="BE48" s="198"/>
      <c r="BF48" s="198"/>
      <c r="BG48" s="198"/>
      <c r="BH48" s="198"/>
      <c r="BI48" s="198"/>
      <c r="BJ48" s="198"/>
      <c r="BK48" s="198"/>
      <c r="BL48" s="198"/>
      <c r="BM48" s="198"/>
      <c r="BN48" s="198"/>
      <c r="BO48" s="198"/>
      <c r="BP48" s="198"/>
      <c r="BQ48" s="198"/>
      <c r="BR48" s="198"/>
      <c r="BS48" s="198"/>
      <c r="BT48" s="197"/>
      <c r="BU48" s="198"/>
      <c r="BV48" s="198"/>
      <c r="BW48" s="198"/>
      <c r="BX48" s="198"/>
      <c r="BY48" s="198"/>
      <c r="BZ48" s="198"/>
      <c r="CA48" s="197"/>
      <c r="CB48" s="198"/>
      <c r="CC48" s="198"/>
      <c r="CD48" s="198"/>
      <c r="CE48" s="198"/>
      <c r="CF48" s="198"/>
      <c r="CG48" s="198"/>
      <c r="CH48" s="198"/>
      <c r="CI48" s="198"/>
      <c r="CJ48" s="198"/>
      <c r="CK48" s="198"/>
      <c r="CL48" s="198"/>
      <c r="CM48" s="198"/>
      <c r="CN48" s="198"/>
      <c r="CO48" s="198"/>
      <c r="CP48" s="198"/>
      <c r="CQ48" s="198"/>
      <c r="CR48" s="198"/>
      <c r="CS48" s="198"/>
      <c r="CT48" s="198"/>
      <c r="CU48" s="198"/>
      <c r="CV48" s="197"/>
      <c r="CW48" s="198"/>
      <c r="CX48" s="198"/>
      <c r="CY48" s="198"/>
      <c r="CZ48" s="198"/>
      <c r="DA48" s="198"/>
      <c r="DB48" s="198"/>
      <c r="DC48" s="198"/>
      <c r="DD48" s="198"/>
      <c r="DE48" s="198"/>
      <c r="DF48" s="198"/>
      <c r="DG48" s="198"/>
      <c r="DH48" s="198"/>
      <c r="DI48" s="198"/>
      <c r="DJ48" s="198"/>
      <c r="DK48" s="198"/>
      <c r="DL48" s="198"/>
      <c r="DM48" s="198"/>
      <c r="DN48" s="198"/>
      <c r="DO48" s="198"/>
      <c r="DP48" s="198"/>
      <c r="DQ48" s="198"/>
      <c r="DR48" s="198"/>
      <c r="DS48" s="198"/>
      <c r="DT48" s="198"/>
      <c r="DU48" s="198"/>
      <c r="DV48" s="198"/>
      <c r="DW48" s="198"/>
      <c r="DX48" s="198"/>
      <c r="DY48" s="198"/>
      <c r="DZ48" s="198"/>
      <c r="EA48" s="198"/>
      <c r="EB48" s="198"/>
      <c r="EC48" s="198"/>
      <c r="ED48" s="198"/>
      <c r="EE48" s="197"/>
      <c r="EF48" s="198"/>
      <c r="EG48" s="198"/>
      <c r="EH48" s="198"/>
      <c r="EI48" s="198"/>
      <c r="EJ48" s="198"/>
      <c r="EK48" s="198"/>
      <c r="EL48" s="197"/>
      <c r="EM48" s="198"/>
      <c r="EN48" s="198"/>
      <c r="EO48" s="198"/>
      <c r="EP48" s="198"/>
      <c r="EQ48" s="198"/>
      <c r="ER48" s="198"/>
      <c r="ES48" s="197"/>
      <c r="ET48" s="198"/>
      <c r="EU48" s="198"/>
      <c r="EV48" s="198"/>
      <c r="EW48" s="198"/>
      <c r="EX48" s="198"/>
      <c r="EY48" s="198"/>
      <c r="EZ48" s="198"/>
      <c r="FA48" s="198"/>
      <c r="FB48" s="198"/>
      <c r="FC48" s="198"/>
      <c r="FD48" s="198"/>
      <c r="FE48" s="198"/>
      <c r="FF48" s="198"/>
      <c r="FG48" s="197"/>
      <c r="FH48" s="198"/>
      <c r="FI48" s="198"/>
      <c r="FJ48" s="198"/>
      <c r="FK48" s="198"/>
      <c r="FL48" s="198"/>
      <c r="FM48" s="198"/>
      <c r="FN48" s="197"/>
      <c r="FO48" s="198"/>
      <c r="FP48" s="198"/>
      <c r="FQ48" s="198"/>
      <c r="FR48" s="198"/>
      <c r="FS48" s="198"/>
      <c r="FT48" s="199"/>
      <c r="FU48" s="197"/>
      <c r="FV48" s="198"/>
      <c r="FW48" s="198"/>
      <c r="FX48" s="198"/>
      <c r="FY48" s="198"/>
      <c r="FZ48" s="198"/>
      <c r="GA48" s="199"/>
      <c r="GB48" s="197"/>
      <c r="GC48" s="198"/>
      <c r="GD48" s="198"/>
      <c r="GE48" s="198"/>
      <c r="GF48" s="198"/>
      <c r="GG48" s="198"/>
      <c r="GH48" s="199"/>
      <c r="GI48" s="197"/>
      <c r="GJ48" s="198"/>
      <c r="GK48" s="198"/>
      <c r="GL48" s="198"/>
      <c r="GM48" s="198"/>
      <c r="GN48" s="198"/>
      <c r="GO48" s="199"/>
      <c r="GP48" s="197"/>
      <c r="GQ48" s="198"/>
      <c r="GR48" s="198"/>
      <c r="GS48" s="198"/>
      <c r="GT48" s="198"/>
      <c r="GU48" s="198"/>
      <c r="GV48" s="199"/>
      <c r="GW48" s="197"/>
      <c r="GX48" s="198"/>
      <c r="GY48" s="198"/>
      <c r="GZ48" s="198"/>
      <c r="HA48" s="198"/>
      <c r="HB48" s="198"/>
      <c r="HC48" s="199"/>
      <c r="HD48" s="197"/>
      <c r="HE48" s="198"/>
      <c r="HF48" s="198"/>
      <c r="HG48" s="198"/>
      <c r="HH48" s="198"/>
      <c r="HI48" s="198"/>
      <c r="HJ48" s="199"/>
      <c r="HK48" s="197"/>
      <c r="HL48" s="198"/>
      <c r="HM48" s="198"/>
      <c r="HN48" s="198"/>
      <c r="HO48" s="198"/>
      <c r="HP48" s="198"/>
      <c r="HQ48" s="198"/>
      <c r="HR48" s="197"/>
      <c r="HT48" s="198"/>
      <c r="HU48" s="198"/>
      <c r="HV48" s="198"/>
      <c r="HW48" s="198"/>
      <c r="HX48" s="198"/>
    </row>
    <row r="49" spans="1:233">
      <c r="A49" s="185" t="s">
        <v>496</v>
      </c>
      <c r="B49" s="197"/>
      <c r="C49" s="198"/>
      <c r="D49" s="198"/>
      <c r="E49" s="198"/>
      <c r="F49" s="198"/>
      <c r="G49" s="198"/>
      <c r="H49" s="199"/>
      <c r="I49" s="197"/>
      <c r="J49" s="198"/>
      <c r="K49" s="198"/>
      <c r="L49" s="198"/>
      <c r="M49" s="198"/>
      <c r="N49" s="198"/>
      <c r="O49" s="199"/>
      <c r="P49" s="198"/>
      <c r="Q49" s="198"/>
      <c r="R49" s="198"/>
      <c r="S49" s="198"/>
      <c r="T49" s="198"/>
      <c r="U49" s="198"/>
      <c r="V49" s="199"/>
      <c r="W49" s="198">
        <v>1342.2429999999999</v>
      </c>
      <c r="X49" s="198">
        <v>181.10900000000001</v>
      </c>
      <c r="Y49" s="198">
        <v>326.774</v>
      </c>
      <c r="Z49" s="198">
        <v>48.764000000000003</v>
      </c>
      <c r="AA49" s="198">
        <v>298.12299999999999</v>
      </c>
      <c r="AB49" s="198"/>
      <c r="AC49" s="199">
        <f t="shared" si="0"/>
        <v>487.47300000000001</v>
      </c>
      <c r="AD49" s="198"/>
      <c r="AE49" s="198">
        <v>24.562000000000001</v>
      </c>
      <c r="AF49" s="198">
        <v>86.085999999999999</v>
      </c>
      <c r="AG49" s="198">
        <v>76.835000000000008</v>
      </c>
      <c r="AH49" s="198">
        <v>48.424999999999997</v>
      </c>
      <c r="AI49" s="198"/>
      <c r="AJ49" s="198"/>
      <c r="AK49" s="197"/>
      <c r="AL49" s="198"/>
      <c r="AM49" s="198"/>
      <c r="AN49" s="198"/>
      <c r="AO49" s="198"/>
      <c r="AP49" s="198"/>
      <c r="AQ49" s="199"/>
      <c r="AR49" s="198">
        <v>15.335375607031388</v>
      </c>
      <c r="AS49" s="198">
        <v>3.2340689075572628</v>
      </c>
      <c r="AT49" s="198">
        <v>1.0512095277400157</v>
      </c>
      <c r="AU49" s="198">
        <v>3.5502646321106162</v>
      </c>
      <c r="AV49" s="198">
        <v>0.45166814797614274</v>
      </c>
      <c r="AW49" s="198"/>
      <c r="AX49" s="198">
        <v>7.04816439164735</v>
      </c>
      <c r="AY49" s="198"/>
      <c r="AZ49" s="198"/>
      <c r="BA49" s="198"/>
      <c r="BB49" s="198"/>
      <c r="BC49" s="198"/>
      <c r="BD49" s="198"/>
      <c r="BE49" s="198"/>
      <c r="BF49" s="198"/>
      <c r="BG49" s="198"/>
      <c r="BH49" s="198"/>
      <c r="BI49" s="198"/>
      <c r="BJ49" s="198"/>
      <c r="BK49" s="198"/>
      <c r="BL49" s="198"/>
      <c r="BM49" s="198"/>
      <c r="BN49" s="198"/>
      <c r="BO49" s="198"/>
      <c r="BP49" s="198"/>
      <c r="BQ49" s="198"/>
      <c r="BR49" s="198"/>
      <c r="BS49" s="198"/>
      <c r="BT49" s="197"/>
      <c r="BU49" s="198"/>
      <c r="BV49" s="198"/>
      <c r="BW49" s="198"/>
      <c r="BX49" s="198"/>
      <c r="BY49" s="198"/>
      <c r="BZ49" s="198"/>
      <c r="CA49" s="197"/>
      <c r="CB49" s="198"/>
      <c r="CC49" s="198"/>
      <c r="CD49" s="198"/>
      <c r="CE49" s="198"/>
      <c r="CF49" s="198"/>
      <c r="CG49" s="198"/>
      <c r="CH49" s="198"/>
      <c r="CI49" s="198"/>
      <c r="CJ49" s="198"/>
      <c r="CK49" s="198"/>
      <c r="CL49" s="198"/>
      <c r="CM49" s="198"/>
      <c r="CN49" s="198"/>
      <c r="CO49" s="198"/>
      <c r="CP49" s="198"/>
      <c r="CQ49" s="198"/>
      <c r="CR49" s="198"/>
      <c r="CS49" s="198"/>
      <c r="CT49" s="198"/>
      <c r="CU49" s="198"/>
      <c r="CV49" s="197"/>
      <c r="CW49" s="198"/>
      <c r="CX49" s="198"/>
      <c r="CY49" s="198"/>
      <c r="CZ49" s="198"/>
      <c r="DA49" s="198"/>
      <c r="DB49" s="198"/>
      <c r="DC49" s="198"/>
      <c r="DD49" s="198"/>
      <c r="DE49" s="198"/>
      <c r="DF49" s="198"/>
      <c r="DG49" s="198"/>
      <c r="DH49" s="198"/>
      <c r="DI49" s="198"/>
      <c r="DJ49" s="198"/>
      <c r="DK49" s="198"/>
      <c r="DL49" s="198"/>
      <c r="DM49" s="198"/>
      <c r="DN49" s="198"/>
      <c r="DO49" s="198"/>
      <c r="DP49" s="198"/>
      <c r="DQ49" s="198"/>
      <c r="DR49" s="198"/>
      <c r="DS49" s="198"/>
      <c r="DT49" s="198"/>
      <c r="DU49" s="198"/>
      <c r="DV49" s="198"/>
      <c r="DW49" s="198"/>
      <c r="DX49" s="198"/>
      <c r="DY49" s="198"/>
      <c r="DZ49" s="198"/>
      <c r="EA49" s="198"/>
      <c r="EB49" s="198"/>
      <c r="EC49" s="198"/>
      <c r="ED49" s="198"/>
      <c r="EE49" s="197"/>
      <c r="EF49" s="198"/>
      <c r="EG49" s="198"/>
      <c r="EH49" s="198"/>
      <c r="EI49" s="198"/>
      <c r="EJ49" s="198"/>
      <c r="EK49" s="198"/>
      <c r="EL49" s="197"/>
      <c r="EM49" s="198"/>
      <c r="EN49" s="198"/>
      <c r="EO49" s="198"/>
      <c r="EP49" s="198"/>
      <c r="EQ49" s="198"/>
      <c r="ER49" s="198"/>
      <c r="ES49" s="197"/>
      <c r="ET49" s="198"/>
      <c r="EU49" s="198"/>
      <c r="EV49" s="198"/>
      <c r="EW49" s="198"/>
      <c r="EX49" s="198"/>
      <c r="EY49" s="198"/>
      <c r="EZ49" s="198"/>
      <c r="FA49" s="198"/>
      <c r="FB49" s="198"/>
      <c r="FC49" s="198"/>
      <c r="FD49" s="198"/>
      <c r="FE49" s="198"/>
      <c r="FF49" s="198"/>
      <c r="FG49" s="197"/>
      <c r="FH49" s="198"/>
      <c r="FI49" s="198"/>
      <c r="FJ49" s="198"/>
      <c r="FK49" s="198"/>
      <c r="FL49" s="198"/>
      <c r="FM49" s="198"/>
      <c r="FN49" s="197"/>
      <c r="FO49" s="198"/>
      <c r="FP49" s="198"/>
      <c r="FQ49" s="198"/>
      <c r="FR49" s="198"/>
      <c r="FS49" s="198"/>
      <c r="FT49" s="199"/>
      <c r="FU49" s="197"/>
      <c r="FV49" s="198"/>
      <c r="FW49" s="198"/>
      <c r="FX49" s="198"/>
      <c r="FY49" s="198"/>
      <c r="FZ49" s="198"/>
      <c r="GA49" s="199"/>
      <c r="GB49" s="197"/>
      <c r="GC49" s="198"/>
      <c r="GD49" s="198"/>
      <c r="GE49" s="198"/>
      <c r="GF49" s="198"/>
      <c r="GG49" s="198"/>
      <c r="GH49" s="199"/>
      <c r="GI49" s="197"/>
      <c r="GJ49" s="198"/>
      <c r="GK49" s="198"/>
      <c r="GL49" s="198"/>
      <c r="GM49" s="198"/>
      <c r="GN49" s="198"/>
      <c r="GO49" s="199"/>
      <c r="GP49" s="197"/>
      <c r="GQ49" s="198"/>
      <c r="GR49" s="198"/>
      <c r="GS49" s="198"/>
      <c r="GT49" s="198"/>
      <c r="GU49" s="198"/>
      <c r="GV49" s="199"/>
      <c r="GW49" s="197"/>
      <c r="GX49" s="198"/>
      <c r="GY49" s="198"/>
      <c r="GZ49" s="198"/>
      <c r="HA49" s="198"/>
      <c r="HB49" s="198"/>
      <c r="HC49" s="199"/>
      <c r="HD49" s="197"/>
      <c r="HE49" s="198"/>
      <c r="HF49" s="198"/>
      <c r="HG49" s="198"/>
      <c r="HH49" s="198"/>
      <c r="HI49" s="198"/>
      <c r="HJ49" s="199"/>
      <c r="HK49" s="197"/>
      <c r="HL49" s="198"/>
      <c r="HM49" s="198"/>
      <c r="HN49" s="198"/>
      <c r="HO49" s="198"/>
      <c r="HP49" s="198"/>
      <c r="HQ49" s="198"/>
      <c r="HR49" s="197"/>
      <c r="HT49" s="198"/>
      <c r="HU49" s="198"/>
      <c r="HV49" s="198"/>
      <c r="HW49" s="198"/>
      <c r="HX49" s="198"/>
    </row>
    <row r="50" spans="1:233">
      <c r="A50" s="185" t="s">
        <v>497</v>
      </c>
      <c r="B50" s="197"/>
      <c r="C50" s="198"/>
      <c r="D50" s="198"/>
      <c r="E50" s="198"/>
      <c r="F50" s="198"/>
      <c r="G50" s="198"/>
      <c r="H50" s="199"/>
      <c r="I50" s="197"/>
      <c r="J50" s="198"/>
      <c r="K50" s="198"/>
      <c r="L50" s="198"/>
      <c r="M50" s="198"/>
      <c r="N50" s="198"/>
      <c r="O50" s="199"/>
      <c r="P50" s="198"/>
      <c r="Q50" s="198"/>
      <c r="R50" s="198"/>
      <c r="S50" s="198"/>
      <c r="T50" s="198"/>
      <c r="U50" s="198"/>
      <c r="V50" s="199"/>
      <c r="W50" s="198">
        <v>1299.5650000000001</v>
      </c>
      <c r="X50" s="198">
        <v>172.43700000000001</v>
      </c>
      <c r="Y50" s="198">
        <v>325.86</v>
      </c>
      <c r="Z50" s="198">
        <v>50.591999999999999</v>
      </c>
      <c r="AA50" s="198">
        <v>301.02600000000001</v>
      </c>
      <c r="AB50" s="198"/>
      <c r="AC50" s="199">
        <f t="shared" si="0"/>
        <v>449.65000000000015</v>
      </c>
      <c r="AD50" s="198">
        <f>[1]datos!$S182</f>
        <v>349.28899999999999</v>
      </c>
      <c r="AE50" s="198">
        <v>24.449000000000002</v>
      </c>
      <c r="AF50" s="198">
        <v>91.694999999999993</v>
      </c>
      <c r="AG50" s="198">
        <v>72.912999999999997</v>
      </c>
      <c r="AH50" s="198">
        <v>51.972000000000001</v>
      </c>
      <c r="AI50" s="198">
        <f>[1]datos!$U182</f>
        <v>33.281999999999996</v>
      </c>
      <c r="AJ50" s="198">
        <f>AD50-AE50-AF50-AG50-AH50-AI50</f>
        <v>74.977999999999966</v>
      </c>
      <c r="AK50" s="197"/>
      <c r="AL50" s="198"/>
      <c r="AM50" s="198"/>
      <c r="AN50" s="198"/>
      <c r="AO50" s="198"/>
      <c r="AP50" s="198"/>
      <c r="AQ50" s="199"/>
      <c r="AR50" s="198">
        <v>18.26000642849419</v>
      </c>
      <c r="AS50" s="198">
        <v>3.7157041663938384</v>
      </c>
      <c r="AT50" s="198">
        <v>1.253487154855647</v>
      </c>
      <c r="AU50" s="198">
        <v>4.3778013317274551</v>
      </c>
      <c r="AV50" s="198">
        <v>0.57027015985943252</v>
      </c>
      <c r="AW50" s="198"/>
      <c r="AX50" s="198">
        <v>8.3427436156578185</v>
      </c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8"/>
      <c r="BS50" s="198"/>
      <c r="BT50" s="197"/>
      <c r="BU50" s="198"/>
      <c r="BV50" s="198"/>
      <c r="BW50" s="198"/>
      <c r="BX50" s="198"/>
      <c r="BY50" s="198"/>
      <c r="BZ50" s="198"/>
      <c r="CA50" s="197"/>
      <c r="CB50" s="198"/>
      <c r="CC50" s="198"/>
      <c r="CD50" s="198"/>
      <c r="CE50" s="198"/>
      <c r="CF50" s="198"/>
      <c r="CG50" s="198"/>
      <c r="CH50" s="198"/>
      <c r="CI50" s="198"/>
      <c r="CJ50" s="198"/>
      <c r="CK50" s="198"/>
      <c r="CL50" s="198"/>
      <c r="CM50" s="198"/>
      <c r="CN50" s="198"/>
      <c r="CO50" s="198"/>
      <c r="CP50" s="198"/>
      <c r="CQ50" s="198"/>
      <c r="CR50" s="198"/>
      <c r="CS50" s="198"/>
      <c r="CT50" s="198"/>
      <c r="CU50" s="198"/>
      <c r="CV50" s="197"/>
      <c r="CW50" s="198"/>
      <c r="CX50" s="198"/>
      <c r="CY50" s="198"/>
      <c r="CZ50" s="198"/>
      <c r="DA50" s="198"/>
      <c r="DB50" s="198"/>
      <c r="DC50" s="198"/>
      <c r="DD50" s="198"/>
      <c r="DE50" s="198"/>
      <c r="DF50" s="198"/>
      <c r="DG50" s="198"/>
      <c r="DH50" s="198"/>
      <c r="DI50" s="198"/>
      <c r="DJ50" s="198"/>
      <c r="DK50" s="198"/>
      <c r="DL50" s="198"/>
      <c r="DM50" s="198"/>
      <c r="DN50" s="198"/>
      <c r="DO50" s="198"/>
      <c r="DP50" s="198"/>
      <c r="DQ50" s="198"/>
      <c r="DR50" s="198"/>
      <c r="DS50" s="198"/>
      <c r="DT50" s="198"/>
      <c r="DU50" s="198"/>
      <c r="DV50" s="198"/>
      <c r="DW50" s="198"/>
      <c r="DX50" s="198"/>
      <c r="DY50" s="198"/>
      <c r="DZ50" s="198"/>
      <c r="EA50" s="198"/>
      <c r="EB50" s="198"/>
      <c r="EC50" s="198"/>
      <c r="ED50" s="198"/>
      <c r="EE50" s="197"/>
      <c r="EF50" s="198"/>
      <c r="EG50" s="198"/>
      <c r="EH50" s="198"/>
      <c r="EI50" s="198"/>
      <c r="EJ50" s="198"/>
      <c r="EK50" s="198"/>
      <c r="EL50" s="197"/>
      <c r="EM50" s="198"/>
      <c r="EN50" s="198"/>
      <c r="EO50" s="198"/>
      <c r="EP50" s="198"/>
      <c r="EQ50" s="198"/>
      <c r="ER50" s="198"/>
      <c r="ES50" s="197"/>
      <c r="ET50" s="198"/>
      <c r="EU50" s="198"/>
      <c r="EV50" s="198"/>
      <c r="EW50" s="198"/>
      <c r="EX50" s="198"/>
      <c r="EY50" s="198"/>
      <c r="EZ50" s="198"/>
      <c r="FA50" s="198"/>
      <c r="FB50" s="198"/>
      <c r="FC50" s="198"/>
      <c r="FD50" s="198"/>
      <c r="FE50" s="198"/>
      <c r="FF50" s="198"/>
      <c r="FG50" s="197"/>
      <c r="FH50" s="198"/>
      <c r="FI50" s="198"/>
      <c r="FJ50" s="198"/>
      <c r="FK50" s="198"/>
      <c r="FL50" s="198"/>
      <c r="FM50" s="198"/>
      <c r="FN50" s="197"/>
      <c r="FO50" s="198"/>
      <c r="FP50" s="198"/>
      <c r="FQ50" s="198"/>
      <c r="FR50" s="198"/>
      <c r="FS50" s="198"/>
      <c r="FT50" s="199"/>
      <c r="FU50" s="197"/>
      <c r="FV50" s="198"/>
      <c r="FW50" s="198"/>
      <c r="FX50" s="198"/>
      <c r="FY50" s="198"/>
      <c r="FZ50" s="198"/>
      <c r="GA50" s="199"/>
      <c r="GB50" s="197"/>
      <c r="GC50" s="198"/>
      <c r="GD50" s="198"/>
      <c r="GE50" s="198"/>
      <c r="GF50" s="198"/>
      <c r="GG50" s="198"/>
      <c r="GH50" s="199"/>
      <c r="GI50" s="197"/>
      <c r="GJ50" s="198"/>
      <c r="GK50" s="198"/>
      <c r="GL50" s="198"/>
      <c r="GM50" s="198"/>
      <c r="GN50" s="198"/>
      <c r="GO50" s="199"/>
      <c r="GP50" s="197"/>
      <c r="GQ50" s="198"/>
      <c r="GR50" s="198"/>
      <c r="GS50" s="198"/>
      <c r="GT50" s="198"/>
      <c r="GU50" s="198"/>
      <c r="GV50" s="199"/>
      <c r="GW50" s="197"/>
      <c r="GX50" s="198"/>
      <c r="GY50" s="198"/>
      <c r="GZ50" s="198"/>
      <c r="HA50" s="198"/>
      <c r="HB50" s="198"/>
      <c r="HC50" s="199"/>
      <c r="HD50" s="197"/>
      <c r="HE50" s="198"/>
      <c r="HF50" s="198"/>
      <c r="HG50" s="198"/>
      <c r="HH50" s="198"/>
      <c r="HI50" s="198"/>
      <c r="HJ50" s="199"/>
      <c r="HK50" s="197"/>
      <c r="HL50" s="198"/>
      <c r="HM50" s="198"/>
      <c r="HN50" s="198"/>
      <c r="HO50" s="198"/>
      <c r="HP50" s="198"/>
      <c r="HQ50" s="198"/>
      <c r="HR50" s="197"/>
      <c r="HT50" s="198"/>
      <c r="HU50" s="198"/>
      <c r="HV50" s="198"/>
      <c r="HW50" s="198"/>
      <c r="HX50" s="198"/>
    </row>
    <row r="51" spans="1:233">
      <c r="A51" s="185" t="s">
        <v>498</v>
      </c>
      <c r="B51" s="197"/>
      <c r="C51" s="198"/>
      <c r="D51" s="198"/>
      <c r="E51" s="198"/>
      <c r="F51" s="198"/>
      <c r="G51" s="198"/>
      <c r="H51" s="199"/>
      <c r="I51" s="197"/>
      <c r="J51" s="198"/>
      <c r="K51" s="198"/>
      <c r="L51" s="198"/>
      <c r="M51" s="198"/>
      <c r="N51" s="198"/>
      <c r="O51" s="199"/>
      <c r="P51" s="198"/>
      <c r="Q51" s="198"/>
      <c r="R51" s="198"/>
      <c r="S51" s="198"/>
      <c r="T51" s="198"/>
      <c r="U51" s="198"/>
      <c r="V51" s="199"/>
      <c r="W51" s="198">
        <v>1303.3219999999999</v>
      </c>
      <c r="X51" s="198">
        <v>175.21199999999999</v>
      </c>
      <c r="Y51" s="198">
        <v>329.774</v>
      </c>
      <c r="Z51" s="198">
        <v>51.390999999999998</v>
      </c>
      <c r="AA51" s="198">
        <v>297.24</v>
      </c>
      <c r="AB51" s="198"/>
      <c r="AC51" s="199">
        <f t="shared" si="0"/>
        <v>449.70499999999993</v>
      </c>
      <c r="AD51" s="198"/>
      <c r="AE51" s="198">
        <v>25.277000000000001</v>
      </c>
      <c r="AF51" s="198">
        <v>92.994</v>
      </c>
      <c r="AG51" s="198">
        <v>75.370999999999995</v>
      </c>
      <c r="AH51" s="198">
        <v>54.658999999999999</v>
      </c>
      <c r="AI51" s="198"/>
      <c r="AJ51" s="198"/>
      <c r="AK51" s="197"/>
      <c r="AL51" s="198"/>
      <c r="AM51" s="198"/>
      <c r="AN51" s="198"/>
      <c r="AO51" s="198"/>
      <c r="AP51" s="198"/>
      <c r="AQ51" s="199"/>
      <c r="AR51" s="198">
        <v>22.18029906469792</v>
      </c>
      <c r="AS51" s="198">
        <v>4.5308852698130435</v>
      </c>
      <c r="AT51" s="198">
        <v>1.4796503689634104</v>
      </c>
      <c r="AU51" s="198">
        <v>5.3900437733647513</v>
      </c>
      <c r="AV51" s="198">
        <v>0.65298321305590712</v>
      </c>
      <c r="AW51" s="198"/>
      <c r="AX51" s="198">
        <v>10.126736439500808</v>
      </c>
      <c r="AY51" s="198"/>
      <c r="AZ51" s="198"/>
      <c r="BA51" s="198"/>
      <c r="BB51" s="198"/>
      <c r="BC51" s="198"/>
      <c r="BD51" s="198"/>
      <c r="BE51" s="198"/>
      <c r="BF51" s="198"/>
      <c r="BG51" s="198"/>
      <c r="BH51" s="198"/>
      <c r="BI51" s="198"/>
      <c r="BJ51" s="198"/>
      <c r="BK51" s="198"/>
      <c r="BL51" s="198"/>
      <c r="BM51" s="198"/>
      <c r="BN51" s="198"/>
      <c r="BO51" s="198"/>
      <c r="BP51" s="198"/>
      <c r="BQ51" s="198"/>
      <c r="BR51" s="198"/>
      <c r="BS51" s="198"/>
      <c r="BT51" s="197"/>
      <c r="BU51" s="198"/>
      <c r="BV51" s="198"/>
      <c r="BW51" s="198"/>
      <c r="BX51" s="198"/>
      <c r="BY51" s="198"/>
      <c r="BZ51" s="198"/>
      <c r="CA51" s="197"/>
      <c r="CB51" s="198"/>
      <c r="CC51" s="198"/>
      <c r="CD51" s="198"/>
      <c r="CE51" s="198"/>
      <c r="CF51" s="198"/>
      <c r="CG51" s="198"/>
      <c r="CH51" s="198"/>
      <c r="CI51" s="198"/>
      <c r="CJ51" s="198"/>
      <c r="CK51" s="198"/>
      <c r="CL51" s="198"/>
      <c r="CM51" s="198"/>
      <c r="CN51" s="198"/>
      <c r="CO51" s="198"/>
      <c r="CP51" s="198"/>
      <c r="CQ51" s="198"/>
      <c r="CR51" s="198"/>
      <c r="CS51" s="198"/>
      <c r="CT51" s="198"/>
      <c r="CU51" s="198"/>
      <c r="CV51" s="197"/>
      <c r="CW51" s="198"/>
      <c r="CX51" s="198"/>
      <c r="CY51" s="198"/>
      <c r="CZ51" s="198"/>
      <c r="DA51" s="198"/>
      <c r="DB51" s="198"/>
      <c r="DC51" s="198"/>
      <c r="DD51" s="198"/>
      <c r="DE51" s="198"/>
      <c r="DF51" s="198"/>
      <c r="DG51" s="198"/>
      <c r="DH51" s="198"/>
      <c r="DI51" s="198"/>
      <c r="DJ51" s="198"/>
      <c r="DK51" s="198"/>
      <c r="DL51" s="198"/>
      <c r="DM51" s="198"/>
      <c r="DN51" s="198"/>
      <c r="DO51" s="198"/>
      <c r="DP51" s="198"/>
      <c r="DQ51" s="198"/>
      <c r="DR51" s="198"/>
      <c r="DS51" s="198"/>
      <c r="DT51" s="198"/>
      <c r="DU51" s="198"/>
      <c r="DV51" s="198"/>
      <c r="DW51" s="198"/>
      <c r="DX51" s="198"/>
      <c r="DY51" s="198"/>
      <c r="DZ51" s="198"/>
      <c r="EA51" s="198"/>
      <c r="EB51" s="198"/>
      <c r="EC51" s="198"/>
      <c r="ED51" s="198"/>
      <c r="EE51" s="197"/>
      <c r="EF51" s="198"/>
      <c r="EG51" s="198"/>
      <c r="EH51" s="198"/>
      <c r="EI51" s="198"/>
      <c r="EJ51" s="198"/>
      <c r="EK51" s="198"/>
      <c r="EL51" s="197"/>
      <c r="EM51" s="198"/>
      <c r="EN51" s="198"/>
      <c r="EO51" s="198"/>
      <c r="EP51" s="198"/>
      <c r="EQ51" s="198"/>
      <c r="ER51" s="198"/>
      <c r="ES51" s="197"/>
      <c r="ET51" s="198"/>
      <c r="EU51" s="198"/>
      <c r="EV51" s="198"/>
      <c r="EW51" s="198"/>
      <c r="EX51" s="198"/>
      <c r="EY51" s="198"/>
      <c r="EZ51" s="198"/>
      <c r="FA51" s="198"/>
      <c r="FB51" s="198"/>
      <c r="FC51" s="198"/>
      <c r="FD51" s="198"/>
      <c r="FE51" s="198"/>
      <c r="FF51" s="198"/>
      <c r="FG51" s="197"/>
      <c r="FH51" s="198"/>
      <c r="FI51" s="198"/>
      <c r="FJ51" s="198"/>
      <c r="FK51" s="198"/>
      <c r="FL51" s="198"/>
      <c r="FM51" s="198"/>
      <c r="FN51" s="197"/>
      <c r="FO51" s="198"/>
      <c r="FP51" s="198"/>
      <c r="FQ51" s="198"/>
      <c r="FR51" s="198"/>
      <c r="FS51" s="198"/>
      <c r="FT51" s="199"/>
      <c r="FU51" s="197"/>
      <c r="FV51" s="198"/>
      <c r="FW51" s="198"/>
      <c r="FX51" s="198"/>
      <c r="FY51" s="198"/>
      <c r="FZ51" s="198"/>
      <c r="GA51" s="199"/>
      <c r="GB51" s="197"/>
      <c r="GC51" s="198"/>
      <c r="GD51" s="198"/>
      <c r="GE51" s="198"/>
      <c r="GF51" s="198"/>
      <c r="GG51" s="198"/>
      <c r="GH51" s="199"/>
      <c r="GI51" s="197"/>
      <c r="GJ51" s="198"/>
      <c r="GK51" s="198"/>
      <c r="GL51" s="198"/>
      <c r="GM51" s="198"/>
      <c r="GN51" s="198"/>
      <c r="GO51" s="199"/>
      <c r="GP51" s="197"/>
      <c r="GQ51" s="198"/>
      <c r="GR51" s="198"/>
      <c r="GS51" s="198"/>
      <c r="GT51" s="198"/>
      <c r="GU51" s="198"/>
      <c r="GV51" s="199"/>
      <c r="GW51" s="197"/>
      <c r="GX51" s="198"/>
      <c r="GY51" s="198"/>
      <c r="GZ51" s="198"/>
      <c r="HA51" s="198"/>
      <c r="HB51" s="198"/>
      <c r="HC51" s="199"/>
      <c r="HD51" s="197"/>
      <c r="HE51" s="198"/>
      <c r="HF51" s="198"/>
      <c r="HG51" s="198"/>
      <c r="HH51" s="198"/>
      <c r="HI51" s="198"/>
      <c r="HJ51" s="199"/>
      <c r="HK51" s="197"/>
      <c r="HL51" s="198"/>
      <c r="HM51" s="198"/>
      <c r="HN51" s="198"/>
      <c r="HO51" s="198"/>
      <c r="HP51" s="198"/>
      <c r="HQ51" s="198"/>
      <c r="HR51" s="197"/>
      <c r="HT51" s="198"/>
      <c r="HU51" s="198"/>
      <c r="HV51" s="198"/>
      <c r="HW51" s="198"/>
      <c r="HX51" s="198"/>
    </row>
    <row r="52" spans="1:233">
      <c r="A52" s="185" t="s">
        <v>499</v>
      </c>
      <c r="B52" s="197"/>
      <c r="C52" s="198"/>
      <c r="D52" s="198"/>
      <c r="E52" s="198"/>
      <c r="F52" s="198"/>
      <c r="G52" s="198"/>
      <c r="H52" s="199"/>
      <c r="I52" s="197"/>
      <c r="J52" s="198"/>
      <c r="K52" s="198"/>
      <c r="L52" s="198"/>
      <c r="M52" s="198"/>
      <c r="N52" s="198"/>
      <c r="O52" s="199"/>
      <c r="P52" s="198"/>
      <c r="Q52" s="198"/>
      <c r="R52" s="198"/>
      <c r="S52" s="198"/>
      <c r="T52" s="198"/>
      <c r="U52" s="198"/>
      <c r="V52" s="199"/>
      <c r="W52" s="198">
        <v>1310.78</v>
      </c>
      <c r="X52" s="198">
        <v>174.63300000000001</v>
      </c>
      <c r="Y52" s="198">
        <v>336.08799999999997</v>
      </c>
      <c r="Z52" s="198">
        <v>54.16</v>
      </c>
      <c r="AA52" s="198">
        <v>292.96300000000002</v>
      </c>
      <c r="AB52" s="198"/>
      <c r="AC52" s="199">
        <f t="shared" si="0"/>
        <v>452.93599999999998</v>
      </c>
      <c r="AD52" s="198"/>
      <c r="AE52" s="198">
        <v>25.774999999999999</v>
      </c>
      <c r="AF52" s="198">
        <v>93.687999999999988</v>
      </c>
      <c r="AG52" s="198">
        <v>77.292000000000002</v>
      </c>
      <c r="AH52" s="198">
        <v>57.005000000000003</v>
      </c>
      <c r="AI52" s="198"/>
      <c r="AJ52" s="198"/>
      <c r="AK52" s="197"/>
      <c r="AL52" s="198"/>
      <c r="AM52" s="198"/>
      <c r="AN52" s="198"/>
      <c r="AO52" s="198"/>
      <c r="AP52" s="198"/>
      <c r="AQ52" s="199"/>
      <c r="AR52" s="198">
        <v>28.237028400601897</v>
      </c>
      <c r="AS52" s="198">
        <v>5.6742739210195525</v>
      </c>
      <c r="AT52" s="198">
        <v>1.7507259069100771</v>
      </c>
      <c r="AU52" s="198">
        <v>7.1588980704798146</v>
      </c>
      <c r="AV52" s="198">
        <v>0.8025855529649929</v>
      </c>
      <c r="AW52" s="198"/>
      <c r="AX52" s="198">
        <v>12.850544949227459</v>
      </c>
      <c r="AY52" s="198"/>
      <c r="AZ52" s="198"/>
      <c r="BA52" s="198"/>
      <c r="BB52" s="198"/>
      <c r="BC52" s="198"/>
      <c r="BD52" s="198"/>
      <c r="BE52" s="198"/>
      <c r="BF52" s="198"/>
      <c r="BG52" s="198"/>
      <c r="BH52" s="198"/>
      <c r="BI52" s="198"/>
      <c r="BJ52" s="198"/>
      <c r="BK52" s="198"/>
      <c r="BL52" s="198"/>
      <c r="BM52" s="198"/>
      <c r="BN52" s="198"/>
      <c r="BO52" s="198"/>
      <c r="BP52" s="198"/>
      <c r="BQ52" s="198"/>
      <c r="BR52" s="198"/>
      <c r="BS52" s="198"/>
      <c r="BT52" s="197"/>
      <c r="BU52" s="198"/>
      <c r="BV52" s="198"/>
      <c r="BW52" s="198"/>
      <c r="BX52" s="198"/>
      <c r="BY52" s="198"/>
      <c r="BZ52" s="198"/>
      <c r="CA52" s="197"/>
      <c r="CB52" s="198"/>
      <c r="CC52" s="198"/>
      <c r="CD52" s="198"/>
      <c r="CE52" s="198"/>
      <c r="CF52" s="198"/>
      <c r="CG52" s="198"/>
      <c r="CH52" s="198"/>
      <c r="CI52" s="198"/>
      <c r="CJ52" s="198"/>
      <c r="CK52" s="198"/>
      <c r="CL52" s="198"/>
      <c r="CM52" s="198"/>
      <c r="CN52" s="198"/>
      <c r="CO52" s="198"/>
      <c r="CP52" s="198"/>
      <c r="CQ52" s="198"/>
      <c r="CR52" s="198"/>
      <c r="CS52" s="198"/>
      <c r="CT52" s="198"/>
      <c r="CU52" s="198"/>
      <c r="CV52" s="197"/>
      <c r="CW52" s="198"/>
      <c r="CX52" s="198"/>
      <c r="CY52" s="198"/>
      <c r="CZ52" s="198"/>
      <c r="DA52" s="198"/>
      <c r="DB52" s="198"/>
      <c r="DC52" s="198"/>
      <c r="DD52" s="198"/>
      <c r="DE52" s="198"/>
      <c r="DF52" s="198"/>
      <c r="DG52" s="198"/>
      <c r="DH52" s="198"/>
      <c r="DI52" s="198"/>
      <c r="DJ52" s="198"/>
      <c r="DK52" s="198"/>
      <c r="DL52" s="198"/>
      <c r="DM52" s="198"/>
      <c r="DN52" s="198"/>
      <c r="DO52" s="198"/>
      <c r="DP52" s="198"/>
      <c r="DQ52" s="198"/>
      <c r="DR52" s="198"/>
      <c r="DS52" s="198"/>
      <c r="DT52" s="198"/>
      <c r="DU52" s="198"/>
      <c r="DV52" s="198"/>
      <c r="DW52" s="198"/>
      <c r="DX52" s="198"/>
      <c r="DY52" s="198"/>
      <c r="DZ52" s="198"/>
      <c r="EA52" s="198"/>
      <c r="EB52" s="198"/>
      <c r="EC52" s="198"/>
      <c r="ED52" s="198"/>
      <c r="EE52" s="197"/>
      <c r="EF52" s="198"/>
      <c r="EG52" s="198"/>
      <c r="EH52" s="198"/>
      <c r="EI52" s="198"/>
      <c r="EJ52" s="198"/>
      <c r="EK52" s="198"/>
      <c r="EL52" s="197"/>
      <c r="EM52" s="198"/>
      <c r="EN52" s="198"/>
      <c r="EO52" s="198"/>
      <c r="EP52" s="198"/>
      <c r="EQ52" s="198"/>
      <c r="ER52" s="198"/>
      <c r="ES52" s="197"/>
      <c r="ET52" s="198"/>
      <c r="EU52" s="198"/>
      <c r="EV52" s="198"/>
      <c r="EW52" s="198"/>
      <c r="EX52" s="198"/>
      <c r="EY52" s="198"/>
      <c r="EZ52" s="198"/>
      <c r="FA52" s="198"/>
      <c r="FB52" s="198"/>
      <c r="FC52" s="198"/>
      <c r="FD52" s="198"/>
      <c r="FE52" s="198"/>
      <c r="FF52" s="198"/>
      <c r="FG52" s="197"/>
      <c r="FH52" s="198"/>
      <c r="FI52" s="198"/>
      <c r="FJ52" s="198"/>
      <c r="FK52" s="198"/>
      <c r="FL52" s="198"/>
      <c r="FM52" s="198"/>
      <c r="FN52" s="197"/>
      <c r="FO52" s="198"/>
      <c r="FP52" s="198"/>
      <c r="FQ52" s="198"/>
      <c r="FR52" s="198"/>
      <c r="FS52" s="198"/>
      <c r="FT52" s="199"/>
      <c r="FU52" s="197"/>
      <c r="FV52" s="198"/>
      <c r="FW52" s="198"/>
      <c r="FX52" s="198"/>
      <c r="FY52" s="198"/>
      <c r="FZ52" s="198"/>
      <c r="GA52" s="199"/>
      <c r="GB52" s="197"/>
      <c r="GC52" s="198"/>
      <c r="GD52" s="198"/>
      <c r="GE52" s="198"/>
      <c r="GF52" s="198"/>
      <c r="GG52" s="198"/>
      <c r="GH52" s="199"/>
      <c r="GI52" s="197"/>
      <c r="GJ52" s="198"/>
      <c r="GK52" s="198"/>
      <c r="GL52" s="198"/>
      <c r="GM52" s="198"/>
      <c r="GN52" s="198"/>
      <c r="GO52" s="199"/>
      <c r="GP52" s="197"/>
      <c r="GQ52" s="198"/>
      <c r="GR52" s="198"/>
      <c r="GS52" s="198"/>
      <c r="GT52" s="198"/>
      <c r="GU52" s="198"/>
      <c r="GV52" s="199"/>
      <c r="GW52" s="197"/>
      <c r="GX52" s="198"/>
      <c r="GY52" s="198"/>
      <c r="GZ52" s="198"/>
      <c r="HA52" s="198"/>
      <c r="HB52" s="198"/>
      <c r="HC52" s="199"/>
      <c r="HD52" s="197"/>
      <c r="HE52" s="198"/>
      <c r="HF52" s="198"/>
      <c r="HG52" s="198"/>
      <c r="HH52" s="198"/>
      <c r="HI52" s="198"/>
      <c r="HJ52" s="199"/>
      <c r="HK52" s="197"/>
      <c r="HL52" s="198"/>
      <c r="HM52" s="198"/>
      <c r="HN52" s="198"/>
      <c r="HO52" s="198"/>
      <c r="HP52" s="198"/>
      <c r="HQ52" s="198"/>
      <c r="HR52" s="197"/>
      <c r="HT52" s="198"/>
      <c r="HU52" s="198"/>
      <c r="HV52" s="198"/>
      <c r="HW52" s="198"/>
      <c r="HX52" s="198"/>
    </row>
    <row r="53" spans="1:233">
      <c r="A53" s="202" t="s">
        <v>500</v>
      </c>
      <c r="B53" s="203"/>
      <c r="C53" s="204"/>
      <c r="D53" s="204"/>
      <c r="E53" s="204"/>
      <c r="F53" s="204"/>
      <c r="G53" s="204"/>
      <c r="H53" s="205"/>
      <c r="I53" s="203"/>
      <c r="J53" s="204"/>
      <c r="K53" s="204"/>
      <c r="L53" s="204"/>
      <c r="M53" s="204"/>
      <c r="N53" s="204"/>
      <c r="O53" s="205"/>
      <c r="P53" s="204"/>
      <c r="Q53" s="204"/>
      <c r="R53" s="204"/>
      <c r="S53" s="204"/>
      <c r="T53" s="204"/>
      <c r="U53" s="204"/>
      <c r="V53" s="205"/>
      <c r="W53" s="204">
        <v>1262.2560000000001</v>
      </c>
      <c r="X53" s="204">
        <v>176.17500000000001</v>
      </c>
      <c r="Y53" s="204">
        <v>318.11</v>
      </c>
      <c r="Z53" s="204">
        <v>53.54</v>
      </c>
      <c r="AA53" s="204">
        <v>279.767</v>
      </c>
      <c r="AB53" s="204"/>
      <c r="AC53" s="205">
        <f t="shared" si="0"/>
        <v>434.66400000000016</v>
      </c>
      <c r="AD53" s="204">
        <f>[1]datos!$S185</f>
        <v>369.01399999999995</v>
      </c>
      <c r="AE53" s="204">
        <v>25.882999999999999</v>
      </c>
      <c r="AF53" s="204">
        <v>95.528999999999996</v>
      </c>
      <c r="AG53" s="204">
        <v>77.897000000000006</v>
      </c>
      <c r="AH53" s="204">
        <v>58.161999999999999</v>
      </c>
      <c r="AI53" s="204">
        <f>[1]datos!$U185</f>
        <v>33.036999999999999</v>
      </c>
      <c r="AJ53" s="204">
        <f>AD53-AE53-AF53-AG53-AH53-AI53</f>
        <v>78.505999999999972</v>
      </c>
      <c r="AK53" s="203"/>
      <c r="AL53" s="204"/>
      <c r="AM53" s="204"/>
      <c r="AN53" s="204"/>
      <c r="AO53" s="204"/>
      <c r="AP53" s="204"/>
      <c r="AQ53" s="205"/>
      <c r="AR53" s="204">
        <v>35.457126933975509</v>
      </c>
      <c r="AS53" s="204">
        <v>7.4041619221171366</v>
      </c>
      <c r="AT53" s="204">
        <v>2.3854262963967554</v>
      </c>
      <c r="AU53" s="204">
        <v>8.8705609130798013</v>
      </c>
      <c r="AV53" s="204">
        <v>0.93944763120442076</v>
      </c>
      <c r="AW53" s="204"/>
      <c r="AX53" s="204">
        <v>15.857530171177396</v>
      </c>
      <c r="AY53" s="203"/>
      <c r="AZ53" s="204"/>
      <c r="BA53" s="204"/>
      <c r="BB53" s="204"/>
      <c r="BC53" s="204"/>
      <c r="BD53" s="204"/>
      <c r="BE53" s="204"/>
      <c r="BF53" s="203"/>
      <c r="BG53" s="204"/>
      <c r="BH53" s="204"/>
      <c r="BI53" s="204"/>
      <c r="BJ53" s="204"/>
      <c r="BK53" s="204"/>
      <c r="BL53" s="204"/>
      <c r="BM53" s="203"/>
      <c r="BN53" s="204"/>
      <c r="BO53" s="204"/>
      <c r="BP53" s="204"/>
      <c r="BQ53" s="204"/>
      <c r="BR53" s="204"/>
      <c r="BS53" s="204"/>
      <c r="BT53" s="203"/>
      <c r="BU53" s="204"/>
      <c r="BV53" s="204"/>
      <c r="BW53" s="204"/>
      <c r="BX53" s="204"/>
      <c r="BY53" s="204"/>
      <c r="BZ53" s="204"/>
      <c r="CA53" s="203"/>
      <c r="CB53" s="204"/>
      <c r="CC53" s="204"/>
      <c r="CD53" s="204"/>
      <c r="CE53" s="204"/>
      <c r="CF53" s="204"/>
      <c r="CG53" s="204"/>
      <c r="CH53" s="203"/>
      <c r="CI53" s="204"/>
      <c r="CJ53" s="204"/>
      <c r="CK53" s="204"/>
      <c r="CL53" s="204"/>
      <c r="CM53" s="204"/>
      <c r="CN53" s="204"/>
      <c r="CO53" s="203"/>
      <c r="CP53" s="204"/>
      <c r="CQ53" s="204"/>
      <c r="CR53" s="204"/>
      <c r="CS53" s="204"/>
      <c r="CT53" s="204"/>
      <c r="CU53" s="204"/>
      <c r="CV53" s="203"/>
      <c r="CW53" s="204"/>
      <c r="CX53" s="204"/>
      <c r="CY53" s="204"/>
      <c r="CZ53" s="204"/>
      <c r="DA53" s="204"/>
      <c r="DB53" s="204"/>
      <c r="DC53" s="203"/>
      <c r="DD53" s="204"/>
      <c r="DE53" s="204"/>
      <c r="DF53" s="204"/>
      <c r="DG53" s="204"/>
      <c r="DH53" s="204"/>
      <c r="DI53" s="204"/>
      <c r="DJ53" s="203"/>
      <c r="DK53" s="204"/>
      <c r="DL53" s="204"/>
      <c r="DM53" s="204"/>
      <c r="DN53" s="204"/>
      <c r="DO53" s="204"/>
      <c r="DP53" s="204"/>
      <c r="DQ53" s="203"/>
      <c r="DR53" s="204"/>
      <c r="DS53" s="204"/>
      <c r="DT53" s="204"/>
      <c r="DU53" s="204"/>
      <c r="DV53" s="204"/>
      <c r="DW53" s="204"/>
      <c r="DX53" s="204"/>
      <c r="DY53" s="204"/>
      <c r="DZ53" s="204"/>
      <c r="EA53" s="204"/>
      <c r="EB53" s="204"/>
      <c r="EC53" s="204"/>
      <c r="ED53" s="204"/>
      <c r="EE53" s="203">
        <v>11879.066000000001</v>
      </c>
      <c r="EF53" s="204">
        <v>1897.1120000000001</v>
      </c>
      <c r="EG53" s="204">
        <v>1474.7150000000001</v>
      </c>
      <c r="EH53" s="204">
        <v>2361.7060000000001</v>
      </c>
      <c r="EI53" s="204">
        <v>1340.6289999999999</v>
      </c>
      <c r="EJ53" s="204"/>
      <c r="EK53" s="204">
        <f>EE53-EF53-EG53-EH53-EI53</f>
        <v>4804.9040000000014</v>
      </c>
      <c r="EL53" s="203"/>
      <c r="EM53" s="204"/>
      <c r="EN53" s="204"/>
      <c r="EO53" s="204"/>
      <c r="EP53" s="204"/>
      <c r="EQ53" s="204"/>
      <c r="ER53" s="204"/>
      <c r="ES53" s="203"/>
      <c r="ET53" s="204"/>
      <c r="EU53" s="204"/>
      <c r="EV53" s="204"/>
      <c r="EW53" s="204"/>
      <c r="EX53" s="204"/>
      <c r="EY53" s="204"/>
      <c r="EZ53" s="204"/>
      <c r="FA53" s="204"/>
      <c r="FB53" s="204"/>
      <c r="FC53" s="204"/>
      <c r="FD53" s="204"/>
      <c r="FE53" s="204"/>
      <c r="FF53" s="204"/>
      <c r="FG53" s="203"/>
      <c r="FH53" s="204"/>
      <c r="FI53" s="204"/>
      <c r="FJ53" s="204"/>
      <c r="FK53" s="204"/>
      <c r="FL53" s="204"/>
      <c r="FM53" s="204"/>
      <c r="FN53" s="203"/>
      <c r="FO53" s="204"/>
      <c r="FP53" s="204"/>
      <c r="FQ53" s="204"/>
      <c r="FR53" s="204"/>
      <c r="FS53" s="204"/>
      <c r="FT53" s="205"/>
      <c r="FU53" s="203"/>
      <c r="FV53" s="204"/>
      <c r="FW53" s="204"/>
      <c r="FX53" s="204"/>
      <c r="FY53" s="204"/>
      <c r="FZ53" s="204"/>
      <c r="GA53" s="205"/>
      <c r="GB53" s="203"/>
      <c r="GC53" s="204"/>
      <c r="GD53" s="204"/>
      <c r="GE53" s="204"/>
      <c r="GF53" s="204"/>
      <c r="GG53" s="204"/>
      <c r="GH53" s="205"/>
      <c r="GI53" s="203"/>
      <c r="GJ53" s="204"/>
      <c r="GK53" s="204"/>
      <c r="GL53" s="204"/>
      <c r="GM53" s="204"/>
      <c r="GN53" s="204"/>
      <c r="GO53" s="205"/>
      <c r="GP53" s="203"/>
      <c r="GQ53" s="204"/>
      <c r="GR53" s="204"/>
      <c r="GS53" s="204"/>
      <c r="GT53" s="204"/>
      <c r="GU53" s="204"/>
      <c r="GV53" s="205"/>
      <c r="GW53" s="203"/>
      <c r="GX53" s="204"/>
      <c r="GY53" s="204"/>
      <c r="GZ53" s="204"/>
      <c r="HA53" s="204"/>
      <c r="HB53" s="204"/>
      <c r="HC53" s="205"/>
      <c r="HD53" s="203"/>
      <c r="HE53" s="204"/>
      <c r="HF53" s="204"/>
      <c r="HG53" s="204"/>
      <c r="HH53" s="204"/>
      <c r="HI53" s="204"/>
      <c r="HJ53" s="205"/>
      <c r="HK53" s="203"/>
      <c r="HL53" s="204"/>
      <c r="HM53" s="204"/>
      <c r="HN53" s="204"/>
      <c r="HO53" s="204"/>
      <c r="HP53" s="204"/>
      <c r="HQ53" s="204"/>
      <c r="HR53" s="197"/>
      <c r="HS53" s="206"/>
      <c r="HT53" s="204"/>
      <c r="HU53" s="204"/>
      <c r="HV53" s="204"/>
      <c r="HW53" s="204"/>
      <c r="HX53" s="204"/>
      <c r="HY53" s="198"/>
    </row>
    <row r="54" spans="1:233">
      <c r="A54" s="185" t="s">
        <v>659</v>
      </c>
      <c r="B54" s="197"/>
      <c r="C54" s="198"/>
      <c r="D54" s="198"/>
      <c r="E54" s="198"/>
      <c r="F54" s="198"/>
      <c r="G54" s="198"/>
      <c r="H54" s="199"/>
      <c r="I54" s="197"/>
      <c r="J54" s="198"/>
      <c r="K54" s="198"/>
      <c r="L54" s="198"/>
      <c r="M54" s="198"/>
      <c r="N54" s="198"/>
      <c r="O54" s="199"/>
      <c r="P54" s="198"/>
      <c r="Q54" s="198"/>
      <c r="R54" s="198"/>
      <c r="S54" s="198"/>
      <c r="T54" s="198"/>
      <c r="U54" s="198"/>
      <c r="V54" s="199"/>
      <c r="W54" s="198">
        <v>1275.5640000000001</v>
      </c>
      <c r="X54" s="198">
        <v>179.47499999999999</v>
      </c>
      <c r="Y54" s="198">
        <v>330.83300000000003</v>
      </c>
      <c r="Z54" s="198">
        <v>52.725999999999999</v>
      </c>
      <c r="AA54" s="198">
        <v>271.75099999999998</v>
      </c>
      <c r="AB54" s="198"/>
      <c r="AC54" s="199">
        <f t="shared" si="0"/>
        <v>440.77900000000011</v>
      </c>
      <c r="AD54" s="198"/>
      <c r="AE54" s="198">
        <v>26.489000000000001</v>
      </c>
      <c r="AF54" s="198">
        <v>92.862000000000009</v>
      </c>
      <c r="AG54" s="198">
        <v>78.665999999999997</v>
      </c>
      <c r="AH54" s="198">
        <v>58.3</v>
      </c>
      <c r="AI54" s="198"/>
      <c r="AJ54" s="198"/>
      <c r="AK54" s="197"/>
      <c r="AL54" s="198"/>
      <c r="AM54" s="198"/>
      <c r="AN54" s="198"/>
      <c r="AO54" s="198"/>
      <c r="AP54" s="198"/>
      <c r="AQ54" s="199"/>
      <c r="AR54" s="198">
        <v>45.366991408697409</v>
      </c>
      <c r="AS54" s="198">
        <v>10.518186901442032</v>
      </c>
      <c r="AT54" s="198">
        <v>2.8536132473296414</v>
      </c>
      <c r="AU54" s="198">
        <v>10.844710769724131</v>
      </c>
      <c r="AV54" s="198">
        <v>1.1426124373484416</v>
      </c>
      <c r="AW54" s="198"/>
      <c r="AX54" s="198">
        <v>20.007868052853169</v>
      </c>
      <c r="AY54" s="197"/>
      <c r="AZ54" s="198"/>
      <c r="BA54" s="198"/>
      <c r="BB54" s="198"/>
      <c r="BC54" s="198"/>
      <c r="BD54" s="198"/>
      <c r="BE54" s="198"/>
      <c r="BF54" s="197"/>
      <c r="BG54" s="198"/>
      <c r="BH54" s="198"/>
      <c r="BI54" s="198"/>
      <c r="BJ54" s="198"/>
      <c r="BK54" s="198"/>
      <c r="BL54" s="198"/>
      <c r="BM54" s="197"/>
      <c r="BN54" s="198"/>
      <c r="BO54" s="198"/>
      <c r="BP54" s="198"/>
      <c r="BQ54" s="198"/>
      <c r="BR54" s="198"/>
      <c r="BS54" s="198"/>
      <c r="BT54" s="197"/>
      <c r="BU54" s="198"/>
      <c r="BV54" s="198"/>
      <c r="BW54" s="198"/>
      <c r="BX54" s="198"/>
      <c r="BY54" s="198"/>
      <c r="BZ54" s="198"/>
      <c r="CA54" s="197"/>
      <c r="CB54" s="198"/>
      <c r="CC54" s="198"/>
      <c r="CD54" s="198"/>
      <c r="CE54" s="198"/>
      <c r="CF54" s="198"/>
      <c r="CG54" s="198"/>
      <c r="CH54" s="197"/>
      <c r="CI54" s="198"/>
      <c r="CJ54" s="198"/>
      <c r="CK54" s="198"/>
      <c r="CL54" s="198"/>
      <c r="CM54" s="198"/>
      <c r="CN54" s="198"/>
      <c r="CO54" s="197"/>
      <c r="CP54" s="198"/>
      <c r="CQ54" s="198"/>
      <c r="CR54" s="198"/>
      <c r="CS54" s="198"/>
      <c r="CT54" s="198"/>
      <c r="CU54" s="198"/>
      <c r="CV54" s="197"/>
      <c r="CW54" s="198"/>
      <c r="CX54" s="198"/>
      <c r="CY54" s="198"/>
      <c r="CZ54" s="198"/>
      <c r="DA54" s="198"/>
      <c r="DB54" s="198"/>
      <c r="DC54" s="197"/>
      <c r="DD54" s="198"/>
      <c r="DE54" s="198"/>
      <c r="DF54" s="198"/>
      <c r="DG54" s="198"/>
      <c r="DH54" s="198"/>
      <c r="DI54" s="198"/>
      <c r="DJ54" s="197"/>
      <c r="DK54" s="198"/>
      <c r="DL54" s="198"/>
      <c r="DM54" s="198"/>
      <c r="DN54" s="198"/>
      <c r="DO54" s="198"/>
      <c r="DP54" s="198"/>
      <c r="DQ54" s="197"/>
      <c r="DR54" s="198"/>
      <c r="DS54" s="198"/>
      <c r="DT54" s="198"/>
      <c r="DU54" s="198"/>
      <c r="DV54" s="198"/>
      <c r="DW54" s="198"/>
      <c r="DX54" s="198"/>
      <c r="DY54" s="198"/>
      <c r="DZ54" s="198"/>
      <c r="EA54" s="198"/>
      <c r="EB54" s="198"/>
      <c r="EC54" s="198"/>
      <c r="ED54" s="198"/>
      <c r="EE54" s="197"/>
      <c r="EF54" s="198"/>
      <c r="EG54" s="198"/>
      <c r="EH54" s="198"/>
      <c r="EI54" s="198"/>
      <c r="EJ54" s="198"/>
      <c r="EK54" s="198"/>
      <c r="EL54" s="197"/>
      <c r="EM54" s="198"/>
      <c r="EN54" s="198"/>
      <c r="EO54" s="198"/>
      <c r="EP54" s="198"/>
      <c r="EQ54" s="198"/>
      <c r="ER54" s="198"/>
      <c r="ES54" s="197"/>
      <c r="ET54" s="198"/>
      <c r="EU54" s="198"/>
      <c r="EV54" s="198"/>
      <c r="EW54" s="198"/>
      <c r="EX54" s="198"/>
      <c r="EY54" s="198"/>
      <c r="EZ54" s="198"/>
      <c r="FA54" s="198"/>
      <c r="FB54" s="198"/>
      <c r="FC54" s="198"/>
      <c r="FD54" s="198"/>
      <c r="FE54" s="198"/>
      <c r="FF54" s="198"/>
      <c r="FG54" s="197"/>
      <c r="FH54" s="198"/>
      <c r="FI54" s="198"/>
      <c r="FJ54" s="198"/>
      <c r="FK54" s="198"/>
      <c r="FL54" s="198"/>
      <c r="FM54" s="198"/>
      <c r="FN54" s="197"/>
      <c r="FO54" s="198"/>
      <c r="FP54" s="198"/>
      <c r="FQ54" s="198"/>
      <c r="FR54" s="198"/>
      <c r="FS54" s="198"/>
      <c r="FT54" s="199"/>
      <c r="FU54" s="197"/>
      <c r="FV54" s="198"/>
      <c r="FW54" s="198"/>
      <c r="FX54" s="198"/>
      <c r="FY54" s="198"/>
      <c r="FZ54" s="198"/>
      <c r="GA54" s="199"/>
      <c r="GB54" s="197"/>
      <c r="GC54" s="198"/>
      <c r="GD54" s="198"/>
      <c r="GE54" s="198"/>
      <c r="GF54" s="198"/>
      <c r="GG54" s="198"/>
      <c r="GH54" s="199"/>
      <c r="GI54" s="197"/>
      <c r="GJ54" s="198"/>
      <c r="GK54" s="198"/>
      <c r="GL54" s="198"/>
      <c r="GM54" s="198"/>
      <c r="GN54" s="198"/>
      <c r="GO54" s="199"/>
      <c r="GP54" s="197"/>
      <c r="GQ54" s="198"/>
      <c r="GR54" s="198"/>
      <c r="GS54" s="198"/>
      <c r="GT54" s="198"/>
      <c r="GU54" s="198"/>
      <c r="GV54" s="199"/>
      <c r="GW54" s="197"/>
      <c r="GX54" s="198"/>
      <c r="GY54" s="198"/>
      <c r="GZ54" s="198"/>
      <c r="HA54" s="198"/>
      <c r="HB54" s="198"/>
      <c r="HC54" s="199"/>
      <c r="HD54" s="197"/>
      <c r="HE54" s="198"/>
      <c r="HF54" s="198"/>
      <c r="HG54" s="198"/>
      <c r="HH54" s="198"/>
      <c r="HI54" s="198"/>
      <c r="HJ54" s="199"/>
      <c r="HK54" s="197"/>
      <c r="HL54" s="198"/>
      <c r="HM54" s="198"/>
      <c r="HN54" s="198"/>
      <c r="HO54" s="198"/>
      <c r="HP54" s="198"/>
      <c r="HQ54" s="198"/>
      <c r="HR54" s="197"/>
      <c r="HT54" s="201"/>
      <c r="HU54" s="201"/>
      <c r="HV54" s="201"/>
      <c r="HW54" s="201"/>
      <c r="HX54" s="198"/>
    </row>
    <row r="55" spans="1:233">
      <c r="A55" s="185" t="s">
        <v>490</v>
      </c>
      <c r="B55" s="197"/>
      <c r="C55" s="198"/>
      <c r="D55" s="198"/>
      <c r="E55" s="198"/>
      <c r="F55" s="198"/>
      <c r="G55" s="198"/>
      <c r="H55" s="199"/>
      <c r="I55" s="197"/>
      <c r="J55" s="198"/>
      <c r="K55" s="198"/>
      <c r="L55" s="198"/>
      <c r="M55" s="198"/>
      <c r="N55" s="198"/>
      <c r="O55" s="199"/>
      <c r="P55" s="198"/>
      <c r="Q55" s="198"/>
      <c r="R55" s="198"/>
      <c r="S55" s="198"/>
      <c r="T55" s="198"/>
      <c r="U55" s="198"/>
      <c r="V55" s="199"/>
      <c r="W55" s="198">
        <v>1256.153</v>
      </c>
      <c r="X55" s="198">
        <v>174.91800000000001</v>
      </c>
      <c r="Y55" s="198">
        <v>322.36</v>
      </c>
      <c r="Z55" s="198">
        <v>51.686</v>
      </c>
      <c r="AA55" s="198">
        <v>266.91000000000003</v>
      </c>
      <c r="AB55" s="198"/>
      <c r="AC55" s="199">
        <f t="shared" si="0"/>
        <v>440.27900000000005</v>
      </c>
      <c r="AD55" s="198"/>
      <c r="AE55" s="198">
        <v>28.094999999999999</v>
      </c>
      <c r="AF55" s="198">
        <v>92.047000000000011</v>
      </c>
      <c r="AG55" s="198">
        <v>80.114000000000004</v>
      </c>
      <c r="AH55" s="198">
        <v>65.512</v>
      </c>
      <c r="AI55" s="198"/>
      <c r="AJ55" s="198"/>
      <c r="AK55" s="197"/>
      <c r="AL55" s="198"/>
      <c r="AM55" s="198"/>
      <c r="AN55" s="198"/>
      <c r="AO55" s="198"/>
      <c r="AP55" s="198"/>
      <c r="AQ55" s="199"/>
      <c r="AR55" s="198">
        <v>56.276580434337973</v>
      </c>
      <c r="AS55" s="198">
        <v>13.262528129698499</v>
      </c>
      <c r="AT55" s="198">
        <v>3.3639176260443406</v>
      </c>
      <c r="AU55" s="198">
        <v>13.255147730267081</v>
      </c>
      <c r="AV55" s="198">
        <v>1.3198153211570893</v>
      </c>
      <c r="AW55" s="198"/>
      <c r="AX55" s="198">
        <v>25.07517162717096</v>
      </c>
      <c r="AY55" s="197"/>
      <c r="AZ55" s="198"/>
      <c r="BA55" s="198"/>
      <c r="BB55" s="198"/>
      <c r="BC55" s="198"/>
      <c r="BD55" s="198"/>
      <c r="BE55" s="198"/>
      <c r="BF55" s="197"/>
      <c r="BG55" s="198"/>
      <c r="BH55" s="198"/>
      <c r="BI55" s="198"/>
      <c r="BJ55" s="198"/>
      <c r="BK55" s="198"/>
      <c r="BL55" s="198"/>
      <c r="BM55" s="197"/>
      <c r="BN55" s="198"/>
      <c r="BO55" s="198"/>
      <c r="BP55" s="198"/>
      <c r="BQ55" s="198"/>
      <c r="BR55" s="198"/>
      <c r="BS55" s="198"/>
      <c r="BT55" s="197"/>
      <c r="BU55" s="198"/>
      <c r="BV55" s="198"/>
      <c r="BW55" s="198"/>
      <c r="BX55" s="198"/>
      <c r="BY55" s="198"/>
      <c r="BZ55" s="198"/>
      <c r="CA55" s="197"/>
      <c r="CB55" s="198"/>
      <c r="CC55" s="198"/>
      <c r="CD55" s="198"/>
      <c r="CE55" s="198"/>
      <c r="CF55" s="198"/>
      <c r="CG55" s="198"/>
      <c r="CH55" s="197"/>
      <c r="CI55" s="198"/>
      <c r="CJ55" s="198"/>
      <c r="CK55" s="198"/>
      <c r="CL55" s="198"/>
      <c r="CM55" s="198"/>
      <c r="CN55" s="198"/>
      <c r="CO55" s="197"/>
      <c r="CP55" s="198"/>
      <c r="CQ55" s="198"/>
      <c r="CR55" s="198"/>
      <c r="CS55" s="198"/>
      <c r="CT55" s="198"/>
      <c r="CU55" s="198"/>
      <c r="CV55" s="197"/>
      <c r="CW55" s="198"/>
      <c r="CX55" s="198"/>
      <c r="CY55" s="198"/>
      <c r="CZ55" s="198"/>
      <c r="DA55" s="198"/>
      <c r="DB55" s="198"/>
      <c r="DC55" s="197"/>
      <c r="DD55" s="198"/>
      <c r="DE55" s="198"/>
      <c r="DF55" s="198"/>
      <c r="DG55" s="198"/>
      <c r="DH55" s="198"/>
      <c r="DI55" s="198"/>
      <c r="DJ55" s="197"/>
      <c r="DK55" s="198"/>
      <c r="DL55" s="198"/>
      <c r="DM55" s="198"/>
      <c r="DN55" s="198"/>
      <c r="DO55" s="198"/>
      <c r="DP55" s="198"/>
      <c r="DQ55" s="197"/>
      <c r="DR55" s="198"/>
      <c r="DS55" s="198"/>
      <c r="DT55" s="198"/>
      <c r="DU55" s="198"/>
      <c r="DV55" s="198"/>
      <c r="DW55" s="198"/>
      <c r="DX55" s="198"/>
      <c r="DY55" s="198"/>
      <c r="DZ55" s="198"/>
      <c r="EA55" s="198"/>
      <c r="EB55" s="198"/>
      <c r="EC55" s="198"/>
      <c r="ED55" s="198"/>
      <c r="EE55" s="197"/>
      <c r="EF55" s="198"/>
      <c r="EG55" s="198"/>
      <c r="EH55" s="198"/>
      <c r="EI55" s="198"/>
      <c r="EJ55" s="198"/>
      <c r="EK55" s="198"/>
      <c r="EL55" s="197"/>
      <c r="EM55" s="198"/>
      <c r="EN55" s="198"/>
      <c r="EO55" s="198"/>
      <c r="EP55" s="198"/>
      <c r="EQ55" s="198"/>
      <c r="ER55" s="198"/>
      <c r="ES55" s="197"/>
      <c r="ET55" s="198"/>
      <c r="EU55" s="198"/>
      <c r="EV55" s="198"/>
      <c r="EW55" s="198"/>
      <c r="EX55" s="198"/>
      <c r="EY55" s="198"/>
      <c r="EZ55" s="198"/>
      <c r="FA55" s="198"/>
      <c r="FB55" s="198"/>
      <c r="FC55" s="198"/>
      <c r="FD55" s="198"/>
      <c r="FE55" s="198"/>
      <c r="FF55" s="198"/>
      <c r="FG55" s="197"/>
      <c r="FH55" s="198"/>
      <c r="FI55" s="198"/>
      <c r="FJ55" s="198"/>
      <c r="FK55" s="198"/>
      <c r="FL55" s="198"/>
      <c r="FM55" s="198"/>
      <c r="FN55" s="197"/>
      <c r="FO55" s="198"/>
      <c r="FP55" s="198"/>
      <c r="FQ55" s="198"/>
      <c r="FR55" s="198"/>
      <c r="FS55" s="198"/>
      <c r="FT55" s="199"/>
      <c r="FU55" s="197"/>
      <c r="FV55" s="198"/>
      <c r="FW55" s="198"/>
      <c r="FX55" s="198"/>
      <c r="FY55" s="198"/>
      <c r="FZ55" s="198"/>
      <c r="GA55" s="199"/>
      <c r="GB55" s="197"/>
      <c r="GC55" s="198"/>
      <c r="GD55" s="198"/>
      <c r="GE55" s="198"/>
      <c r="GF55" s="198"/>
      <c r="GG55" s="198"/>
      <c r="GH55" s="199"/>
      <c r="GI55" s="197"/>
      <c r="GJ55" s="198"/>
      <c r="GK55" s="198"/>
      <c r="GL55" s="198"/>
      <c r="GM55" s="198"/>
      <c r="GN55" s="198"/>
      <c r="GO55" s="199"/>
      <c r="GP55" s="197"/>
      <c r="GQ55" s="198"/>
      <c r="GR55" s="198"/>
      <c r="GS55" s="198"/>
      <c r="GT55" s="198"/>
      <c r="GU55" s="198"/>
      <c r="GV55" s="199"/>
      <c r="GW55" s="197"/>
      <c r="GX55" s="198"/>
      <c r="GY55" s="198"/>
      <c r="GZ55" s="198"/>
      <c r="HA55" s="198"/>
      <c r="HB55" s="198"/>
      <c r="HC55" s="199"/>
      <c r="HD55" s="197"/>
      <c r="HE55" s="198"/>
      <c r="HF55" s="198"/>
      <c r="HG55" s="198"/>
      <c r="HH55" s="198"/>
      <c r="HI55" s="198"/>
      <c r="HJ55" s="199"/>
      <c r="HK55" s="197"/>
      <c r="HL55" s="198"/>
      <c r="HM55" s="198"/>
      <c r="HN55" s="198"/>
      <c r="HO55" s="198"/>
      <c r="HP55" s="198"/>
      <c r="HQ55" s="198"/>
      <c r="HR55" s="197"/>
      <c r="HT55" s="198"/>
      <c r="HU55" s="198"/>
      <c r="HV55" s="198"/>
      <c r="HW55" s="198"/>
      <c r="HX55" s="198"/>
    </row>
    <row r="56" spans="1:233">
      <c r="A56" s="185" t="s">
        <v>491</v>
      </c>
      <c r="B56" s="197"/>
      <c r="C56" s="198"/>
      <c r="D56" s="198"/>
      <c r="E56" s="198"/>
      <c r="F56" s="198"/>
      <c r="G56" s="198"/>
      <c r="H56" s="199"/>
      <c r="I56" s="197"/>
      <c r="J56" s="198"/>
      <c r="K56" s="198"/>
      <c r="L56" s="198"/>
      <c r="M56" s="198"/>
      <c r="N56" s="198"/>
      <c r="O56" s="199"/>
      <c r="P56" s="198"/>
      <c r="Q56" s="198"/>
      <c r="R56" s="198"/>
      <c r="S56" s="198"/>
      <c r="T56" s="198"/>
      <c r="U56" s="198"/>
      <c r="V56" s="199"/>
      <c r="W56" s="198">
        <v>1237.2</v>
      </c>
      <c r="X56" s="198">
        <v>176.114</v>
      </c>
      <c r="Y56" s="198">
        <v>317.23400000000004</v>
      </c>
      <c r="Z56" s="198">
        <v>53.606000000000002</v>
      </c>
      <c r="AA56" s="198">
        <v>263.8</v>
      </c>
      <c r="AB56" s="198"/>
      <c r="AC56" s="199">
        <f t="shared" si="0"/>
        <v>426.44599999999997</v>
      </c>
      <c r="AD56" s="198">
        <f>[1]datos!$S188</f>
        <v>368.51500000000004</v>
      </c>
      <c r="AE56" s="198">
        <v>26.748999999999999</v>
      </c>
      <c r="AF56" s="198">
        <v>91.047000000000011</v>
      </c>
      <c r="AG56" s="198">
        <v>79.158999999999992</v>
      </c>
      <c r="AH56" s="198">
        <v>56.106999999999999</v>
      </c>
      <c r="AI56" s="198">
        <f>[1]datos!$U188</f>
        <v>31.838000000000001</v>
      </c>
      <c r="AJ56" s="198">
        <f>AD56-AE56-AF56-AG56-AH56-AI56</f>
        <v>83.615000000000009</v>
      </c>
      <c r="AK56" s="197"/>
      <c r="AL56" s="198"/>
      <c r="AM56" s="198"/>
      <c r="AN56" s="198"/>
      <c r="AO56" s="198"/>
      <c r="AP56" s="198"/>
      <c r="AQ56" s="199"/>
      <c r="AR56" s="198">
        <v>68.936931433494834</v>
      </c>
      <c r="AS56" s="198">
        <v>15.864181733241216</v>
      </c>
      <c r="AT56" s="198">
        <v>4.2168827915735223</v>
      </c>
      <c r="AU56" s="198">
        <v>16.292473755667761</v>
      </c>
      <c r="AV56" s="198">
        <v>1.6370383760910983</v>
      </c>
      <c r="AW56" s="198"/>
      <c r="AX56" s="198">
        <v>30.926354776921233</v>
      </c>
      <c r="AY56" s="197"/>
      <c r="AZ56" s="198"/>
      <c r="BA56" s="198"/>
      <c r="BB56" s="198"/>
      <c r="BC56" s="198"/>
      <c r="BD56" s="198"/>
      <c r="BE56" s="198"/>
      <c r="BF56" s="197"/>
      <c r="BG56" s="198"/>
      <c r="BH56" s="198"/>
      <c r="BI56" s="198"/>
      <c r="BJ56" s="198"/>
      <c r="BK56" s="198"/>
      <c r="BL56" s="198"/>
      <c r="BM56" s="197"/>
      <c r="BN56" s="198"/>
      <c r="BO56" s="198"/>
      <c r="BP56" s="198"/>
      <c r="BQ56" s="198"/>
      <c r="BR56" s="198"/>
      <c r="BS56" s="198"/>
      <c r="BT56" s="197"/>
      <c r="BU56" s="198"/>
      <c r="BV56" s="198"/>
      <c r="BW56" s="198"/>
      <c r="BX56" s="198"/>
      <c r="BY56" s="198"/>
      <c r="BZ56" s="198"/>
      <c r="CA56" s="197"/>
      <c r="CB56" s="198"/>
      <c r="CC56" s="198"/>
      <c r="CD56" s="198"/>
      <c r="CE56" s="198"/>
      <c r="CF56" s="198"/>
      <c r="CG56" s="198"/>
      <c r="CH56" s="197"/>
      <c r="CI56" s="198"/>
      <c r="CJ56" s="198"/>
      <c r="CK56" s="198"/>
      <c r="CL56" s="198"/>
      <c r="CM56" s="198"/>
      <c r="CN56" s="198"/>
      <c r="CO56" s="197"/>
      <c r="CP56" s="198"/>
      <c r="CQ56" s="198"/>
      <c r="CR56" s="198"/>
      <c r="CS56" s="198"/>
      <c r="CT56" s="198"/>
      <c r="CU56" s="198"/>
      <c r="CV56" s="197"/>
      <c r="CW56" s="198"/>
      <c r="CX56" s="198"/>
      <c r="CY56" s="198"/>
      <c r="CZ56" s="198"/>
      <c r="DA56" s="198"/>
      <c r="DB56" s="198"/>
      <c r="DC56" s="197"/>
      <c r="DD56" s="198"/>
      <c r="DE56" s="198"/>
      <c r="DF56" s="198"/>
      <c r="DG56" s="198"/>
      <c r="DH56" s="198"/>
      <c r="DI56" s="198"/>
      <c r="DJ56" s="197"/>
      <c r="DK56" s="198"/>
      <c r="DL56" s="198"/>
      <c r="DM56" s="198"/>
      <c r="DN56" s="198"/>
      <c r="DO56" s="198"/>
      <c r="DP56" s="198"/>
      <c r="DQ56" s="197"/>
      <c r="DR56" s="198"/>
      <c r="DS56" s="198"/>
      <c r="DT56" s="198"/>
      <c r="DU56" s="198"/>
      <c r="DV56" s="198"/>
      <c r="DW56" s="198"/>
      <c r="DX56" s="198"/>
      <c r="DY56" s="198"/>
      <c r="DZ56" s="198"/>
      <c r="EA56" s="198"/>
      <c r="EB56" s="198"/>
      <c r="EC56" s="198"/>
      <c r="ED56" s="198"/>
      <c r="EE56" s="197"/>
      <c r="EF56" s="198"/>
      <c r="EG56" s="198"/>
      <c r="EH56" s="198"/>
      <c r="EI56" s="198"/>
      <c r="EJ56" s="198"/>
      <c r="EK56" s="198"/>
      <c r="EL56" s="197"/>
      <c r="EM56" s="198"/>
      <c r="EN56" s="198"/>
      <c r="EO56" s="198"/>
      <c r="EP56" s="198"/>
      <c r="EQ56" s="198"/>
      <c r="ER56" s="198"/>
      <c r="ES56" s="197"/>
      <c r="ET56" s="198"/>
      <c r="EU56" s="198"/>
      <c r="EV56" s="198"/>
      <c r="EW56" s="198"/>
      <c r="EX56" s="198"/>
      <c r="EY56" s="198"/>
      <c r="EZ56" s="198"/>
      <c r="FA56" s="198"/>
      <c r="FB56" s="198"/>
      <c r="FC56" s="198"/>
      <c r="FD56" s="198"/>
      <c r="FE56" s="198"/>
      <c r="FF56" s="198"/>
      <c r="FG56" s="197"/>
      <c r="FH56" s="198"/>
      <c r="FI56" s="198"/>
      <c r="FJ56" s="198"/>
      <c r="FK56" s="198"/>
      <c r="FL56" s="198"/>
      <c r="FM56" s="198"/>
      <c r="FN56" s="197"/>
      <c r="FO56" s="198"/>
      <c r="FP56" s="198"/>
      <c r="FQ56" s="198"/>
      <c r="FR56" s="198"/>
      <c r="FS56" s="198"/>
      <c r="FT56" s="199"/>
      <c r="FU56" s="197"/>
      <c r="FV56" s="198"/>
      <c r="FW56" s="198"/>
      <c r="FX56" s="198"/>
      <c r="FY56" s="198"/>
      <c r="FZ56" s="198"/>
      <c r="GA56" s="199"/>
      <c r="GB56" s="197"/>
      <c r="GC56" s="198"/>
      <c r="GD56" s="198"/>
      <c r="GE56" s="198"/>
      <c r="GF56" s="198"/>
      <c r="GG56" s="198"/>
      <c r="GH56" s="199"/>
      <c r="GI56" s="197"/>
      <c r="GJ56" s="198"/>
      <c r="GK56" s="198"/>
      <c r="GL56" s="198"/>
      <c r="GM56" s="198"/>
      <c r="GN56" s="198"/>
      <c r="GO56" s="199"/>
      <c r="GP56" s="197"/>
      <c r="GQ56" s="198"/>
      <c r="GR56" s="198"/>
      <c r="GS56" s="198"/>
      <c r="GT56" s="198"/>
      <c r="GU56" s="198"/>
      <c r="GV56" s="199"/>
      <c r="GW56" s="197"/>
      <c r="GX56" s="198"/>
      <c r="GY56" s="198"/>
      <c r="GZ56" s="198"/>
      <c r="HA56" s="198"/>
      <c r="HB56" s="198"/>
      <c r="HC56" s="199"/>
      <c r="HD56" s="197"/>
      <c r="HE56" s="198"/>
      <c r="HF56" s="198"/>
      <c r="HG56" s="198"/>
      <c r="HH56" s="198"/>
      <c r="HI56" s="198"/>
      <c r="HJ56" s="199"/>
      <c r="HK56" s="197"/>
      <c r="HL56" s="198"/>
      <c r="HM56" s="198"/>
      <c r="HN56" s="198"/>
      <c r="HO56" s="198"/>
      <c r="HP56" s="198"/>
      <c r="HQ56" s="198"/>
      <c r="HR56" s="197"/>
      <c r="HT56" s="198"/>
      <c r="HU56" s="198"/>
      <c r="HV56" s="198"/>
      <c r="HW56" s="198"/>
      <c r="HX56" s="198"/>
    </row>
    <row r="57" spans="1:233">
      <c r="A57" s="185" t="s">
        <v>492</v>
      </c>
      <c r="B57" s="197"/>
      <c r="C57" s="198"/>
      <c r="D57" s="198"/>
      <c r="E57" s="198"/>
      <c r="F57" s="198"/>
      <c r="G57" s="198"/>
      <c r="H57" s="199"/>
      <c r="I57" s="197"/>
      <c r="J57" s="198"/>
      <c r="K57" s="198"/>
      <c r="L57" s="198"/>
      <c r="M57" s="198"/>
      <c r="N57" s="198"/>
      <c r="O57" s="199"/>
      <c r="P57" s="198"/>
      <c r="Q57" s="198"/>
      <c r="R57" s="198"/>
      <c r="S57" s="198"/>
      <c r="T57" s="198"/>
      <c r="U57" s="198"/>
      <c r="V57" s="199"/>
      <c r="W57" s="198">
        <v>1216.78</v>
      </c>
      <c r="X57" s="198">
        <v>172.47300000000001</v>
      </c>
      <c r="Y57" s="198">
        <v>307.95300000000003</v>
      </c>
      <c r="Z57" s="198">
        <v>51.588999999999999</v>
      </c>
      <c r="AA57" s="198">
        <v>259.50799999999998</v>
      </c>
      <c r="AB57" s="198"/>
      <c r="AC57" s="199">
        <f t="shared" si="0"/>
        <v>425.25700000000012</v>
      </c>
      <c r="AD57" s="198"/>
      <c r="AE57" s="198">
        <v>23.579000000000001</v>
      </c>
      <c r="AF57" s="198">
        <v>95.250999999999991</v>
      </c>
      <c r="AG57" s="198">
        <v>78.575000000000003</v>
      </c>
      <c r="AH57" s="198">
        <v>57.941000000000003</v>
      </c>
      <c r="AI57" s="198"/>
      <c r="AJ57" s="198"/>
      <c r="AK57" s="197"/>
      <c r="AL57" s="198"/>
      <c r="AM57" s="198"/>
      <c r="AN57" s="198"/>
      <c r="AO57" s="198"/>
      <c r="AP57" s="198"/>
      <c r="AQ57" s="199"/>
      <c r="AR57" s="198">
        <v>84.379883167262037</v>
      </c>
      <c r="AS57" s="198">
        <v>19.738948662847211</v>
      </c>
      <c r="AT57" s="198">
        <v>5.5193822335251728</v>
      </c>
      <c r="AU57" s="198">
        <v>19.57695142060382</v>
      </c>
      <c r="AV57" s="198">
        <v>2.1162657340774684</v>
      </c>
      <c r="AW57" s="198"/>
      <c r="AX57" s="198">
        <v>37.428335116208373</v>
      </c>
      <c r="AY57" s="197"/>
      <c r="AZ57" s="198"/>
      <c r="BA57" s="198"/>
      <c r="BB57" s="198"/>
      <c r="BC57" s="198"/>
      <c r="BD57" s="198"/>
      <c r="BE57" s="198"/>
      <c r="BF57" s="197"/>
      <c r="BG57" s="198"/>
      <c r="BH57" s="198"/>
      <c r="BI57" s="198"/>
      <c r="BJ57" s="198"/>
      <c r="BK57" s="198"/>
      <c r="BL57" s="198"/>
      <c r="BM57" s="197"/>
      <c r="BN57" s="198"/>
      <c r="BO57" s="198"/>
      <c r="BP57" s="198"/>
      <c r="BQ57" s="198"/>
      <c r="BR57" s="198"/>
      <c r="BS57" s="198"/>
      <c r="BT57" s="197"/>
      <c r="BU57" s="198"/>
      <c r="BV57" s="198"/>
      <c r="BW57" s="198"/>
      <c r="BX57" s="198"/>
      <c r="BY57" s="198"/>
      <c r="BZ57" s="198"/>
      <c r="CA57" s="197"/>
      <c r="CB57" s="198"/>
      <c r="CC57" s="198"/>
      <c r="CD57" s="198"/>
      <c r="CE57" s="198"/>
      <c r="CF57" s="198"/>
      <c r="CG57" s="198"/>
      <c r="CH57" s="197"/>
      <c r="CI57" s="198"/>
      <c r="CJ57" s="198"/>
      <c r="CK57" s="198"/>
      <c r="CL57" s="198"/>
      <c r="CM57" s="198"/>
      <c r="CN57" s="198"/>
      <c r="CO57" s="197"/>
      <c r="CP57" s="198"/>
      <c r="CQ57" s="198"/>
      <c r="CR57" s="198"/>
      <c r="CS57" s="198"/>
      <c r="CT57" s="198"/>
      <c r="CU57" s="198"/>
      <c r="CV57" s="197"/>
      <c r="CW57" s="198"/>
      <c r="CX57" s="198"/>
      <c r="CY57" s="198"/>
      <c r="CZ57" s="198"/>
      <c r="DA57" s="198"/>
      <c r="DB57" s="198"/>
      <c r="DC57" s="197"/>
      <c r="DD57" s="198"/>
      <c r="DE57" s="198"/>
      <c r="DF57" s="198"/>
      <c r="DG57" s="198"/>
      <c r="DH57" s="198"/>
      <c r="DI57" s="198"/>
      <c r="DJ57" s="197"/>
      <c r="DK57" s="198"/>
      <c r="DL57" s="198"/>
      <c r="DM57" s="198"/>
      <c r="DN57" s="198"/>
      <c r="DO57" s="198"/>
      <c r="DP57" s="198"/>
      <c r="DQ57" s="197"/>
      <c r="DR57" s="198"/>
      <c r="DS57" s="198"/>
      <c r="DT57" s="198"/>
      <c r="DU57" s="198"/>
      <c r="DV57" s="198"/>
      <c r="DW57" s="198"/>
      <c r="DX57" s="198"/>
      <c r="DY57" s="198"/>
      <c r="DZ57" s="198"/>
      <c r="EA57" s="198"/>
      <c r="EB57" s="198"/>
      <c r="EC57" s="198"/>
      <c r="ED57" s="198"/>
      <c r="EE57" s="197"/>
      <c r="EF57" s="198"/>
      <c r="EG57" s="198"/>
      <c r="EH57" s="198"/>
      <c r="EI57" s="198"/>
      <c r="EJ57" s="198"/>
      <c r="EK57" s="198"/>
      <c r="EL57" s="197"/>
      <c r="EM57" s="198"/>
      <c r="EN57" s="198"/>
      <c r="EO57" s="198"/>
      <c r="EP57" s="198"/>
      <c r="EQ57" s="198"/>
      <c r="ER57" s="198"/>
      <c r="ES57" s="197"/>
      <c r="ET57" s="198"/>
      <c r="EU57" s="198"/>
      <c r="EV57" s="198"/>
      <c r="EW57" s="198"/>
      <c r="EX57" s="198"/>
      <c r="EY57" s="198"/>
      <c r="EZ57" s="198"/>
      <c r="FA57" s="198"/>
      <c r="FB57" s="198"/>
      <c r="FC57" s="198"/>
      <c r="FD57" s="198"/>
      <c r="FE57" s="198"/>
      <c r="FF57" s="198"/>
      <c r="FG57" s="197"/>
      <c r="FH57" s="198"/>
      <c r="FI57" s="198"/>
      <c r="FJ57" s="198"/>
      <c r="FK57" s="198"/>
      <c r="FL57" s="198"/>
      <c r="FM57" s="198"/>
      <c r="FN57" s="197"/>
      <c r="FO57" s="198"/>
      <c r="FP57" s="198"/>
      <c r="FQ57" s="198"/>
      <c r="FR57" s="198"/>
      <c r="FS57" s="198"/>
      <c r="FT57" s="199"/>
      <c r="FU57" s="197"/>
      <c r="FV57" s="198"/>
      <c r="FW57" s="198"/>
      <c r="FX57" s="198"/>
      <c r="FY57" s="198"/>
      <c r="FZ57" s="198"/>
      <c r="GA57" s="199"/>
      <c r="GB57" s="197"/>
      <c r="GC57" s="198"/>
      <c r="GD57" s="198"/>
      <c r="GE57" s="198"/>
      <c r="GF57" s="198"/>
      <c r="GG57" s="198"/>
      <c r="GH57" s="199"/>
      <c r="GI57" s="197"/>
      <c r="GJ57" s="198"/>
      <c r="GK57" s="198"/>
      <c r="GL57" s="198"/>
      <c r="GM57" s="198"/>
      <c r="GN57" s="198"/>
      <c r="GO57" s="199"/>
      <c r="GP57" s="197"/>
      <c r="GQ57" s="198"/>
      <c r="GR57" s="198"/>
      <c r="GS57" s="198"/>
      <c r="GT57" s="198"/>
      <c r="GU57" s="198"/>
      <c r="GV57" s="199"/>
      <c r="GW57" s="197"/>
      <c r="GX57" s="198"/>
      <c r="GY57" s="198"/>
      <c r="GZ57" s="198"/>
      <c r="HA57" s="198"/>
      <c r="HB57" s="198"/>
      <c r="HC57" s="199"/>
      <c r="HD57" s="197"/>
      <c r="HE57" s="198"/>
      <c r="HF57" s="198"/>
      <c r="HG57" s="198"/>
      <c r="HH57" s="198"/>
      <c r="HI57" s="198"/>
      <c r="HJ57" s="199"/>
      <c r="HK57" s="197"/>
      <c r="HL57" s="198"/>
      <c r="HM57" s="198"/>
      <c r="HN57" s="198"/>
      <c r="HO57" s="198"/>
      <c r="HP57" s="198"/>
      <c r="HQ57" s="198"/>
      <c r="HR57" s="197"/>
      <c r="HT57" s="198"/>
      <c r="HU57" s="198"/>
      <c r="HV57" s="198"/>
      <c r="HW57" s="198"/>
      <c r="HX57" s="198"/>
    </row>
    <row r="58" spans="1:233">
      <c r="A58" s="185" t="s">
        <v>493</v>
      </c>
      <c r="B58" s="197"/>
      <c r="C58" s="198"/>
      <c r="D58" s="198"/>
      <c r="E58" s="198"/>
      <c r="F58" s="198"/>
      <c r="G58" s="198"/>
      <c r="H58" s="199"/>
      <c r="I58" s="197"/>
      <c r="J58" s="198"/>
      <c r="K58" s="198"/>
      <c r="L58" s="198"/>
      <c r="M58" s="198"/>
      <c r="N58" s="198"/>
      <c r="O58" s="199"/>
      <c r="P58" s="198"/>
      <c r="Q58" s="198"/>
      <c r="R58" s="198"/>
      <c r="S58" s="198"/>
      <c r="T58" s="198"/>
      <c r="U58" s="198"/>
      <c r="V58" s="199"/>
      <c r="W58" s="198">
        <v>1198.857</v>
      </c>
      <c r="X58" s="198">
        <v>174.34200000000001</v>
      </c>
      <c r="Y58" s="198">
        <v>307.27800000000002</v>
      </c>
      <c r="Z58" s="198">
        <v>49.933</v>
      </c>
      <c r="AA58" s="198">
        <v>258.36500000000001</v>
      </c>
      <c r="AB58" s="198"/>
      <c r="AC58" s="199">
        <f t="shared" si="0"/>
        <v>408.93899999999985</v>
      </c>
      <c r="AD58" s="198"/>
      <c r="AE58" s="198">
        <v>25.292000000000002</v>
      </c>
      <c r="AF58" s="198">
        <v>96.822999999999993</v>
      </c>
      <c r="AG58" s="198">
        <v>79.042999999999992</v>
      </c>
      <c r="AH58" s="198">
        <v>58.182000000000002</v>
      </c>
      <c r="AI58" s="198"/>
      <c r="AJ58" s="198"/>
      <c r="AK58" s="197"/>
      <c r="AL58" s="198"/>
      <c r="AM58" s="198"/>
      <c r="AN58" s="198"/>
      <c r="AO58" s="198"/>
      <c r="AP58" s="198"/>
      <c r="AQ58" s="199"/>
      <c r="AR58" s="198">
        <v>102.59764306785391</v>
      </c>
      <c r="AS58" s="198">
        <v>24.345006488704993</v>
      </c>
      <c r="AT58" s="198">
        <v>6.8107133554919432</v>
      </c>
      <c r="AU58" s="198">
        <v>23.432864104890733</v>
      </c>
      <c r="AV58" s="198">
        <v>2.3816198503936916</v>
      </c>
      <c r="AW58" s="198"/>
      <c r="AX58" s="198">
        <v>45.627439268372541</v>
      </c>
      <c r="AY58" s="197"/>
      <c r="AZ58" s="198"/>
      <c r="BA58" s="198"/>
      <c r="BB58" s="198"/>
      <c r="BC58" s="198"/>
      <c r="BD58" s="198"/>
      <c r="BE58" s="198"/>
      <c r="BF58" s="197"/>
      <c r="BG58" s="198"/>
      <c r="BH58" s="198"/>
      <c r="BI58" s="198"/>
      <c r="BJ58" s="198"/>
      <c r="BK58" s="198"/>
      <c r="BL58" s="198"/>
      <c r="BM58" s="197"/>
      <c r="BN58" s="198"/>
      <c r="BO58" s="198"/>
      <c r="BP58" s="198"/>
      <c r="BQ58" s="198"/>
      <c r="BR58" s="198"/>
      <c r="BS58" s="198"/>
      <c r="BT58" s="197"/>
      <c r="BU58" s="198"/>
      <c r="BV58" s="198"/>
      <c r="BW58" s="198"/>
      <c r="BX58" s="198"/>
      <c r="BY58" s="198"/>
      <c r="BZ58" s="198"/>
      <c r="CA58" s="197"/>
      <c r="CB58" s="198"/>
      <c r="CC58" s="198"/>
      <c r="CD58" s="198"/>
      <c r="CE58" s="198"/>
      <c r="CF58" s="198"/>
      <c r="CG58" s="198"/>
      <c r="CH58" s="197"/>
      <c r="CI58" s="198"/>
      <c r="CJ58" s="198"/>
      <c r="CK58" s="198"/>
      <c r="CL58" s="198"/>
      <c r="CM58" s="198"/>
      <c r="CN58" s="198"/>
      <c r="CO58" s="197"/>
      <c r="CP58" s="198"/>
      <c r="CQ58" s="198"/>
      <c r="CR58" s="198"/>
      <c r="CS58" s="198"/>
      <c r="CT58" s="198"/>
      <c r="CU58" s="198"/>
      <c r="CV58" s="197"/>
      <c r="CW58" s="198"/>
      <c r="CX58" s="198"/>
      <c r="CY58" s="198"/>
      <c r="CZ58" s="198"/>
      <c r="DA58" s="198"/>
      <c r="DB58" s="198"/>
      <c r="DC58" s="197"/>
      <c r="DD58" s="198"/>
      <c r="DE58" s="198"/>
      <c r="DF58" s="198"/>
      <c r="DG58" s="198"/>
      <c r="DH58" s="198"/>
      <c r="DI58" s="198"/>
      <c r="DJ58" s="197"/>
      <c r="DK58" s="198"/>
      <c r="DL58" s="198"/>
      <c r="DM58" s="198"/>
      <c r="DN58" s="198"/>
      <c r="DO58" s="198"/>
      <c r="DP58" s="198"/>
      <c r="DQ58" s="197"/>
      <c r="DR58" s="198"/>
      <c r="DS58" s="198"/>
      <c r="DT58" s="198"/>
      <c r="DU58" s="198"/>
      <c r="DV58" s="198"/>
      <c r="DW58" s="198"/>
      <c r="DX58" s="198"/>
      <c r="DY58" s="198"/>
      <c r="DZ58" s="198"/>
      <c r="EA58" s="198"/>
      <c r="EB58" s="198"/>
      <c r="EC58" s="198"/>
      <c r="ED58" s="198"/>
      <c r="EE58" s="197"/>
      <c r="EF58" s="198"/>
      <c r="EG58" s="198"/>
      <c r="EH58" s="198"/>
      <c r="EI58" s="198"/>
      <c r="EJ58" s="198"/>
      <c r="EK58" s="198"/>
      <c r="EL58" s="197"/>
      <c r="EM58" s="198"/>
      <c r="EN58" s="198"/>
      <c r="EO58" s="198"/>
      <c r="EP58" s="198"/>
      <c r="EQ58" s="198"/>
      <c r="ER58" s="198"/>
      <c r="ES58" s="197"/>
      <c r="ET58" s="198"/>
      <c r="EU58" s="198"/>
      <c r="EV58" s="198"/>
      <c r="EW58" s="198"/>
      <c r="EX58" s="198"/>
      <c r="EY58" s="198"/>
      <c r="EZ58" s="198"/>
      <c r="FA58" s="198"/>
      <c r="FB58" s="198"/>
      <c r="FC58" s="198"/>
      <c r="FD58" s="198"/>
      <c r="FE58" s="198"/>
      <c r="FF58" s="198"/>
      <c r="FG58" s="197"/>
      <c r="FH58" s="198"/>
      <c r="FI58" s="198"/>
      <c r="FJ58" s="198"/>
      <c r="FK58" s="198"/>
      <c r="FL58" s="198"/>
      <c r="FM58" s="198"/>
      <c r="FN58" s="197"/>
      <c r="FO58" s="198"/>
      <c r="FP58" s="198"/>
      <c r="FQ58" s="198"/>
      <c r="FR58" s="198"/>
      <c r="FS58" s="198"/>
      <c r="FT58" s="199"/>
      <c r="FU58" s="197"/>
      <c r="FV58" s="198"/>
      <c r="FW58" s="198"/>
      <c r="FX58" s="198"/>
      <c r="FY58" s="198"/>
      <c r="FZ58" s="198"/>
      <c r="GA58" s="199"/>
      <c r="GB58" s="197"/>
      <c r="GC58" s="198"/>
      <c r="GD58" s="198"/>
      <c r="GE58" s="198"/>
      <c r="GF58" s="198"/>
      <c r="GG58" s="198"/>
      <c r="GH58" s="199"/>
      <c r="GI58" s="197"/>
      <c r="GJ58" s="198"/>
      <c r="GK58" s="198"/>
      <c r="GL58" s="198"/>
      <c r="GM58" s="198"/>
      <c r="GN58" s="198"/>
      <c r="GO58" s="199"/>
      <c r="GP58" s="197"/>
      <c r="GQ58" s="198"/>
      <c r="GR58" s="198"/>
      <c r="GS58" s="198"/>
      <c r="GT58" s="198"/>
      <c r="GU58" s="198"/>
      <c r="GV58" s="199"/>
      <c r="GW58" s="197"/>
      <c r="GX58" s="198"/>
      <c r="GY58" s="198"/>
      <c r="GZ58" s="198"/>
      <c r="HA58" s="198"/>
      <c r="HB58" s="198"/>
      <c r="HC58" s="199"/>
      <c r="HD58" s="197"/>
      <c r="HE58" s="198"/>
      <c r="HF58" s="198"/>
      <c r="HG58" s="198"/>
      <c r="HH58" s="198"/>
      <c r="HI58" s="198"/>
      <c r="HJ58" s="199"/>
      <c r="HK58" s="197"/>
      <c r="HL58" s="198"/>
      <c r="HM58" s="198"/>
      <c r="HN58" s="198"/>
      <c r="HO58" s="198"/>
      <c r="HP58" s="198"/>
      <c r="HQ58" s="198"/>
      <c r="HR58" s="197"/>
      <c r="HT58" s="198"/>
      <c r="HU58" s="198"/>
      <c r="HV58" s="198"/>
      <c r="HW58" s="198"/>
      <c r="HX58" s="198"/>
    </row>
    <row r="59" spans="1:233">
      <c r="A59" s="185" t="s">
        <v>494</v>
      </c>
      <c r="B59" s="197"/>
      <c r="C59" s="198"/>
      <c r="D59" s="198"/>
      <c r="E59" s="198"/>
      <c r="F59" s="198"/>
      <c r="G59" s="198"/>
      <c r="H59" s="199"/>
      <c r="I59" s="197"/>
      <c r="J59" s="198"/>
      <c r="K59" s="198"/>
      <c r="L59" s="198"/>
      <c r="M59" s="198"/>
      <c r="N59" s="198"/>
      <c r="O59" s="199"/>
      <c r="P59" s="198"/>
      <c r="Q59" s="198"/>
      <c r="R59" s="198"/>
      <c r="S59" s="198"/>
      <c r="T59" s="198"/>
      <c r="U59" s="198"/>
      <c r="V59" s="199"/>
      <c r="W59" s="198">
        <v>1200.789</v>
      </c>
      <c r="X59" s="198">
        <v>175.196</v>
      </c>
      <c r="Y59" s="198">
        <v>315.02499999999998</v>
      </c>
      <c r="Z59" s="198">
        <v>51.087000000000003</v>
      </c>
      <c r="AA59" s="198">
        <v>258.77800000000002</v>
      </c>
      <c r="AB59" s="198"/>
      <c r="AC59" s="199">
        <f t="shared" si="0"/>
        <v>400.70300000000009</v>
      </c>
      <c r="AD59" s="198">
        <f>[1]datos!$S191</f>
        <v>375.93599999999998</v>
      </c>
      <c r="AE59" s="198">
        <v>24.83</v>
      </c>
      <c r="AF59" s="198">
        <v>96.551999999999992</v>
      </c>
      <c r="AG59" s="198">
        <v>81.212000000000003</v>
      </c>
      <c r="AH59" s="198">
        <v>58.790999999999997</v>
      </c>
      <c r="AI59" s="198">
        <f>[1]datos!$U191</f>
        <v>32.18</v>
      </c>
      <c r="AJ59" s="198">
        <f>AD59-AE59-AF59-AG59-AH59-AI59</f>
        <v>82.370999999999981</v>
      </c>
      <c r="AK59" s="197"/>
      <c r="AL59" s="198"/>
      <c r="AM59" s="198"/>
      <c r="AN59" s="198"/>
      <c r="AO59" s="198"/>
      <c r="AP59" s="198"/>
      <c r="AQ59" s="199"/>
      <c r="AR59" s="198">
        <v>131.36649606818182</v>
      </c>
      <c r="AS59" s="198">
        <v>29.327970947458386</v>
      </c>
      <c r="AT59" s="198">
        <v>8.6924292743966696</v>
      </c>
      <c r="AU59" s="198">
        <v>33.604826591491239</v>
      </c>
      <c r="AV59" s="198">
        <v>3.1228591954567388</v>
      </c>
      <c r="AW59" s="198"/>
      <c r="AX59" s="198">
        <v>56.618410059378796</v>
      </c>
      <c r="AY59" s="197"/>
      <c r="AZ59" s="198"/>
      <c r="BA59" s="198"/>
      <c r="BB59" s="198"/>
      <c r="BC59" s="198"/>
      <c r="BD59" s="198"/>
      <c r="BE59" s="198"/>
      <c r="BF59" s="197"/>
      <c r="BG59" s="198"/>
      <c r="BH59" s="198"/>
      <c r="BI59" s="198"/>
      <c r="BJ59" s="198"/>
      <c r="BK59" s="198"/>
      <c r="BL59" s="198"/>
      <c r="BM59" s="197"/>
      <c r="BN59" s="198"/>
      <c r="BO59" s="198"/>
      <c r="BP59" s="198"/>
      <c r="BQ59" s="198"/>
      <c r="BR59" s="198"/>
      <c r="BS59" s="198"/>
      <c r="BT59" s="197"/>
      <c r="BU59" s="198"/>
      <c r="BV59" s="198"/>
      <c r="BW59" s="198"/>
      <c r="BX59" s="198"/>
      <c r="BY59" s="198"/>
      <c r="BZ59" s="198"/>
      <c r="CA59" s="197"/>
      <c r="CB59" s="198"/>
      <c r="CC59" s="198"/>
      <c r="CD59" s="198"/>
      <c r="CE59" s="198"/>
      <c r="CF59" s="198"/>
      <c r="CG59" s="198"/>
      <c r="CH59" s="197"/>
      <c r="CI59" s="198"/>
      <c r="CJ59" s="198"/>
      <c r="CK59" s="198"/>
      <c r="CL59" s="198"/>
      <c r="CM59" s="198"/>
      <c r="CN59" s="198"/>
      <c r="CO59" s="197"/>
      <c r="CP59" s="198"/>
      <c r="CQ59" s="198"/>
      <c r="CR59" s="198"/>
      <c r="CS59" s="198"/>
      <c r="CT59" s="198"/>
      <c r="CU59" s="198"/>
      <c r="CV59" s="197"/>
      <c r="CW59" s="198"/>
      <c r="CX59" s="198"/>
      <c r="CY59" s="198"/>
      <c r="CZ59" s="198"/>
      <c r="DA59" s="198"/>
      <c r="DB59" s="198"/>
      <c r="DC59" s="197"/>
      <c r="DD59" s="198"/>
      <c r="DE59" s="198"/>
      <c r="DF59" s="198"/>
      <c r="DG59" s="198"/>
      <c r="DH59" s="198"/>
      <c r="DI59" s="198"/>
      <c r="DJ59" s="197"/>
      <c r="DK59" s="198"/>
      <c r="DL59" s="198"/>
      <c r="DM59" s="198"/>
      <c r="DN59" s="198"/>
      <c r="DO59" s="198"/>
      <c r="DP59" s="198"/>
      <c r="DQ59" s="197"/>
      <c r="DR59" s="198"/>
      <c r="DS59" s="198"/>
      <c r="DT59" s="198"/>
      <c r="DU59" s="198"/>
      <c r="DV59" s="198"/>
      <c r="DW59" s="198"/>
      <c r="DX59" s="198"/>
      <c r="DY59" s="198"/>
      <c r="DZ59" s="198"/>
      <c r="EA59" s="198"/>
      <c r="EB59" s="198"/>
      <c r="EC59" s="198"/>
      <c r="ED59" s="198"/>
      <c r="EE59" s="197"/>
      <c r="EF59" s="198"/>
      <c r="EG59" s="198"/>
      <c r="EH59" s="198"/>
      <c r="EI59" s="198"/>
      <c r="EJ59" s="198"/>
      <c r="EK59" s="198"/>
      <c r="EL59" s="197"/>
      <c r="EM59" s="198"/>
      <c r="EN59" s="198"/>
      <c r="EO59" s="198"/>
      <c r="EP59" s="198"/>
      <c r="EQ59" s="198"/>
      <c r="ER59" s="198"/>
      <c r="ES59" s="197"/>
      <c r="ET59" s="198"/>
      <c r="EU59" s="198"/>
      <c r="EV59" s="198"/>
      <c r="EW59" s="198"/>
      <c r="EX59" s="198"/>
      <c r="EY59" s="198"/>
      <c r="EZ59" s="198"/>
      <c r="FA59" s="198"/>
      <c r="FB59" s="198"/>
      <c r="FC59" s="198"/>
      <c r="FD59" s="198"/>
      <c r="FE59" s="198"/>
      <c r="FF59" s="198"/>
      <c r="FG59" s="197"/>
      <c r="FH59" s="198"/>
      <c r="FI59" s="198"/>
      <c r="FJ59" s="198"/>
      <c r="FK59" s="198"/>
      <c r="FL59" s="198"/>
      <c r="FM59" s="198"/>
      <c r="FN59" s="197"/>
      <c r="FO59" s="198"/>
      <c r="FP59" s="198"/>
      <c r="FQ59" s="198"/>
      <c r="FR59" s="198"/>
      <c r="FS59" s="198"/>
      <c r="FT59" s="199"/>
      <c r="FU59" s="197"/>
      <c r="FV59" s="198"/>
      <c r="FW59" s="198"/>
      <c r="FX59" s="198"/>
      <c r="FY59" s="198"/>
      <c r="FZ59" s="198"/>
      <c r="GA59" s="199"/>
      <c r="GB59" s="197"/>
      <c r="GC59" s="198"/>
      <c r="GD59" s="198"/>
      <c r="GE59" s="198"/>
      <c r="GF59" s="198"/>
      <c r="GG59" s="198"/>
      <c r="GH59" s="199"/>
      <c r="GI59" s="197"/>
      <c r="GJ59" s="198"/>
      <c r="GK59" s="198"/>
      <c r="GL59" s="198"/>
      <c r="GM59" s="198"/>
      <c r="GN59" s="198"/>
      <c r="GO59" s="199"/>
      <c r="GP59" s="197"/>
      <c r="GQ59" s="198"/>
      <c r="GR59" s="198"/>
      <c r="GS59" s="198"/>
      <c r="GT59" s="198"/>
      <c r="GU59" s="198"/>
      <c r="GV59" s="199"/>
      <c r="GW59" s="197"/>
      <c r="GX59" s="198"/>
      <c r="GY59" s="198"/>
      <c r="GZ59" s="198"/>
      <c r="HA59" s="198"/>
      <c r="HB59" s="198"/>
      <c r="HC59" s="199"/>
      <c r="HD59" s="197"/>
      <c r="HE59" s="198"/>
      <c r="HF59" s="198"/>
      <c r="HG59" s="198"/>
      <c r="HH59" s="198"/>
      <c r="HI59" s="198"/>
      <c r="HJ59" s="199"/>
      <c r="HK59" s="197"/>
      <c r="HL59" s="198"/>
      <c r="HM59" s="198"/>
      <c r="HN59" s="198"/>
      <c r="HO59" s="198"/>
      <c r="HP59" s="198"/>
      <c r="HQ59" s="198"/>
      <c r="HR59" s="197"/>
      <c r="HT59" s="198"/>
      <c r="HU59" s="198"/>
      <c r="HV59" s="198"/>
      <c r="HW59" s="198"/>
      <c r="HX59" s="198"/>
    </row>
    <row r="60" spans="1:233">
      <c r="A60" s="185" t="s">
        <v>495</v>
      </c>
      <c r="B60" s="197"/>
      <c r="C60" s="198"/>
      <c r="D60" s="198"/>
      <c r="E60" s="198"/>
      <c r="F60" s="198"/>
      <c r="G60" s="198"/>
      <c r="H60" s="199"/>
      <c r="I60" s="197"/>
      <c r="J60" s="198"/>
      <c r="K60" s="198"/>
      <c r="L60" s="198"/>
      <c r="M60" s="198"/>
      <c r="N60" s="198"/>
      <c r="O60" s="199"/>
      <c r="P60" s="198"/>
      <c r="Q60" s="198"/>
      <c r="R60" s="198"/>
      <c r="S60" s="198"/>
      <c r="T60" s="198"/>
      <c r="U60" s="198"/>
      <c r="V60" s="199"/>
      <c r="W60" s="198">
        <v>1213.1030000000001</v>
      </c>
      <c r="X60" s="198">
        <v>185.869</v>
      </c>
      <c r="Y60" s="198">
        <v>316.93099999999998</v>
      </c>
      <c r="Z60" s="198">
        <v>47.418999999999997</v>
      </c>
      <c r="AA60" s="198">
        <v>257.14100000000002</v>
      </c>
      <c r="AB60" s="198"/>
      <c r="AC60" s="199">
        <f t="shared" si="0"/>
        <v>405.74300000000011</v>
      </c>
      <c r="AD60" s="198"/>
      <c r="AE60" s="198">
        <v>25.782</v>
      </c>
      <c r="AF60" s="198">
        <v>95.866000000000014</v>
      </c>
      <c r="AG60" s="198">
        <v>81.921000000000006</v>
      </c>
      <c r="AH60" s="198">
        <v>61.6</v>
      </c>
      <c r="AI60" s="198"/>
      <c r="AJ60" s="198"/>
      <c r="AK60" s="197"/>
      <c r="AL60" s="198"/>
      <c r="AM60" s="198"/>
      <c r="AN60" s="198"/>
      <c r="AO60" s="198"/>
      <c r="AP60" s="198"/>
      <c r="AQ60" s="199"/>
      <c r="AR60" s="198">
        <v>162.4451114611943</v>
      </c>
      <c r="AS60" s="198">
        <v>36.056251799168955</v>
      </c>
      <c r="AT60" s="198">
        <v>10.932802802236099</v>
      </c>
      <c r="AU60" s="198">
        <v>41.364856990750603</v>
      </c>
      <c r="AV60" s="198">
        <v>4.1551982629854249</v>
      </c>
      <c r="AW60" s="198"/>
      <c r="AX60" s="198">
        <v>69.93600160605321</v>
      </c>
      <c r="AY60" s="197"/>
      <c r="AZ60" s="198"/>
      <c r="BA60" s="198"/>
      <c r="BB60" s="198"/>
      <c r="BC60" s="198"/>
      <c r="BD60" s="198"/>
      <c r="BE60" s="198"/>
      <c r="BF60" s="197"/>
      <c r="BG60" s="198"/>
      <c r="BH60" s="198"/>
      <c r="BI60" s="198"/>
      <c r="BJ60" s="198"/>
      <c r="BK60" s="198"/>
      <c r="BL60" s="198"/>
      <c r="BM60" s="197"/>
      <c r="BN60" s="198"/>
      <c r="BO60" s="198"/>
      <c r="BP60" s="198"/>
      <c r="BQ60" s="198"/>
      <c r="BR60" s="198"/>
      <c r="BS60" s="198"/>
      <c r="BT60" s="197"/>
      <c r="BU60" s="198"/>
      <c r="BV60" s="198"/>
      <c r="BW60" s="198"/>
      <c r="BX60" s="198"/>
      <c r="BY60" s="198"/>
      <c r="BZ60" s="198"/>
      <c r="CA60" s="197"/>
      <c r="CB60" s="198"/>
      <c r="CC60" s="198"/>
      <c r="CD60" s="198"/>
      <c r="CE60" s="198"/>
      <c r="CF60" s="198"/>
      <c r="CG60" s="198"/>
      <c r="CH60" s="197"/>
      <c r="CI60" s="198"/>
      <c r="CJ60" s="198"/>
      <c r="CK60" s="198"/>
      <c r="CL60" s="198"/>
      <c r="CM60" s="198"/>
      <c r="CN60" s="198"/>
      <c r="CO60" s="197"/>
      <c r="CP60" s="198"/>
      <c r="CQ60" s="198"/>
      <c r="CR60" s="198"/>
      <c r="CS60" s="198"/>
      <c r="CT60" s="198"/>
      <c r="CU60" s="198"/>
      <c r="CV60" s="197"/>
      <c r="CW60" s="198"/>
      <c r="CX60" s="198"/>
      <c r="CY60" s="198"/>
      <c r="CZ60" s="198"/>
      <c r="DA60" s="198"/>
      <c r="DB60" s="198"/>
      <c r="DC60" s="197"/>
      <c r="DD60" s="198"/>
      <c r="DE60" s="198"/>
      <c r="DF60" s="198"/>
      <c r="DG60" s="198"/>
      <c r="DH60" s="198"/>
      <c r="DI60" s="198"/>
      <c r="DJ60" s="197"/>
      <c r="DK60" s="198"/>
      <c r="DL60" s="198"/>
      <c r="DM60" s="198"/>
      <c r="DN60" s="198"/>
      <c r="DO60" s="198"/>
      <c r="DP60" s="198"/>
      <c r="DQ60" s="197"/>
      <c r="DR60" s="198"/>
      <c r="DS60" s="198"/>
      <c r="DT60" s="198"/>
      <c r="DU60" s="198"/>
      <c r="DV60" s="198"/>
      <c r="DW60" s="198"/>
      <c r="DX60" s="197"/>
      <c r="DY60" s="198"/>
      <c r="DZ60" s="198"/>
      <c r="EA60" s="198"/>
      <c r="EB60" s="198"/>
      <c r="EC60" s="198"/>
      <c r="ED60" s="198"/>
      <c r="EE60" s="197"/>
      <c r="EF60" s="198"/>
      <c r="EG60" s="198"/>
      <c r="EH60" s="198"/>
      <c r="EI60" s="198"/>
      <c r="EJ60" s="198"/>
      <c r="EK60" s="198"/>
      <c r="EL60" s="197"/>
      <c r="EM60" s="198"/>
      <c r="EN60" s="198"/>
      <c r="EO60" s="198"/>
      <c r="EP60" s="198"/>
      <c r="EQ60" s="198"/>
      <c r="ER60" s="198"/>
      <c r="ES60" s="197"/>
      <c r="ET60" s="198"/>
      <c r="EU60" s="198"/>
      <c r="EV60" s="198"/>
      <c r="EW60" s="198"/>
      <c r="EX60" s="198"/>
      <c r="EY60" s="198"/>
      <c r="EZ60" s="198"/>
      <c r="FA60" s="198"/>
      <c r="FB60" s="198"/>
      <c r="FC60" s="198"/>
      <c r="FD60" s="198"/>
      <c r="FE60" s="198"/>
      <c r="FF60" s="198"/>
      <c r="FG60" s="197"/>
      <c r="FH60" s="198"/>
      <c r="FI60" s="198"/>
      <c r="FJ60" s="198"/>
      <c r="FK60" s="198"/>
      <c r="FL60" s="198"/>
      <c r="FM60" s="198"/>
      <c r="FN60" s="197"/>
      <c r="FO60" s="198"/>
      <c r="FP60" s="198"/>
      <c r="FQ60" s="198"/>
      <c r="FR60" s="198"/>
      <c r="FS60" s="198"/>
      <c r="FT60" s="199"/>
      <c r="FU60" s="197"/>
      <c r="FV60" s="198"/>
      <c r="FW60" s="198"/>
      <c r="FX60" s="198"/>
      <c r="FY60" s="198"/>
      <c r="FZ60" s="198"/>
      <c r="GA60" s="199"/>
      <c r="GB60" s="197"/>
      <c r="GC60" s="198"/>
      <c r="GD60" s="198"/>
      <c r="GE60" s="198"/>
      <c r="GF60" s="198"/>
      <c r="GG60" s="198"/>
      <c r="GH60" s="199"/>
      <c r="GI60" s="197"/>
      <c r="GJ60" s="198"/>
      <c r="GK60" s="198"/>
      <c r="GL60" s="198"/>
      <c r="GM60" s="198"/>
      <c r="GN60" s="198"/>
      <c r="GO60" s="199"/>
      <c r="GP60" s="197"/>
      <c r="GQ60" s="198"/>
      <c r="GR60" s="198"/>
      <c r="GS60" s="198"/>
      <c r="GT60" s="198"/>
      <c r="GU60" s="198"/>
      <c r="GV60" s="199"/>
      <c r="GW60" s="197"/>
      <c r="GX60" s="198"/>
      <c r="GY60" s="198"/>
      <c r="GZ60" s="198"/>
      <c r="HA60" s="198"/>
      <c r="HB60" s="198"/>
      <c r="HC60" s="199"/>
      <c r="HD60" s="197"/>
      <c r="HE60" s="198"/>
      <c r="HF60" s="198"/>
      <c r="HG60" s="198"/>
      <c r="HH60" s="198"/>
      <c r="HI60" s="198"/>
      <c r="HJ60" s="199"/>
      <c r="HK60" s="197"/>
      <c r="HL60" s="198"/>
      <c r="HM60" s="198"/>
      <c r="HN60" s="198"/>
      <c r="HO60" s="198"/>
      <c r="HP60" s="198"/>
      <c r="HQ60" s="198"/>
      <c r="HR60" s="197"/>
      <c r="HT60" s="198"/>
      <c r="HU60" s="198"/>
      <c r="HV60" s="198"/>
      <c r="HW60" s="198"/>
      <c r="HX60" s="198"/>
    </row>
    <row r="61" spans="1:233">
      <c r="A61" s="185" t="s">
        <v>496</v>
      </c>
      <c r="B61" s="197"/>
      <c r="C61" s="198"/>
      <c r="D61" s="198"/>
      <c r="E61" s="198"/>
      <c r="F61" s="198"/>
      <c r="G61" s="198"/>
      <c r="H61" s="199"/>
      <c r="I61" s="197"/>
      <c r="J61" s="198"/>
      <c r="K61" s="198"/>
      <c r="L61" s="198"/>
      <c r="M61" s="198"/>
      <c r="N61" s="198"/>
      <c r="O61" s="199"/>
      <c r="P61" s="198"/>
      <c r="Q61" s="198"/>
      <c r="R61" s="198"/>
      <c r="S61" s="198"/>
      <c r="T61" s="198"/>
      <c r="U61" s="198"/>
      <c r="V61" s="199"/>
      <c r="W61" s="198">
        <v>1196.8420000000001</v>
      </c>
      <c r="X61" s="198">
        <v>179.10400000000001</v>
      </c>
      <c r="Y61" s="198">
        <v>307.41800000000001</v>
      </c>
      <c r="Z61" s="198">
        <v>47.6</v>
      </c>
      <c r="AA61" s="198">
        <v>257.97199999999998</v>
      </c>
      <c r="AB61" s="198"/>
      <c r="AC61" s="199">
        <f t="shared" si="0"/>
        <v>404.74800000000005</v>
      </c>
      <c r="AD61" s="198"/>
      <c r="AE61" s="198">
        <v>25.614999999999998</v>
      </c>
      <c r="AF61" s="198">
        <v>94.178999999999988</v>
      </c>
      <c r="AG61" s="198">
        <v>83.730999999999995</v>
      </c>
      <c r="AH61" s="198">
        <v>60.777999999999999</v>
      </c>
      <c r="AI61" s="198"/>
      <c r="AJ61" s="198"/>
      <c r="AK61" s="197"/>
      <c r="AL61" s="198"/>
      <c r="AM61" s="198"/>
      <c r="AN61" s="198"/>
      <c r="AO61" s="198"/>
      <c r="AP61" s="198"/>
      <c r="AQ61" s="199"/>
      <c r="AR61" s="198">
        <v>201.90960315296718</v>
      </c>
      <c r="AS61" s="198">
        <v>45.316773211624316</v>
      </c>
      <c r="AT61" s="198">
        <v>13.209832189567944</v>
      </c>
      <c r="AU61" s="198">
        <v>50.966861966521478</v>
      </c>
      <c r="AV61" s="198">
        <v>5.744981501363565</v>
      </c>
      <c r="AW61" s="198"/>
      <c r="AX61" s="198">
        <v>86.671154283889877</v>
      </c>
      <c r="AY61" s="197"/>
      <c r="AZ61" s="198"/>
      <c r="BA61" s="198"/>
      <c r="BB61" s="198"/>
      <c r="BC61" s="198"/>
      <c r="BD61" s="198"/>
      <c r="BE61" s="198"/>
      <c r="BF61" s="197"/>
      <c r="BG61" s="198"/>
      <c r="BH61" s="198"/>
      <c r="BI61" s="198"/>
      <c r="BJ61" s="198"/>
      <c r="BK61" s="198"/>
      <c r="BL61" s="198"/>
      <c r="BM61" s="197"/>
      <c r="BN61" s="198"/>
      <c r="BO61" s="198"/>
      <c r="BP61" s="198"/>
      <c r="BQ61" s="198"/>
      <c r="BR61" s="198"/>
      <c r="BS61" s="198"/>
      <c r="BT61" s="197"/>
      <c r="BU61" s="198"/>
      <c r="BV61" s="198"/>
      <c r="BW61" s="198"/>
      <c r="BX61" s="198"/>
      <c r="BY61" s="198"/>
      <c r="BZ61" s="198"/>
      <c r="CA61" s="197"/>
      <c r="CB61" s="198"/>
      <c r="CC61" s="198"/>
      <c r="CD61" s="198"/>
      <c r="CE61" s="198"/>
      <c r="CF61" s="198"/>
      <c r="CG61" s="198"/>
      <c r="CH61" s="197"/>
      <c r="CI61" s="198"/>
      <c r="CJ61" s="198"/>
      <c r="CK61" s="198"/>
      <c r="CL61" s="198"/>
      <c r="CM61" s="198"/>
      <c r="CN61" s="198"/>
      <c r="CO61" s="197"/>
      <c r="CP61" s="198"/>
      <c r="CQ61" s="198"/>
      <c r="CR61" s="198"/>
      <c r="CS61" s="198"/>
      <c r="CT61" s="198"/>
      <c r="CU61" s="198"/>
      <c r="CV61" s="197"/>
      <c r="CW61" s="198"/>
      <c r="CX61" s="198"/>
      <c r="CY61" s="198"/>
      <c r="CZ61" s="198"/>
      <c r="DA61" s="198"/>
      <c r="DB61" s="198"/>
      <c r="DC61" s="197"/>
      <c r="DD61" s="198"/>
      <c r="DE61" s="198"/>
      <c r="DF61" s="198"/>
      <c r="DG61" s="198"/>
      <c r="DH61" s="198"/>
      <c r="DI61" s="198"/>
      <c r="DJ61" s="197"/>
      <c r="DK61" s="198"/>
      <c r="DL61" s="198"/>
      <c r="DM61" s="198"/>
      <c r="DN61" s="198"/>
      <c r="DO61" s="198"/>
      <c r="DP61" s="198"/>
      <c r="DQ61" s="197"/>
      <c r="DR61" s="198"/>
      <c r="DS61" s="198"/>
      <c r="DT61" s="198"/>
      <c r="DU61" s="198"/>
      <c r="DV61" s="198"/>
      <c r="DW61" s="198"/>
      <c r="DX61" s="197"/>
      <c r="DY61" s="198"/>
      <c r="DZ61" s="198"/>
      <c r="EA61" s="198"/>
      <c r="EB61" s="198"/>
      <c r="EC61" s="198"/>
      <c r="ED61" s="198"/>
      <c r="EE61" s="197"/>
      <c r="EF61" s="198"/>
      <c r="EG61" s="198"/>
      <c r="EH61" s="198"/>
      <c r="EI61" s="198"/>
      <c r="EJ61" s="198"/>
      <c r="EK61" s="198"/>
      <c r="EL61" s="197"/>
      <c r="EM61" s="198"/>
      <c r="EN61" s="198"/>
      <c r="EO61" s="198"/>
      <c r="EP61" s="198"/>
      <c r="EQ61" s="198"/>
      <c r="ER61" s="198"/>
      <c r="ES61" s="197"/>
      <c r="ET61" s="198"/>
      <c r="EU61" s="198"/>
      <c r="EV61" s="198"/>
      <c r="EW61" s="198"/>
      <c r="EX61" s="198"/>
      <c r="EY61" s="198"/>
      <c r="EZ61" s="198"/>
      <c r="FA61" s="198"/>
      <c r="FB61" s="198"/>
      <c r="FC61" s="198"/>
      <c r="FD61" s="198"/>
      <c r="FE61" s="198"/>
      <c r="FF61" s="198"/>
      <c r="FG61" s="197"/>
      <c r="FH61" s="198"/>
      <c r="FI61" s="198"/>
      <c r="FJ61" s="198"/>
      <c r="FK61" s="198"/>
      <c r="FL61" s="198"/>
      <c r="FM61" s="198"/>
      <c r="FN61" s="197"/>
      <c r="FO61" s="198"/>
      <c r="FP61" s="198"/>
      <c r="FQ61" s="198"/>
      <c r="FR61" s="198"/>
      <c r="FS61" s="198"/>
      <c r="FT61" s="199"/>
      <c r="FU61" s="197"/>
      <c r="FV61" s="198"/>
      <c r="FW61" s="198"/>
      <c r="FX61" s="198"/>
      <c r="FY61" s="198"/>
      <c r="FZ61" s="198"/>
      <c r="GA61" s="199"/>
      <c r="GB61" s="197"/>
      <c r="GC61" s="198"/>
      <c r="GD61" s="198"/>
      <c r="GE61" s="198"/>
      <c r="GF61" s="198"/>
      <c r="GG61" s="198"/>
      <c r="GH61" s="199"/>
      <c r="GI61" s="197"/>
      <c r="GJ61" s="198"/>
      <c r="GK61" s="198"/>
      <c r="GL61" s="198"/>
      <c r="GM61" s="198"/>
      <c r="GN61" s="198"/>
      <c r="GO61" s="199"/>
      <c r="GP61" s="197"/>
      <c r="GQ61" s="198"/>
      <c r="GR61" s="198"/>
      <c r="GS61" s="198"/>
      <c r="GT61" s="198"/>
      <c r="GU61" s="198"/>
      <c r="GV61" s="199"/>
      <c r="GW61" s="197"/>
      <c r="GX61" s="198"/>
      <c r="GY61" s="198"/>
      <c r="GZ61" s="198"/>
      <c r="HA61" s="198"/>
      <c r="HB61" s="198"/>
      <c r="HC61" s="199"/>
      <c r="HD61" s="197"/>
      <c r="HE61" s="198"/>
      <c r="HF61" s="198"/>
      <c r="HG61" s="198"/>
      <c r="HH61" s="198"/>
      <c r="HI61" s="198"/>
      <c r="HJ61" s="199"/>
      <c r="HK61" s="197"/>
      <c r="HL61" s="198"/>
      <c r="HM61" s="198"/>
      <c r="HN61" s="198"/>
      <c r="HO61" s="198"/>
      <c r="HP61" s="198"/>
      <c r="HQ61" s="198"/>
      <c r="HR61" s="197"/>
      <c r="HT61" s="198"/>
      <c r="HU61" s="198"/>
      <c r="HV61" s="198"/>
      <c r="HW61" s="198"/>
      <c r="HX61" s="198"/>
    </row>
    <row r="62" spans="1:233">
      <c r="A62" s="185" t="s">
        <v>497</v>
      </c>
      <c r="B62" s="197"/>
      <c r="C62" s="198"/>
      <c r="D62" s="198"/>
      <c r="E62" s="198"/>
      <c r="F62" s="198"/>
      <c r="G62" s="198"/>
      <c r="H62" s="199"/>
      <c r="I62" s="197"/>
      <c r="J62" s="198"/>
      <c r="K62" s="198"/>
      <c r="L62" s="198"/>
      <c r="M62" s="198"/>
      <c r="N62" s="198"/>
      <c r="O62" s="199"/>
      <c r="P62" s="198"/>
      <c r="Q62" s="198"/>
      <c r="R62" s="198"/>
      <c r="S62" s="198"/>
      <c r="T62" s="198"/>
      <c r="U62" s="198"/>
      <c r="V62" s="199"/>
      <c r="W62" s="198">
        <v>1219.2139999999999</v>
      </c>
      <c r="X62" s="198">
        <v>173.24799999999999</v>
      </c>
      <c r="Y62" s="198">
        <v>327.31800000000004</v>
      </c>
      <c r="Z62" s="198">
        <v>48.274999999999999</v>
      </c>
      <c r="AA62" s="198">
        <v>259.14800000000002</v>
      </c>
      <c r="AB62" s="198"/>
      <c r="AC62" s="199">
        <f t="shared" si="0"/>
        <v>411.22499999999991</v>
      </c>
      <c r="AD62" s="198">
        <f>[1]datos!$S194</f>
        <v>386.798</v>
      </c>
      <c r="AE62" s="198">
        <v>28.457000000000001</v>
      </c>
      <c r="AF62" s="198">
        <v>97.275000000000006</v>
      </c>
      <c r="AG62" s="198">
        <v>88.753</v>
      </c>
      <c r="AH62" s="198">
        <v>60.633000000000003</v>
      </c>
      <c r="AI62" s="198">
        <f>[1]datos!$U194</f>
        <v>34.1</v>
      </c>
      <c r="AJ62" s="198">
        <f>AD62-AE62-AF62-AG62-AH62-AI62</f>
        <v>77.580000000000041</v>
      </c>
      <c r="AK62" s="197"/>
      <c r="AL62" s="198"/>
      <c r="AM62" s="198"/>
      <c r="AN62" s="198"/>
      <c r="AO62" s="198"/>
      <c r="AP62" s="198"/>
      <c r="AQ62" s="199"/>
      <c r="AR62" s="198">
        <v>254.55575014575894</v>
      </c>
      <c r="AS62" s="198">
        <v>55.3150178744744</v>
      </c>
      <c r="AT62" s="198">
        <v>16.374970865821652</v>
      </c>
      <c r="AU62" s="198">
        <v>63.648047559737968</v>
      </c>
      <c r="AV62" s="198">
        <v>7.1817403139206721</v>
      </c>
      <c r="AW62" s="198"/>
      <c r="AX62" s="198">
        <v>112.03597353180427</v>
      </c>
      <c r="AY62" s="197"/>
      <c r="AZ62" s="198"/>
      <c r="BA62" s="198"/>
      <c r="BB62" s="198"/>
      <c r="BC62" s="198"/>
      <c r="BD62" s="198"/>
      <c r="BE62" s="198"/>
      <c r="BF62" s="197"/>
      <c r="BG62" s="198"/>
      <c r="BH62" s="198"/>
      <c r="BI62" s="198"/>
      <c r="BJ62" s="198"/>
      <c r="BK62" s="198"/>
      <c r="BL62" s="198"/>
      <c r="BM62" s="197"/>
      <c r="BN62" s="198"/>
      <c r="BO62" s="198"/>
      <c r="BP62" s="198"/>
      <c r="BQ62" s="198"/>
      <c r="BR62" s="198"/>
      <c r="BS62" s="198"/>
      <c r="BT62" s="197"/>
      <c r="BU62" s="198"/>
      <c r="BV62" s="198"/>
      <c r="BW62" s="198"/>
      <c r="BX62" s="198"/>
      <c r="BY62" s="198"/>
      <c r="BZ62" s="198"/>
      <c r="CA62" s="197"/>
      <c r="CB62" s="198"/>
      <c r="CC62" s="198"/>
      <c r="CD62" s="198"/>
      <c r="CE62" s="198"/>
      <c r="CF62" s="198"/>
      <c r="CG62" s="198"/>
      <c r="CH62" s="197"/>
      <c r="CI62" s="198"/>
      <c r="CJ62" s="198"/>
      <c r="CK62" s="198"/>
      <c r="CL62" s="198"/>
      <c r="CM62" s="198"/>
      <c r="CN62" s="198"/>
      <c r="CO62" s="197"/>
      <c r="CP62" s="198"/>
      <c r="CQ62" s="198"/>
      <c r="CR62" s="198"/>
      <c r="CS62" s="198"/>
      <c r="CT62" s="198"/>
      <c r="CU62" s="198"/>
      <c r="CV62" s="197"/>
      <c r="CW62" s="198"/>
      <c r="CX62" s="198"/>
      <c r="CY62" s="198"/>
      <c r="CZ62" s="198"/>
      <c r="DA62" s="198"/>
      <c r="DB62" s="198"/>
      <c r="DC62" s="197"/>
      <c r="DD62" s="198"/>
      <c r="DE62" s="198"/>
      <c r="DF62" s="198"/>
      <c r="DG62" s="198"/>
      <c r="DH62" s="198"/>
      <c r="DI62" s="198"/>
      <c r="DJ62" s="197"/>
      <c r="DK62" s="198"/>
      <c r="DL62" s="198"/>
      <c r="DM62" s="198"/>
      <c r="DN62" s="198"/>
      <c r="DO62" s="198"/>
      <c r="DP62" s="198"/>
      <c r="DQ62" s="197"/>
      <c r="DR62" s="198"/>
      <c r="DS62" s="198"/>
      <c r="DT62" s="198"/>
      <c r="DU62" s="198"/>
      <c r="DV62" s="198"/>
      <c r="DW62" s="198"/>
      <c r="DX62" s="197"/>
      <c r="DY62" s="198"/>
      <c r="DZ62" s="198"/>
      <c r="EA62" s="198"/>
      <c r="EB62" s="198"/>
      <c r="EC62" s="198"/>
      <c r="ED62" s="198"/>
      <c r="EE62" s="197"/>
      <c r="EF62" s="198"/>
      <c r="EG62" s="198"/>
      <c r="EH62" s="198"/>
      <c r="EI62" s="198"/>
      <c r="EJ62" s="198"/>
      <c r="EK62" s="198"/>
      <c r="EL62" s="197"/>
      <c r="EM62" s="198"/>
      <c r="EN62" s="198"/>
      <c r="EO62" s="198"/>
      <c r="EP62" s="198"/>
      <c r="EQ62" s="198"/>
      <c r="ER62" s="198"/>
      <c r="ES62" s="197"/>
      <c r="ET62" s="198"/>
      <c r="EU62" s="198"/>
      <c r="EV62" s="198"/>
      <c r="EW62" s="198"/>
      <c r="EX62" s="198"/>
      <c r="EY62" s="198"/>
      <c r="EZ62" s="198"/>
      <c r="FA62" s="198"/>
      <c r="FB62" s="198"/>
      <c r="FC62" s="198"/>
      <c r="FD62" s="198"/>
      <c r="FE62" s="198"/>
      <c r="FF62" s="198"/>
      <c r="FG62" s="197"/>
      <c r="FH62" s="198"/>
      <c r="FI62" s="198"/>
      <c r="FJ62" s="198"/>
      <c r="FK62" s="198"/>
      <c r="FL62" s="198"/>
      <c r="FM62" s="198"/>
      <c r="FN62" s="197"/>
      <c r="FO62" s="198"/>
      <c r="FP62" s="198"/>
      <c r="FQ62" s="198"/>
      <c r="FR62" s="198"/>
      <c r="FS62" s="198"/>
      <c r="FT62" s="199"/>
      <c r="FU62" s="197"/>
      <c r="FV62" s="198"/>
      <c r="FW62" s="198"/>
      <c r="FX62" s="198"/>
      <c r="FY62" s="198"/>
      <c r="FZ62" s="198"/>
      <c r="GA62" s="199"/>
      <c r="GB62" s="197"/>
      <c r="GC62" s="198"/>
      <c r="GD62" s="198"/>
      <c r="GE62" s="198"/>
      <c r="GF62" s="198"/>
      <c r="GG62" s="198"/>
      <c r="GH62" s="199"/>
      <c r="GI62" s="197"/>
      <c r="GJ62" s="198"/>
      <c r="GK62" s="198"/>
      <c r="GL62" s="198"/>
      <c r="GM62" s="198"/>
      <c r="GN62" s="198"/>
      <c r="GO62" s="199"/>
      <c r="GP62" s="197"/>
      <c r="GQ62" s="198"/>
      <c r="GR62" s="198"/>
      <c r="GS62" s="198"/>
      <c r="GT62" s="198"/>
      <c r="GU62" s="198"/>
      <c r="GV62" s="199"/>
      <c r="GW62" s="197"/>
      <c r="GX62" s="198"/>
      <c r="GY62" s="198"/>
      <c r="GZ62" s="198"/>
      <c r="HA62" s="198"/>
      <c r="HB62" s="198"/>
      <c r="HC62" s="199"/>
      <c r="HD62" s="197"/>
      <c r="HE62" s="198"/>
      <c r="HF62" s="198"/>
      <c r="HG62" s="198"/>
      <c r="HH62" s="198"/>
      <c r="HI62" s="198"/>
      <c r="HJ62" s="199"/>
      <c r="HK62" s="197"/>
      <c r="HL62" s="198"/>
      <c r="HM62" s="198"/>
      <c r="HN62" s="198"/>
      <c r="HO62" s="198"/>
      <c r="HP62" s="198"/>
      <c r="HQ62" s="198"/>
      <c r="HR62" s="197"/>
      <c r="HT62" s="198"/>
      <c r="HU62" s="198"/>
      <c r="HV62" s="198"/>
      <c r="HW62" s="198"/>
      <c r="HX62" s="198"/>
    </row>
    <row r="63" spans="1:233">
      <c r="A63" s="185" t="s">
        <v>498</v>
      </c>
      <c r="B63" s="197"/>
      <c r="C63" s="198"/>
      <c r="D63" s="198"/>
      <c r="E63" s="198"/>
      <c r="F63" s="198"/>
      <c r="G63" s="198"/>
      <c r="H63" s="199"/>
      <c r="I63" s="197"/>
      <c r="J63" s="198"/>
      <c r="K63" s="198"/>
      <c r="L63" s="198"/>
      <c r="M63" s="198"/>
      <c r="N63" s="198"/>
      <c r="O63" s="199"/>
      <c r="P63" s="198"/>
      <c r="Q63" s="198"/>
      <c r="R63" s="198"/>
      <c r="S63" s="198"/>
      <c r="T63" s="198"/>
      <c r="U63" s="198"/>
      <c r="V63" s="199"/>
      <c r="W63" s="198">
        <v>1223.6489999999999</v>
      </c>
      <c r="X63" s="198">
        <v>177.245</v>
      </c>
      <c r="Y63" s="198">
        <v>332.74799999999993</v>
      </c>
      <c r="Z63" s="198">
        <v>49.774000000000001</v>
      </c>
      <c r="AA63" s="198">
        <v>260.21300000000002</v>
      </c>
      <c r="AB63" s="198"/>
      <c r="AC63" s="199">
        <f t="shared" si="0"/>
        <v>403.66900000000004</v>
      </c>
      <c r="AD63" s="198"/>
      <c r="AE63" s="198">
        <v>28.491</v>
      </c>
      <c r="AF63" s="198">
        <v>100.821</v>
      </c>
      <c r="AG63" s="198">
        <v>91.771000000000001</v>
      </c>
      <c r="AH63" s="198">
        <v>62.762999999999998</v>
      </c>
      <c r="AI63" s="198"/>
      <c r="AJ63" s="198"/>
      <c r="AK63" s="197"/>
      <c r="AL63" s="198"/>
      <c r="AM63" s="198"/>
      <c r="AN63" s="198"/>
      <c r="AO63" s="198"/>
      <c r="AP63" s="198"/>
      <c r="AQ63" s="199"/>
      <c r="AR63" s="198">
        <v>322.01104614779547</v>
      </c>
      <c r="AS63" s="198">
        <v>71.479670754009774</v>
      </c>
      <c r="AT63" s="198">
        <v>22.114126103099956</v>
      </c>
      <c r="AU63" s="198">
        <v>79.525679164060037</v>
      </c>
      <c r="AV63" s="198">
        <v>9.4365697179342067</v>
      </c>
      <c r="AW63" s="198"/>
      <c r="AX63" s="198">
        <v>139.45500040869152</v>
      </c>
      <c r="AY63" s="197"/>
      <c r="AZ63" s="198"/>
      <c r="BA63" s="198"/>
      <c r="BB63" s="198"/>
      <c r="BC63" s="198"/>
      <c r="BD63" s="198"/>
      <c r="BE63" s="198"/>
      <c r="BF63" s="197"/>
      <c r="BG63" s="198"/>
      <c r="BH63" s="198"/>
      <c r="BI63" s="198"/>
      <c r="BJ63" s="198"/>
      <c r="BK63" s="198"/>
      <c r="BL63" s="198"/>
      <c r="BM63" s="197"/>
      <c r="BN63" s="198"/>
      <c r="BO63" s="198"/>
      <c r="BP63" s="198"/>
      <c r="BQ63" s="198"/>
      <c r="BR63" s="198"/>
      <c r="BS63" s="198"/>
      <c r="BT63" s="197"/>
      <c r="BU63" s="198"/>
      <c r="BV63" s="198"/>
      <c r="BW63" s="198"/>
      <c r="BX63" s="198"/>
      <c r="BY63" s="198"/>
      <c r="BZ63" s="198"/>
      <c r="CA63" s="197"/>
      <c r="CB63" s="198"/>
      <c r="CC63" s="198"/>
      <c r="CD63" s="198"/>
      <c r="CE63" s="198"/>
      <c r="CF63" s="198"/>
      <c r="CG63" s="198"/>
      <c r="CH63" s="197"/>
      <c r="CI63" s="198"/>
      <c r="CJ63" s="198"/>
      <c r="CK63" s="198"/>
      <c r="CL63" s="198"/>
      <c r="CM63" s="198"/>
      <c r="CN63" s="198"/>
      <c r="CO63" s="197"/>
      <c r="CP63" s="198"/>
      <c r="CQ63" s="198"/>
      <c r="CR63" s="198"/>
      <c r="CS63" s="198"/>
      <c r="CT63" s="198"/>
      <c r="CU63" s="198"/>
      <c r="CV63" s="197"/>
      <c r="CW63" s="198"/>
      <c r="CX63" s="198"/>
      <c r="CY63" s="198"/>
      <c r="CZ63" s="198"/>
      <c r="DA63" s="198"/>
      <c r="DB63" s="198"/>
      <c r="DC63" s="197"/>
      <c r="DD63" s="198"/>
      <c r="DE63" s="198"/>
      <c r="DF63" s="198"/>
      <c r="DG63" s="198"/>
      <c r="DH63" s="198"/>
      <c r="DI63" s="198"/>
      <c r="DJ63" s="197"/>
      <c r="DK63" s="198"/>
      <c r="DL63" s="198"/>
      <c r="DM63" s="198"/>
      <c r="DN63" s="198"/>
      <c r="DO63" s="198"/>
      <c r="DP63" s="198"/>
      <c r="DQ63" s="197"/>
      <c r="DR63" s="198"/>
      <c r="DS63" s="198"/>
      <c r="DT63" s="198"/>
      <c r="DU63" s="198"/>
      <c r="DV63" s="198"/>
      <c r="DW63" s="198"/>
      <c r="DX63" s="197"/>
      <c r="DY63" s="198"/>
      <c r="DZ63" s="198"/>
      <c r="EA63" s="198"/>
      <c r="EB63" s="198"/>
      <c r="EC63" s="198"/>
      <c r="ED63" s="198"/>
      <c r="EE63" s="197"/>
      <c r="EF63" s="198"/>
      <c r="EG63" s="198"/>
      <c r="EH63" s="198"/>
      <c r="EI63" s="198"/>
      <c r="EJ63" s="198"/>
      <c r="EK63" s="198"/>
      <c r="EL63" s="197"/>
      <c r="EM63" s="198"/>
      <c r="EN63" s="198"/>
      <c r="EO63" s="198"/>
      <c r="EP63" s="198"/>
      <c r="EQ63" s="198"/>
      <c r="ER63" s="198"/>
      <c r="ES63" s="197"/>
      <c r="ET63" s="198"/>
      <c r="EU63" s="198"/>
      <c r="EV63" s="198"/>
      <c r="EW63" s="198"/>
      <c r="EX63" s="198"/>
      <c r="EY63" s="198"/>
      <c r="EZ63" s="198"/>
      <c r="FA63" s="198"/>
      <c r="FB63" s="198"/>
      <c r="FC63" s="198"/>
      <c r="FD63" s="198"/>
      <c r="FE63" s="198"/>
      <c r="FF63" s="198"/>
      <c r="FG63" s="197"/>
      <c r="FH63" s="198"/>
      <c r="FI63" s="198"/>
      <c r="FJ63" s="198"/>
      <c r="FK63" s="198"/>
      <c r="FL63" s="198"/>
      <c r="FM63" s="198"/>
      <c r="FN63" s="197"/>
      <c r="FO63" s="198"/>
      <c r="FP63" s="198"/>
      <c r="FQ63" s="198"/>
      <c r="FR63" s="198"/>
      <c r="FS63" s="198"/>
      <c r="FT63" s="199"/>
      <c r="FU63" s="197"/>
      <c r="FV63" s="198"/>
      <c r="FW63" s="198"/>
      <c r="FX63" s="198"/>
      <c r="FY63" s="198"/>
      <c r="FZ63" s="198"/>
      <c r="GA63" s="199"/>
      <c r="GB63" s="197"/>
      <c r="GC63" s="198"/>
      <c r="GD63" s="198"/>
      <c r="GE63" s="198"/>
      <c r="GF63" s="198"/>
      <c r="GG63" s="198"/>
      <c r="GH63" s="199"/>
      <c r="GI63" s="197"/>
      <c r="GJ63" s="198"/>
      <c r="GK63" s="198"/>
      <c r="GL63" s="198"/>
      <c r="GM63" s="198"/>
      <c r="GN63" s="198"/>
      <c r="GO63" s="199"/>
      <c r="GP63" s="197"/>
      <c r="GQ63" s="198"/>
      <c r="GR63" s="198"/>
      <c r="GS63" s="198"/>
      <c r="GT63" s="198"/>
      <c r="GU63" s="198"/>
      <c r="GV63" s="199"/>
      <c r="GW63" s="197"/>
      <c r="GX63" s="198"/>
      <c r="GY63" s="198"/>
      <c r="GZ63" s="198"/>
      <c r="HA63" s="198"/>
      <c r="HB63" s="198"/>
      <c r="HC63" s="199"/>
      <c r="HD63" s="197"/>
      <c r="HE63" s="198"/>
      <c r="HF63" s="198"/>
      <c r="HG63" s="198"/>
      <c r="HH63" s="198"/>
      <c r="HI63" s="198"/>
      <c r="HJ63" s="199"/>
      <c r="HK63" s="197"/>
      <c r="HL63" s="198"/>
      <c r="HM63" s="198"/>
      <c r="HN63" s="198"/>
      <c r="HO63" s="198"/>
      <c r="HP63" s="198"/>
      <c r="HQ63" s="198"/>
      <c r="HR63" s="197"/>
      <c r="HT63" s="198"/>
      <c r="HU63" s="198"/>
      <c r="HV63" s="198"/>
      <c r="HW63" s="198"/>
      <c r="HX63" s="198"/>
    </row>
    <row r="64" spans="1:233">
      <c r="A64" s="185" t="s">
        <v>499</v>
      </c>
      <c r="B64" s="197"/>
      <c r="C64" s="198"/>
      <c r="D64" s="198"/>
      <c r="E64" s="198"/>
      <c r="F64" s="198"/>
      <c r="G64" s="198"/>
      <c r="H64" s="199"/>
      <c r="I64" s="197"/>
      <c r="J64" s="198"/>
      <c r="K64" s="198"/>
      <c r="L64" s="198"/>
      <c r="M64" s="198"/>
      <c r="N64" s="198"/>
      <c r="O64" s="199"/>
      <c r="P64" s="198"/>
      <c r="Q64" s="198"/>
      <c r="R64" s="198"/>
      <c r="S64" s="198"/>
      <c r="T64" s="198"/>
      <c r="U64" s="198"/>
      <c r="V64" s="199"/>
      <c r="W64" s="198">
        <v>1223.9090000000001</v>
      </c>
      <c r="X64" s="198">
        <v>177.08600000000001</v>
      </c>
      <c r="Y64" s="198">
        <v>333.67900000000003</v>
      </c>
      <c r="Z64" s="198">
        <v>49.658000000000001</v>
      </c>
      <c r="AA64" s="198">
        <v>263.06299999999999</v>
      </c>
      <c r="AB64" s="198"/>
      <c r="AC64" s="199">
        <f t="shared" si="0"/>
        <v>400.423</v>
      </c>
      <c r="AD64" s="198"/>
      <c r="AE64" s="198">
        <v>28.253</v>
      </c>
      <c r="AF64" s="198">
        <v>101.913</v>
      </c>
      <c r="AG64" s="198">
        <v>93.496000000000009</v>
      </c>
      <c r="AH64" s="198">
        <v>63.905999999999999</v>
      </c>
      <c r="AI64" s="198"/>
      <c r="AJ64" s="198"/>
      <c r="AK64" s="197"/>
      <c r="AL64" s="198"/>
      <c r="AM64" s="198"/>
      <c r="AN64" s="198"/>
      <c r="AO64" s="198"/>
      <c r="AP64" s="198"/>
      <c r="AQ64" s="199"/>
      <c r="AR64" s="198">
        <v>409.02659540993517</v>
      </c>
      <c r="AS64" s="198">
        <v>90.844587865667492</v>
      </c>
      <c r="AT64" s="198">
        <v>28.542185921147521</v>
      </c>
      <c r="AU64" s="198">
        <v>100.07011447670067</v>
      </c>
      <c r="AV64" s="198">
        <v>12.88601082516808</v>
      </c>
      <c r="AW64" s="198"/>
      <c r="AX64" s="198">
        <v>176.68369632125138</v>
      </c>
      <c r="AY64" s="197"/>
      <c r="AZ64" s="198"/>
      <c r="BA64" s="198"/>
      <c r="BB64" s="198"/>
      <c r="BC64" s="198"/>
      <c r="BD64" s="198"/>
      <c r="BE64" s="198"/>
      <c r="BF64" s="197"/>
      <c r="BG64" s="198"/>
      <c r="BH64" s="198"/>
      <c r="BI64" s="198"/>
      <c r="BJ64" s="198"/>
      <c r="BK64" s="198"/>
      <c r="BL64" s="198"/>
      <c r="BM64" s="197"/>
      <c r="BN64" s="198"/>
      <c r="BO64" s="198"/>
      <c r="BP64" s="198"/>
      <c r="BQ64" s="198"/>
      <c r="BR64" s="198"/>
      <c r="BS64" s="198"/>
      <c r="BT64" s="197"/>
      <c r="BU64" s="198"/>
      <c r="BV64" s="198"/>
      <c r="BW64" s="198"/>
      <c r="BX64" s="198"/>
      <c r="BY64" s="198"/>
      <c r="BZ64" s="198"/>
      <c r="CA64" s="197"/>
      <c r="CB64" s="198"/>
      <c r="CC64" s="198"/>
      <c r="CD64" s="198"/>
      <c r="CE64" s="198"/>
      <c r="CF64" s="198"/>
      <c r="CG64" s="198"/>
      <c r="CH64" s="197"/>
      <c r="CI64" s="198"/>
      <c r="CJ64" s="198"/>
      <c r="CK64" s="198"/>
      <c r="CL64" s="198"/>
      <c r="CM64" s="198"/>
      <c r="CN64" s="198"/>
      <c r="CO64" s="197"/>
      <c r="CP64" s="198"/>
      <c r="CQ64" s="198"/>
      <c r="CR64" s="198"/>
      <c r="CS64" s="198"/>
      <c r="CT64" s="198"/>
      <c r="CU64" s="198"/>
      <c r="CV64" s="197"/>
      <c r="CW64" s="198"/>
      <c r="CX64" s="198"/>
      <c r="CY64" s="198"/>
      <c r="CZ64" s="198"/>
      <c r="DA64" s="198"/>
      <c r="DB64" s="198"/>
      <c r="DC64" s="197"/>
      <c r="DD64" s="198"/>
      <c r="DE64" s="198"/>
      <c r="DF64" s="198"/>
      <c r="DG64" s="198"/>
      <c r="DH64" s="198"/>
      <c r="DI64" s="198"/>
      <c r="DJ64" s="197"/>
      <c r="DK64" s="198"/>
      <c r="DL64" s="198"/>
      <c r="DM64" s="198"/>
      <c r="DN64" s="198"/>
      <c r="DO64" s="198"/>
      <c r="DP64" s="198"/>
      <c r="DQ64" s="197"/>
      <c r="DR64" s="198"/>
      <c r="DS64" s="198"/>
      <c r="DT64" s="198"/>
      <c r="DU64" s="198"/>
      <c r="DV64" s="198"/>
      <c r="DW64" s="198"/>
      <c r="DX64" s="197"/>
      <c r="DY64" s="198"/>
      <c r="DZ64" s="198"/>
      <c r="EA64" s="198"/>
      <c r="EB64" s="198"/>
      <c r="EC64" s="198"/>
      <c r="ED64" s="198"/>
      <c r="EE64" s="197"/>
      <c r="EF64" s="198"/>
      <c r="EG64" s="198"/>
      <c r="EH64" s="198"/>
      <c r="EI64" s="198"/>
      <c r="EJ64" s="198"/>
      <c r="EK64" s="198"/>
      <c r="EL64" s="197"/>
      <c r="EM64" s="198"/>
      <c r="EN64" s="198"/>
      <c r="EO64" s="198"/>
      <c r="EP64" s="198"/>
      <c r="EQ64" s="198"/>
      <c r="ER64" s="198"/>
      <c r="ES64" s="197"/>
      <c r="ET64" s="198"/>
      <c r="EU64" s="198"/>
      <c r="EV64" s="198"/>
      <c r="EW64" s="198"/>
      <c r="EX64" s="198"/>
      <c r="EY64" s="198"/>
      <c r="EZ64" s="197"/>
      <c r="FA64" s="198"/>
      <c r="FB64" s="198"/>
      <c r="FC64" s="198"/>
      <c r="FD64" s="198"/>
      <c r="FE64" s="198"/>
      <c r="FF64" s="198"/>
      <c r="FG64" s="197"/>
      <c r="FH64" s="198"/>
      <c r="FI64" s="198"/>
      <c r="FJ64" s="198"/>
      <c r="FK64" s="198"/>
      <c r="FL64" s="198"/>
      <c r="FM64" s="198"/>
      <c r="FN64" s="197"/>
      <c r="FO64" s="198"/>
      <c r="FP64" s="198"/>
      <c r="FQ64" s="198"/>
      <c r="FR64" s="198"/>
      <c r="FS64" s="198"/>
      <c r="FT64" s="199"/>
      <c r="FU64" s="197"/>
      <c r="FV64" s="198"/>
      <c r="FW64" s="198"/>
      <c r="FX64" s="198"/>
      <c r="FY64" s="198"/>
      <c r="FZ64" s="198"/>
      <c r="GA64" s="199"/>
      <c r="GB64" s="197"/>
      <c r="GC64" s="198"/>
      <c r="GD64" s="198"/>
      <c r="GE64" s="198"/>
      <c r="GF64" s="198"/>
      <c r="GG64" s="198"/>
      <c r="GH64" s="199"/>
      <c r="GI64" s="197"/>
      <c r="GJ64" s="198"/>
      <c r="GK64" s="198"/>
      <c r="GL64" s="198"/>
      <c r="GM64" s="198"/>
      <c r="GN64" s="198"/>
      <c r="GO64" s="199"/>
      <c r="GP64" s="197"/>
      <c r="GQ64" s="198"/>
      <c r="GR64" s="198"/>
      <c r="GS64" s="198"/>
      <c r="GT64" s="198"/>
      <c r="GU64" s="198"/>
      <c r="GV64" s="199"/>
      <c r="GW64" s="197"/>
      <c r="GX64" s="198"/>
      <c r="GY64" s="198"/>
      <c r="GZ64" s="198"/>
      <c r="HA64" s="198"/>
      <c r="HB64" s="198"/>
      <c r="HC64" s="199"/>
      <c r="HD64" s="197"/>
      <c r="HE64" s="198"/>
      <c r="HF64" s="198"/>
      <c r="HG64" s="198"/>
      <c r="HH64" s="198"/>
      <c r="HI64" s="198"/>
      <c r="HJ64" s="199"/>
      <c r="HK64" s="197"/>
      <c r="HL64" s="198"/>
      <c r="HM64" s="198"/>
      <c r="HN64" s="198"/>
      <c r="HO64" s="198"/>
      <c r="HP64" s="198"/>
      <c r="HQ64" s="198"/>
      <c r="HR64" s="197"/>
      <c r="HT64" s="198"/>
      <c r="HU64" s="198"/>
      <c r="HV64" s="198"/>
      <c r="HW64" s="198"/>
      <c r="HX64" s="198"/>
    </row>
    <row r="65" spans="1:233">
      <c r="A65" s="202" t="s">
        <v>500</v>
      </c>
      <c r="B65" s="203"/>
      <c r="C65" s="204"/>
      <c r="D65" s="204"/>
      <c r="E65" s="204"/>
      <c r="F65" s="204"/>
      <c r="G65" s="204"/>
      <c r="H65" s="205"/>
      <c r="I65" s="203"/>
      <c r="J65" s="204"/>
      <c r="K65" s="204"/>
      <c r="L65" s="204"/>
      <c r="M65" s="204"/>
      <c r="N65" s="204"/>
      <c r="O65" s="205"/>
      <c r="P65" s="204">
        <v>1440.3619999999999</v>
      </c>
      <c r="Q65" s="204">
        <v>50.900999999999996</v>
      </c>
      <c r="R65" s="204">
        <v>254.43099999999998</v>
      </c>
      <c r="S65" s="204">
        <v>116.39599999999999</v>
      </c>
      <c r="T65" s="204">
        <v>661.24599999999998</v>
      </c>
      <c r="U65" s="204"/>
      <c r="V65" s="205">
        <v>357.38799999999992</v>
      </c>
      <c r="W65" s="204">
        <v>1217.7909999999999</v>
      </c>
      <c r="X65" s="204">
        <v>185.73099999999999</v>
      </c>
      <c r="Y65" s="204">
        <v>312.37700000000001</v>
      </c>
      <c r="Z65" s="204">
        <v>49.27</v>
      </c>
      <c r="AA65" s="204">
        <v>264.20699999999999</v>
      </c>
      <c r="AB65" s="204"/>
      <c r="AC65" s="205">
        <f t="shared" si="0"/>
        <v>406.20600000000002</v>
      </c>
      <c r="AD65" s="204">
        <f>[1]datos!$S197</f>
        <v>409.94100000000003</v>
      </c>
      <c r="AE65" s="204">
        <v>27.57</v>
      </c>
      <c r="AF65" s="204">
        <v>101.92900000000002</v>
      </c>
      <c r="AG65" s="204">
        <v>93.787999999999997</v>
      </c>
      <c r="AH65" s="204">
        <v>66.492999999999995</v>
      </c>
      <c r="AI65" s="204">
        <f>[1]datos!$U197</f>
        <v>36.761000000000003</v>
      </c>
      <c r="AJ65" s="204">
        <f>AD65-AE65-AF65-AG65-AH65-AI65</f>
        <v>83.4</v>
      </c>
      <c r="AK65" s="203"/>
      <c r="AL65" s="204"/>
      <c r="AM65" s="204"/>
      <c r="AN65" s="204"/>
      <c r="AO65" s="204"/>
      <c r="AP65" s="204"/>
      <c r="AQ65" s="205"/>
      <c r="AR65" s="204">
        <v>523.37974317870089</v>
      </c>
      <c r="AS65" s="204">
        <v>116.20944762113484</v>
      </c>
      <c r="AT65" s="204">
        <v>36.08541392695895</v>
      </c>
      <c r="AU65" s="204">
        <v>129.1011619251872</v>
      </c>
      <c r="AV65" s="204">
        <v>17.104297628071905</v>
      </c>
      <c r="AW65" s="204"/>
      <c r="AX65" s="204">
        <v>224.8794220773481</v>
      </c>
      <c r="AY65" s="203"/>
      <c r="AZ65" s="204"/>
      <c r="BA65" s="204"/>
      <c r="BB65" s="204"/>
      <c r="BC65" s="204"/>
      <c r="BD65" s="204"/>
      <c r="BE65" s="204"/>
      <c r="BF65" s="203"/>
      <c r="BG65" s="204"/>
      <c r="BH65" s="204"/>
      <c r="BI65" s="204"/>
      <c r="BJ65" s="204"/>
      <c r="BK65" s="204"/>
      <c r="BL65" s="204"/>
      <c r="BM65" s="203"/>
      <c r="BN65" s="204"/>
      <c r="BO65" s="204"/>
      <c r="BP65" s="204"/>
      <c r="BQ65" s="204"/>
      <c r="BR65" s="204"/>
      <c r="BS65" s="204"/>
      <c r="BT65" s="203"/>
      <c r="BU65" s="204"/>
      <c r="BV65" s="204"/>
      <c r="BW65" s="204"/>
      <c r="BX65" s="204"/>
      <c r="BY65" s="204"/>
      <c r="BZ65" s="204"/>
      <c r="CA65" s="203"/>
      <c r="CB65" s="204"/>
      <c r="CC65" s="204"/>
      <c r="CD65" s="204"/>
      <c r="CE65" s="204"/>
      <c r="CF65" s="204"/>
      <c r="CG65" s="204"/>
      <c r="CH65" s="203"/>
      <c r="CI65" s="204"/>
      <c r="CJ65" s="204"/>
      <c r="CK65" s="204"/>
      <c r="CL65" s="204"/>
      <c r="CM65" s="204"/>
      <c r="CN65" s="204"/>
      <c r="CO65" s="203"/>
      <c r="CP65" s="204"/>
      <c r="CQ65" s="204"/>
      <c r="CR65" s="204"/>
      <c r="CS65" s="204"/>
      <c r="CT65" s="204"/>
      <c r="CU65" s="204"/>
      <c r="CV65" s="203"/>
      <c r="CW65" s="204"/>
      <c r="CX65" s="204"/>
      <c r="CY65" s="204"/>
      <c r="CZ65" s="204"/>
      <c r="DA65" s="204"/>
      <c r="DB65" s="204"/>
      <c r="DC65" s="203"/>
      <c r="DD65" s="204"/>
      <c r="DE65" s="204"/>
      <c r="DF65" s="204"/>
      <c r="DG65" s="204"/>
      <c r="DH65" s="204"/>
      <c r="DI65" s="204"/>
      <c r="DJ65" s="203"/>
      <c r="DK65" s="204"/>
      <c r="DL65" s="204"/>
      <c r="DM65" s="204"/>
      <c r="DN65" s="204"/>
      <c r="DO65" s="204"/>
      <c r="DP65" s="204"/>
      <c r="DQ65" s="203"/>
      <c r="DR65" s="204"/>
      <c r="DS65" s="204"/>
      <c r="DT65" s="204"/>
      <c r="DU65" s="204"/>
      <c r="DV65" s="204"/>
      <c r="DW65" s="204"/>
      <c r="DX65" s="203"/>
      <c r="DY65" s="204"/>
      <c r="DZ65" s="204"/>
      <c r="EA65" s="204"/>
      <c r="EB65" s="204"/>
      <c r="EC65" s="204"/>
      <c r="ED65" s="204"/>
      <c r="EE65" s="203">
        <v>14095.062</v>
      </c>
      <c r="EF65" s="204">
        <v>2119.9369999999999</v>
      </c>
      <c r="EG65" s="204">
        <v>2142.386</v>
      </c>
      <c r="EH65" s="204">
        <v>2473.9459999999999</v>
      </c>
      <c r="EI65" s="204">
        <v>2129.2020000000002</v>
      </c>
      <c r="EJ65" s="204"/>
      <c r="EK65" s="204">
        <f>EE65-EF65-EG65-EH65-EI65</f>
        <v>5229.5909999999994</v>
      </c>
      <c r="EL65" s="203"/>
      <c r="EM65" s="204"/>
      <c r="EN65" s="204"/>
      <c r="EO65" s="204"/>
      <c r="EP65" s="204"/>
      <c r="EQ65" s="204"/>
      <c r="ER65" s="204"/>
      <c r="ES65" s="203"/>
      <c r="ET65" s="204"/>
      <c r="EU65" s="204"/>
      <c r="EV65" s="204"/>
      <c r="EW65" s="204"/>
      <c r="EX65" s="204"/>
      <c r="EY65" s="204"/>
      <c r="EZ65" s="203"/>
      <c r="FA65" s="204"/>
      <c r="FB65" s="204"/>
      <c r="FC65" s="204"/>
      <c r="FD65" s="204"/>
      <c r="FE65" s="204"/>
      <c r="FF65" s="204"/>
      <c r="FG65" s="203"/>
      <c r="FH65" s="204"/>
      <c r="FI65" s="204"/>
      <c r="FJ65" s="204"/>
      <c r="FK65" s="204"/>
      <c r="FL65" s="204"/>
      <c r="FM65" s="204"/>
      <c r="FN65" s="203"/>
      <c r="FO65" s="204"/>
      <c r="FP65" s="204"/>
      <c r="FQ65" s="204"/>
      <c r="FR65" s="204"/>
      <c r="FS65" s="204"/>
      <c r="FT65" s="205"/>
      <c r="FU65" s="203"/>
      <c r="FV65" s="204"/>
      <c r="FW65" s="204"/>
      <c r="FX65" s="204"/>
      <c r="FY65" s="204"/>
      <c r="FZ65" s="204"/>
      <c r="GA65" s="205"/>
      <c r="GB65" s="203"/>
      <c r="GC65" s="204"/>
      <c r="GD65" s="204"/>
      <c r="GE65" s="204"/>
      <c r="GF65" s="204"/>
      <c r="GG65" s="204"/>
      <c r="GH65" s="205"/>
      <c r="GI65" s="203"/>
      <c r="GJ65" s="204"/>
      <c r="GK65" s="204"/>
      <c r="GL65" s="204"/>
      <c r="GM65" s="204"/>
      <c r="GN65" s="204"/>
      <c r="GO65" s="205"/>
      <c r="GP65" s="203"/>
      <c r="GQ65" s="204"/>
      <c r="GR65" s="204"/>
      <c r="GS65" s="204"/>
      <c r="GT65" s="204"/>
      <c r="GU65" s="204"/>
      <c r="GV65" s="205"/>
      <c r="GW65" s="203"/>
      <c r="GX65" s="204"/>
      <c r="GY65" s="204"/>
      <c r="GZ65" s="204"/>
      <c r="HA65" s="204"/>
      <c r="HB65" s="204"/>
      <c r="HC65" s="205"/>
      <c r="HD65" s="203"/>
      <c r="HE65" s="204"/>
      <c r="HF65" s="204"/>
      <c r="HG65" s="204"/>
      <c r="HH65" s="204"/>
      <c r="HI65" s="204"/>
      <c r="HJ65" s="205"/>
      <c r="HK65" s="203"/>
      <c r="HL65" s="204"/>
      <c r="HM65" s="204"/>
      <c r="HN65" s="204"/>
      <c r="HO65" s="204"/>
      <c r="HP65" s="204"/>
      <c r="HQ65" s="204"/>
      <c r="HR65" s="197"/>
      <c r="HS65" s="206"/>
      <c r="HT65" s="204"/>
      <c r="HU65" s="204"/>
      <c r="HV65" s="204"/>
      <c r="HW65" s="204"/>
      <c r="HX65" s="204"/>
      <c r="HY65" s="198"/>
    </row>
    <row r="66" spans="1:233">
      <c r="A66" s="185" t="s">
        <v>660</v>
      </c>
      <c r="B66" s="197"/>
      <c r="C66" s="198"/>
      <c r="D66" s="198"/>
      <c r="E66" s="198"/>
      <c r="F66" s="198"/>
      <c r="G66" s="198"/>
      <c r="H66" s="199"/>
      <c r="I66" s="197"/>
      <c r="J66" s="198"/>
      <c r="K66" s="198"/>
      <c r="L66" s="198"/>
      <c r="M66" s="198"/>
      <c r="N66" s="198"/>
      <c r="O66" s="199"/>
      <c r="P66" s="198"/>
      <c r="Q66" s="198"/>
      <c r="R66" s="198"/>
      <c r="S66" s="198"/>
      <c r="T66" s="198"/>
      <c r="U66" s="198"/>
      <c r="V66" s="199"/>
      <c r="W66" s="198">
        <v>1209.605</v>
      </c>
      <c r="X66" s="198">
        <v>183.798</v>
      </c>
      <c r="Y66" s="198">
        <v>311.77199999999999</v>
      </c>
      <c r="Z66" s="198">
        <v>48.823999999999998</v>
      </c>
      <c r="AA66" s="198">
        <v>265.40600000000001</v>
      </c>
      <c r="AB66" s="198"/>
      <c r="AC66" s="199">
        <f t="shared" si="0"/>
        <v>399.80500000000012</v>
      </c>
      <c r="AD66" s="198"/>
      <c r="AE66" s="198">
        <v>28.864999999999998</v>
      </c>
      <c r="AF66" s="198">
        <v>102.05500000000001</v>
      </c>
      <c r="AG66" s="198">
        <v>94.944000000000003</v>
      </c>
      <c r="AH66" s="198">
        <v>66.67</v>
      </c>
      <c r="AI66" s="198"/>
      <c r="AJ66" s="198"/>
      <c r="AK66" s="197"/>
      <c r="AL66" s="198"/>
      <c r="AM66" s="198"/>
      <c r="AN66" s="198"/>
      <c r="AO66" s="198"/>
      <c r="AP66" s="198"/>
      <c r="AQ66" s="199"/>
      <c r="AR66" s="198">
        <v>659.39918043025807</v>
      </c>
      <c r="AS66" s="198">
        <v>144.92089838127836</v>
      </c>
      <c r="AT66" s="198">
        <v>46.578780011521687</v>
      </c>
      <c r="AU66" s="198">
        <v>164.9273420920216</v>
      </c>
      <c r="AV66" s="198">
        <v>20.972489938686738</v>
      </c>
      <c r="AW66" s="198"/>
      <c r="AX66" s="198">
        <v>281.99967000674962</v>
      </c>
      <c r="AY66" s="208"/>
      <c r="AZ66" s="198"/>
      <c r="BA66" s="198"/>
      <c r="BB66" s="198"/>
      <c r="BC66" s="198"/>
      <c r="BD66" s="198"/>
      <c r="BE66" s="198"/>
      <c r="BF66" s="208"/>
      <c r="BG66" s="198"/>
      <c r="BH66" s="198"/>
      <c r="BI66" s="198"/>
      <c r="BJ66" s="198"/>
      <c r="BK66" s="198"/>
      <c r="BL66" s="198"/>
      <c r="BM66" s="208"/>
      <c r="BN66" s="198"/>
      <c r="BO66" s="198"/>
      <c r="BP66" s="198"/>
      <c r="BQ66" s="198"/>
      <c r="BR66" s="198"/>
      <c r="BS66" s="198"/>
      <c r="BT66" s="197"/>
      <c r="BU66" s="198"/>
      <c r="BV66" s="198"/>
      <c r="BW66" s="198"/>
      <c r="BX66" s="198"/>
      <c r="BY66" s="198"/>
      <c r="BZ66" s="198"/>
      <c r="CA66" s="197"/>
      <c r="CB66" s="198"/>
      <c r="CC66" s="198"/>
      <c r="CD66" s="198"/>
      <c r="CE66" s="198"/>
      <c r="CF66" s="198"/>
      <c r="CG66" s="198"/>
      <c r="CH66" s="208"/>
      <c r="CI66" s="198"/>
      <c r="CJ66" s="198"/>
      <c r="CK66" s="198"/>
      <c r="CL66" s="198"/>
      <c r="CM66" s="198"/>
      <c r="CN66" s="198"/>
      <c r="CO66" s="208"/>
      <c r="CP66" s="198"/>
      <c r="CQ66" s="198"/>
      <c r="CR66" s="198"/>
      <c r="CS66" s="198"/>
      <c r="CT66" s="198"/>
      <c r="CU66" s="198"/>
      <c r="CV66" s="197"/>
      <c r="CW66" s="198"/>
      <c r="CX66" s="198"/>
      <c r="CY66" s="198"/>
      <c r="CZ66" s="198"/>
      <c r="DA66" s="198"/>
      <c r="DB66" s="198"/>
      <c r="DC66" s="208"/>
      <c r="DD66" s="198"/>
      <c r="DE66" s="198"/>
      <c r="DF66" s="198"/>
      <c r="DG66" s="198"/>
      <c r="DH66" s="198"/>
      <c r="DI66" s="198"/>
      <c r="DJ66" s="208"/>
      <c r="DK66" s="198"/>
      <c r="DL66" s="198"/>
      <c r="DM66" s="198"/>
      <c r="DN66" s="198"/>
      <c r="DO66" s="198"/>
      <c r="DP66" s="198"/>
      <c r="DQ66" s="208"/>
      <c r="DR66" s="198"/>
      <c r="DS66" s="198"/>
      <c r="DT66" s="198"/>
      <c r="DU66" s="198"/>
      <c r="DV66" s="198"/>
      <c r="DW66" s="198"/>
      <c r="DX66" s="197"/>
      <c r="DY66" s="198"/>
      <c r="DZ66" s="198"/>
      <c r="EA66" s="198"/>
      <c r="EB66" s="198"/>
      <c r="EC66" s="198"/>
      <c r="ED66" s="198"/>
      <c r="EE66" s="197"/>
      <c r="EF66" s="198"/>
      <c r="EG66" s="198"/>
      <c r="EH66" s="198"/>
      <c r="EI66" s="198"/>
      <c r="EJ66" s="198"/>
      <c r="EK66" s="198"/>
      <c r="EL66" s="197"/>
      <c r="EM66" s="198"/>
      <c r="EN66" s="198"/>
      <c r="EO66" s="198"/>
      <c r="EP66" s="198"/>
      <c r="EQ66" s="198"/>
      <c r="ER66" s="198"/>
      <c r="ES66" s="197"/>
      <c r="ET66" s="198"/>
      <c r="EU66" s="198"/>
      <c r="EV66" s="198"/>
      <c r="EW66" s="198"/>
      <c r="EX66" s="198"/>
      <c r="EY66" s="198"/>
      <c r="EZ66" s="197"/>
      <c r="FA66" s="198"/>
      <c r="FB66" s="198"/>
      <c r="FC66" s="198"/>
      <c r="FD66" s="198"/>
      <c r="FE66" s="198"/>
      <c r="FF66" s="198"/>
      <c r="FG66" s="197"/>
      <c r="FH66" s="198"/>
      <c r="FI66" s="198"/>
      <c r="FJ66" s="198"/>
      <c r="FK66" s="198"/>
      <c r="FL66" s="198"/>
      <c r="FM66" s="198"/>
      <c r="FN66" s="197"/>
      <c r="FO66" s="198"/>
      <c r="FP66" s="198"/>
      <c r="FQ66" s="198"/>
      <c r="FR66" s="198"/>
      <c r="FS66" s="198"/>
      <c r="FT66" s="199"/>
      <c r="FU66" s="197"/>
      <c r="FV66" s="198"/>
      <c r="FW66" s="198"/>
      <c r="FX66" s="198"/>
      <c r="FY66" s="198"/>
      <c r="FZ66" s="198"/>
      <c r="GA66" s="199"/>
      <c r="GB66" s="197"/>
      <c r="GC66" s="198"/>
      <c r="GD66" s="198"/>
      <c r="GE66" s="198"/>
      <c r="GF66" s="198"/>
      <c r="GG66" s="198"/>
      <c r="GH66" s="199"/>
      <c r="GI66" s="197"/>
      <c r="GJ66" s="198"/>
      <c r="GK66" s="198"/>
      <c r="GL66" s="198"/>
      <c r="GM66" s="198"/>
      <c r="GN66" s="198"/>
      <c r="GO66" s="199"/>
      <c r="GP66" s="197"/>
      <c r="GQ66" s="198"/>
      <c r="GR66" s="198"/>
      <c r="GS66" s="198"/>
      <c r="GT66" s="198"/>
      <c r="GU66" s="198"/>
      <c r="GV66" s="199"/>
      <c r="GW66" s="197"/>
      <c r="GX66" s="198"/>
      <c r="GY66" s="198"/>
      <c r="GZ66" s="198"/>
      <c r="HA66" s="198"/>
      <c r="HB66" s="198"/>
      <c r="HC66" s="199"/>
      <c r="HD66" s="197"/>
      <c r="HE66" s="198"/>
      <c r="HF66" s="198"/>
      <c r="HG66" s="198"/>
      <c r="HH66" s="198"/>
      <c r="HI66" s="198"/>
      <c r="HJ66" s="199"/>
      <c r="HK66" s="197"/>
      <c r="HL66" s="198"/>
      <c r="HM66" s="198"/>
      <c r="HN66" s="198"/>
      <c r="HO66" s="198"/>
      <c r="HP66" s="198"/>
      <c r="HQ66" s="198"/>
      <c r="HR66" s="197"/>
      <c r="HT66" s="201"/>
      <c r="HU66" s="201"/>
      <c r="HV66" s="201"/>
      <c r="HW66" s="201"/>
      <c r="HX66" s="198"/>
    </row>
    <row r="67" spans="1:233">
      <c r="A67" s="185" t="s">
        <v>490</v>
      </c>
      <c r="B67" s="197"/>
      <c r="C67" s="198"/>
      <c r="D67" s="198"/>
      <c r="E67" s="198"/>
      <c r="F67" s="198"/>
      <c r="G67" s="198"/>
      <c r="H67" s="199"/>
      <c r="I67" s="197"/>
      <c r="J67" s="198"/>
      <c r="K67" s="198"/>
      <c r="L67" s="198"/>
      <c r="M67" s="198"/>
      <c r="N67" s="198"/>
      <c r="O67" s="199"/>
      <c r="P67" s="198"/>
      <c r="Q67" s="198"/>
      <c r="R67" s="198"/>
      <c r="S67" s="198"/>
      <c r="T67" s="198"/>
      <c r="U67" s="198"/>
      <c r="V67" s="199"/>
      <c r="W67" s="198">
        <v>1209.787</v>
      </c>
      <c r="X67" s="198">
        <v>182.614</v>
      </c>
      <c r="Y67" s="198">
        <v>312.48500000000001</v>
      </c>
      <c r="Z67" s="198">
        <v>50.037999999999997</v>
      </c>
      <c r="AA67" s="198">
        <v>263.12900000000002</v>
      </c>
      <c r="AB67" s="198"/>
      <c r="AC67" s="199">
        <f t="shared" si="0"/>
        <v>401.52099999999996</v>
      </c>
      <c r="AD67" s="198"/>
      <c r="AE67" s="198">
        <v>29.981999999999999</v>
      </c>
      <c r="AF67" s="198">
        <v>100.354</v>
      </c>
      <c r="AG67" s="198">
        <v>94.793000000000006</v>
      </c>
      <c r="AH67" s="198">
        <v>67.203000000000003</v>
      </c>
      <c r="AI67" s="198"/>
      <c r="AJ67" s="198"/>
      <c r="AK67" s="197"/>
      <c r="AL67" s="198"/>
      <c r="AM67" s="198"/>
      <c r="AN67" s="198"/>
      <c r="AO67" s="198"/>
      <c r="AP67" s="198"/>
      <c r="AQ67" s="199"/>
      <c r="AR67" s="198">
        <v>843.01461576899385</v>
      </c>
      <c r="AS67" s="198">
        <v>187.6708203087162</v>
      </c>
      <c r="AT67" s="198">
        <v>56.827019001608413</v>
      </c>
      <c r="AU67" s="198">
        <v>210.54466996162728</v>
      </c>
      <c r="AV67" s="198">
        <v>27.093441728867301</v>
      </c>
      <c r="AW67" s="198"/>
      <c r="AX67" s="198">
        <v>360.8786647681747</v>
      </c>
      <c r="AY67" s="197"/>
      <c r="AZ67" s="198"/>
      <c r="BA67" s="198"/>
      <c r="BB67" s="198"/>
      <c r="BC67" s="198"/>
      <c r="BD67" s="198"/>
      <c r="BE67" s="198"/>
      <c r="BF67" s="197"/>
      <c r="BG67" s="198"/>
      <c r="BH67" s="198"/>
      <c r="BI67" s="198"/>
      <c r="BJ67" s="198"/>
      <c r="BK67" s="198"/>
      <c r="BL67" s="198"/>
      <c r="BM67" s="197"/>
      <c r="BN67" s="198"/>
      <c r="BO67" s="198"/>
      <c r="BP67" s="198"/>
      <c r="BQ67" s="198"/>
      <c r="BR67" s="198"/>
      <c r="BS67" s="198"/>
      <c r="BT67" s="197"/>
      <c r="BU67" s="198"/>
      <c r="BV67" s="198"/>
      <c r="BW67" s="198"/>
      <c r="BX67" s="198"/>
      <c r="BY67" s="198"/>
      <c r="BZ67" s="198"/>
      <c r="CA67" s="197"/>
      <c r="CB67" s="198"/>
      <c r="CC67" s="198"/>
      <c r="CD67" s="198"/>
      <c r="CE67" s="198"/>
      <c r="CF67" s="198"/>
      <c r="CG67" s="198"/>
      <c r="CH67" s="197"/>
      <c r="CI67" s="198"/>
      <c r="CJ67" s="198"/>
      <c r="CK67" s="198"/>
      <c r="CL67" s="198"/>
      <c r="CM67" s="198"/>
      <c r="CN67" s="198"/>
      <c r="CO67" s="197"/>
      <c r="CP67" s="198"/>
      <c r="CQ67" s="198"/>
      <c r="CR67" s="198"/>
      <c r="CS67" s="198"/>
      <c r="CT67" s="198"/>
      <c r="CU67" s="198"/>
      <c r="CV67" s="197"/>
      <c r="CW67" s="198"/>
      <c r="CX67" s="198"/>
      <c r="CY67" s="198"/>
      <c r="CZ67" s="198"/>
      <c r="DA67" s="198"/>
      <c r="DB67" s="198"/>
      <c r="DC67" s="197"/>
      <c r="DD67" s="198"/>
      <c r="DE67" s="198"/>
      <c r="DF67" s="198"/>
      <c r="DG67" s="198"/>
      <c r="DH67" s="198"/>
      <c r="DI67" s="198"/>
      <c r="DJ67" s="197"/>
      <c r="DK67" s="198"/>
      <c r="DL67" s="198"/>
      <c r="DM67" s="198"/>
      <c r="DN67" s="198"/>
      <c r="DO67" s="198"/>
      <c r="DP67" s="198"/>
      <c r="DQ67" s="197"/>
      <c r="DR67" s="198"/>
      <c r="DS67" s="198"/>
      <c r="DT67" s="198"/>
      <c r="DU67" s="198"/>
      <c r="DV67" s="198"/>
      <c r="DW67" s="198"/>
      <c r="DX67" s="197"/>
      <c r="DY67" s="198"/>
      <c r="DZ67" s="198"/>
      <c r="EA67" s="198"/>
      <c r="EB67" s="198"/>
      <c r="EC67" s="198"/>
      <c r="ED67" s="198"/>
      <c r="EE67" s="197"/>
      <c r="EF67" s="198"/>
      <c r="EG67" s="198"/>
      <c r="EH67" s="198"/>
      <c r="EI67" s="198"/>
      <c r="EJ67" s="198"/>
      <c r="EK67" s="198"/>
      <c r="EL67" s="197"/>
      <c r="EM67" s="198"/>
      <c r="EN67" s="198"/>
      <c r="EO67" s="198"/>
      <c r="EP67" s="198"/>
      <c r="EQ67" s="198"/>
      <c r="ER67" s="198"/>
      <c r="ES67" s="197"/>
      <c r="ET67" s="198"/>
      <c r="EU67" s="198"/>
      <c r="EV67" s="198"/>
      <c r="EW67" s="198"/>
      <c r="EX67" s="198"/>
      <c r="EY67" s="198"/>
      <c r="EZ67" s="197"/>
      <c r="FA67" s="198"/>
      <c r="FB67" s="198"/>
      <c r="FC67" s="198"/>
      <c r="FD67" s="198"/>
      <c r="FE67" s="198"/>
      <c r="FF67" s="198"/>
      <c r="FG67" s="197"/>
      <c r="FH67" s="198"/>
      <c r="FI67" s="198"/>
      <c r="FJ67" s="198"/>
      <c r="FK67" s="198"/>
      <c r="FL67" s="198"/>
      <c r="FM67" s="198"/>
      <c r="FN67" s="197"/>
      <c r="FO67" s="198"/>
      <c r="FP67" s="198"/>
      <c r="FQ67" s="198"/>
      <c r="FR67" s="198"/>
      <c r="FS67" s="198"/>
      <c r="FT67" s="199"/>
      <c r="FU67" s="197"/>
      <c r="FV67" s="198"/>
      <c r="FW67" s="198"/>
      <c r="FX67" s="198"/>
      <c r="FY67" s="198"/>
      <c r="FZ67" s="198"/>
      <c r="GA67" s="199"/>
      <c r="GB67" s="197"/>
      <c r="GC67" s="198"/>
      <c r="GD67" s="198"/>
      <c r="GE67" s="198"/>
      <c r="GF67" s="198"/>
      <c r="GG67" s="198"/>
      <c r="GH67" s="199"/>
      <c r="GI67" s="197"/>
      <c r="GJ67" s="198"/>
      <c r="GK67" s="198"/>
      <c r="GL67" s="198"/>
      <c r="GM67" s="198"/>
      <c r="GN67" s="198"/>
      <c r="GO67" s="199"/>
      <c r="GP67" s="197"/>
      <c r="GQ67" s="198"/>
      <c r="GR67" s="198"/>
      <c r="GS67" s="198"/>
      <c r="GT67" s="198"/>
      <c r="GU67" s="198"/>
      <c r="GV67" s="199"/>
      <c r="GW67" s="197"/>
      <c r="GX67" s="198"/>
      <c r="GY67" s="198"/>
      <c r="GZ67" s="198"/>
      <c r="HA67" s="198"/>
      <c r="HB67" s="198"/>
      <c r="HC67" s="199"/>
      <c r="HD67" s="197"/>
      <c r="HE67" s="198"/>
      <c r="HF67" s="198"/>
      <c r="HG67" s="198"/>
      <c r="HH67" s="198"/>
      <c r="HI67" s="198"/>
      <c r="HJ67" s="199"/>
      <c r="HK67" s="197"/>
      <c r="HL67" s="198"/>
      <c r="HM67" s="198"/>
      <c r="HN67" s="198"/>
      <c r="HO67" s="198"/>
      <c r="HP67" s="198"/>
      <c r="HQ67" s="198"/>
      <c r="HR67" s="197"/>
      <c r="HT67" s="198"/>
      <c r="HU67" s="198"/>
      <c r="HV67" s="198"/>
      <c r="HW67" s="198"/>
      <c r="HX67" s="198"/>
    </row>
    <row r="68" spans="1:233">
      <c r="A68" s="185" t="s">
        <v>491</v>
      </c>
      <c r="B68" s="197"/>
      <c r="C68" s="198"/>
      <c r="D68" s="198"/>
      <c r="E68" s="198"/>
      <c r="F68" s="198"/>
      <c r="G68" s="198"/>
      <c r="H68" s="199"/>
      <c r="I68" s="197"/>
      <c r="J68" s="198"/>
      <c r="K68" s="198"/>
      <c r="L68" s="198"/>
      <c r="M68" s="198"/>
      <c r="N68" s="198"/>
      <c r="O68" s="199"/>
      <c r="P68" s="198"/>
      <c r="Q68" s="198"/>
      <c r="R68" s="198"/>
      <c r="S68" s="198"/>
      <c r="T68" s="198"/>
      <c r="U68" s="198"/>
      <c r="V68" s="199"/>
      <c r="W68" s="198">
        <v>1229.06</v>
      </c>
      <c r="X68" s="198">
        <v>177.57599999999999</v>
      </c>
      <c r="Y68" s="198">
        <v>321.113</v>
      </c>
      <c r="Z68" s="198">
        <v>52.418999999999997</v>
      </c>
      <c r="AA68" s="198">
        <v>277.47000000000003</v>
      </c>
      <c r="AB68" s="198"/>
      <c r="AC68" s="199">
        <f t="shared" si="0"/>
        <v>400.48199999999986</v>
      </c>
      <c r="AD68" s="198">
        <f>[1]datos!$S200</f>
        <v>414.31400000000002</v>
      </c>
      <c r="AE68" s="198">
        <v>29.379000000000001</v>
      </c>
      <c r="AF68" s="198">
        <v>100.187</v>
      </c>
      <c r="AG68" s="198">
        <v>96.936000000000007</v>
      </c>
      <c r="AH68" s="198">
        <v>68.777000000000001</v>
      </c>
      <c r="AI68" s="198">
        <f>[1]datos!$U200</f>
        <v>39.055</v>
      </c>
      <c r="AJ68" s="198">
        <f>AD68-AE68-AF68-AG68-AH68-AI68</f>
        <v>79.97999999999999</v>
      </c>
      <c r="AK68" s="197"/>
      <c r="AL68" s="198"/>
      <c r="AM68" s="198"/>
      <c r="AN68" s="198"/>
      <c r="AO68" s="198"/>
      <c r="AP68" s="198"/>
      <c r="AQ68" s="199"/>
      <c r="AR68" s="198">
        <v>1067.0451142245136</v>
      </c>
      <c r="AS68" s="198">
        <v>237.47279974666219</v>
      </c>
      <c r="AT68" s="198">
        <v>74.036815458935664</v>
      </c>
      <c r="AU68" s="198">
        <v>262.01965999050077</v>
      </c>
      <c r="AV68" s="198">
        <v>36.371231140323225</v>
      </c>
      <c r="AW68" s="198"/>
      <c r="AX68" s="198">
        <v>457.14460788809174</v>
      </c>
      <c r="AY68" s="197"/>
      <c r="AZ68" s="198"/>
      <c r="BA68" s="198"/>
      <c r="BB68" s="198"/>
      <c r="BC68" s="198"/>
      <c r="BD68" s="198"/>
      <c r="BE68" s="198"/>
      <c r="BF68" s="197"/>
      <c r="BG68" s="198"/>
      <c r="BH68" s="198"/>
      <c r="BI68" s="198"/>
      <c r="BJ68" s="198"/>
      <c r="BK68" s="198"/>
      <c r="BL68" s="198"/>
      <c r="BM68" s="197"/>
      <c r="BN68" s="198"/>
      <c r="BO68" s="198"/>
      <c r="BP68" s="198"/>
      <c r="BQ68" s="198"/>
      <c r="BR68" s="198"/>
      <c r="BS68" s="198"/>
      <c r="BT68" s="197"/>
      <c r="BU68" s="198"/>
      <c r="BV68" s="198"/>
      <c r="BW68" s="198"/>
      <c r="BX68" s="198"/>
      <c r="BY68" s="198"/>
      <c r="BZ68" s="198"/>
      <c r="CA68" s="197"/>
      <c r="CB68" s="198"/>
      <c r="CC68" s="198"/>
      <c r="CD68" s="198"/>
      <c r="CE68" s="198"/>
      <c r="CF68" s="198"/>
      <c r="CG68" s="198"/>
      <c r="CH68" s="197"/>
      <c r="CI68" s="198"/>
      <c r="CJ68" s="198"/>
      <c r="CK68" s="198"/>
      <c r="CL68" s="198"/>
      <c r="CM68" s="198"/>
      <c r="CN68" s="198"/>
      <c r="CO68" s="197"/>
      <c r="CP68" s="198"/>
      <c r="CQ68" s="198"/>
      <c r="CR68" s="198"/>
      <c r="CS68" s="198"/>
      <c r="CT68" s="198"/>
      <c r="CU68" s="198"/>
      <c r="CV68" s="197"/>
      <c r="CW68" s="198"/>
      <c r="CX68" s="198"/>
      <c r="CY68" s="198"/>
      <c r="CZ68" s="198"/>
      <c r="DA68" s="198"/>
      <c r="DB68" s="198"/>
      <c r="DC68" s="197"/>
      <c r="DD68" s="198"/>
      <c r="DE68" s="198"/>
      <c r="DF68" s="198"/>
      <c r="DG68" s="198"/>
      <c r="DH68" s="198"/>
      <c r="DI68" s="198"/>
      <c r="DJ68" s="197"/>
      <c r="DK68" s="198"/>
      <c r="DL68" s="198"/>
      <c r="DM68" s="198"/>
      <c r="DN68" s="198"/>
      <c r="DO68" s="198"/>
      <c r="DP68" s="198"/>
      <c r="DQ68" s="197"/>
      <c r="DR68" s="198"/>
      <c r="DS68" s="198"/>
      <c r="DT68" s="198"/>
      <c r="DU68" s="198"/>
      <c r="DV68" s="198"/>
      <c r="DW68" s="198"/>
      <c r="DX68" s="197"/>
      <c r="DY68" s="198"/>
      <c r="DZ68" s="198"/>
      <c r="EA68" s="198"/>
      <c r="EB68" s="198"/>
      <c r="EC68" s="198"/>
      <c r="ED68" s="198"/>
      <c r="EE68" s="197"/>
      <c r="EF68" s="198"/>
      <c r="EG68" s="198"/>
      <c r="EH68" s="198"/>
      <c r="EI68" s="198"/>
      <c r="EJ68" s="198"/>
      <c r="EK68" s="198"/>
      <c r="EL68" s="197"/>
      <c r="EM68" s="198"/>
      <c r="EN68" s="198"/>
      <c r="EO68" s="198"/>
      <c r="EP68" s="198"/>
      <c r="EQ68" s="198"/>
      <c r="ER68" s="198"/>
      <c r="ES68" s="197"/>
      <c r="ET68" s="198"/>
      <c r="EU68" s="198"/>
      <c r="EV68" s="198"/>
      <c r="EW68" s="198"/>
      <c r="EX68" s="198"/>
      <c r="EY68" s="198"/>
      <c r="EZ68" s="197"/>
      <c r="FA68" s="198"/>
      <c r="FB68" s="198"/>
      <c r="FC68" s="198"/>
      <c r="FD68" s="198"/>
      <c r="FE68" s="198"/>
      <c r="FF68" s="198"/>
      <c r="FG68" s="197"/>
      <c r="FH68" s="198"/>
      <c r="FI68" s="198"/>
      <c r="FJ68" s="198"/>
      <c r="FK68" s="198"/>
      <c r="FL68" s="198"/>
      <c r="FM68" s="198"/>
      <c r="FN68" s="197"/>
      <c r="FO68" s="198"/>
      <c r="FP68" s="198"/>
      <c r="FQ68" s="198"/>
      <c r="FR68" s="198"/>
      <c r="FS68" s="198"/>
      <c r="FT68" s="199"/>
      <c r="FU68" s="197"/>
      <c r="FV68" s="198"/>
      <c r="FW68" s="198"/>
      <c r="FX68" s="198"/>
      <c r="FY68" s="198"/>
      <c r="FZ68" s="198"/>
      <c r="GA68" s="199"/>
      <c r="GB68" s="197"/>
      <c r="GC68" s="198"/>
      <c r="GD68" s="198"/>
      <c r="GE68" s="198"/>
      <c r="GF68" s="198"/>
      <c r="GG68" s="198"/>
      <c r="GH68" s="199"/>
      <c r="GI68" s="197"/>
      <c r="GJ68" s="198"/>
      <c r="GK68" s="198"/>
      <c r="GL68" s="198"/>
      <c r="GM68" s="198"/>
      <c r="GN68" s="198"/>
      <c r="GO68" s="199"/>
      <c r="GP68" s="197"/>
      <c r="GQ68" s="198"/>
      <c r="GR68" s="198"/>
      <c r="GS68" s="198"/>
      <c r="GT68" s="198"/>
      <c r="GU68" s="198"/>
      <c r="GV68" s="199"/>
      <c r="GW68" s="197"/>
      <c r="GX68" s="198"/>
      <c r="GY68" s="198"/>
      <c r="GZ68" s="198"/>
      <c r="HA68" s="198"/>
      <c r="HB68" s="198"/>
      <c r="HC68" s="199"/>
      <c r="HD68" s="197"/>
      <c r="HE68" s="198"/>
      <c r="HF68" s="198"/>
      <c r="HG68" s="198"/>
      <c r="HH68" s="198"/>
      <c r="HI68" s="198"/>
      <c r="HJ68" s="199"/>
      <c r="HK68" s="197"/>
      <c r="HL68" s="198"/>
      <c r="HM68" s="198"/>
      <c r="HN68" s="198"/>
      <c r="HO68" s="198"/>
      <c r="HP68" s="198"/>
      <c r="HQ68" s="198"/>
      <c r="HR68" s="197"/>
      <c r="HT68" s="198"/>
      <c r="HU68" s="198"/>
      <c r="HV68" s="198"/>
      <c r="HW68" s="198"/>
      <c r="HX68" s="198"/>
    </row>
    <row r="69" spans="1:233">
      <c r="A69" s="185" t="s">
        <v>492</v>
      </c>
      <c r="B69" s="197"/>
      <c r="C69" s="198"/>
      <c r="D69" s="198"/>
      <c r="E69" s="198"/>
      <c r="F69" s="198"/>
      <c r="G69" s="198"/>
      <c r="H69" s="199"/>
      <c r="I69" s="197"/>
      <c r="J69" s="198"/>
      <c r="K69" s="198"/>
      <c r="L69" s="198"/>
      <c r="M69" s="198"/>
      <c r="N69" s="198"/>
      <c r="O69" s="199"/>
      <c r="P69" s="198"/>
      <c r="Q69" s="198"/>
      <c r="R69" s="198"/>
      <c r="S69" s="198"/>
      <c r="T69" s="198"/>
      <c r="U69" s="198"/>
      <c r="V69" s="199"/>
      <c r="W69" s="198">
        <v>1237.423</v>
      </c>
      <c r="X69" s="198">
        <v>173.50700000000001</v>
      </c>
      <c r="Y69" s="198">
        <v>327.16399999999999</v>
      </c>
      <c r="Z69" s="198">
        <v>52.914000000000001</v>
      </c>
      <c r="AA69" s="198">
        <v>276.25900000000001</v>
      </c>
      <c r="AB69" s="198"/>
      <c r="AC69" s="199">
        <f t="shared" si="0"/>
        <v>407.57899999999995</v>
      </c>
      <c r="AD69" s="198"/>
      <c r="AE69" s="198">
        <v>25.988</v>
      </c>
      <c r="AF69" s="198">
        <v>98.61399999999999</v>
      </c>
      <c r="AG69" s="198">
        <v>97.840999999999994</v>
      </c>
      <c r="AH69" s="198">
        <v>68.912999999999997</v>
      </c>
      <c r="AI69" s="198"/>
      <c r="AJ69" s="198"/>
      <c r="AK69" s="197"/>
      <c r="AL69" s="198"/>
      <c r="AM69" s="198"/>
      <c r="AN69" s="198"/>
      <c r="AO69" s="198"/>
      <c r="AP69" s="198"/>
      <c r="AQ69" s="199"/>
      <c r="AR69" s="198">
        <v>1385.6510704662298</v>
      </c>
      <c r="AS69" s="198">
        <v>310.38271777283836</v>
      </c>
      <c r="AT69" s="198">
        <v>99.897328752451074</v>
      </c>
      <c r="AU69" s="198">
        <v>336.6733457714858</v>
      </c>
      <c r="AV69" s="198">
        <v>50.710869024531711</v>
      </c>
      <c r="AW69" s="198"/>
      <c r="AX69" s="198">
        <v>587.98680914492297</v>
      </c>
      <c r="AY69" s="197"/>
      <c r="AZ69" s="198"/>
      <c r="BA69" s="198"/>
      <c r="BB69" s="198"/>
      <c r="BC69" s="198"/>
      <c r="BD69" s="198"/>
      <c r="BE69" s="198"/>
      <c r="BF69" s="197"/>
      <c r="BG69" s="198"/>
      <c r="BH69" s="198"/>
      <c r="BI69" s="198"/>
      <c r="BJ69" s="198"/>
      <c r="BK69" s="198"/>
      <c r="BL69" s="198"/>
      <c r="BM69" s="197"/>
      <c r="BN69" s="198"/>
      <c r="BO69" s="198"/>
      <c r="BP69" s="198"/>
      <c r="BQ69" s="198"/>
      <c r="BR69" s="198"/>
      <c r="BS69" s="198"/>
      <c r="BT69" s="197"/>
      <c r="BU69" s="198"/>
      <c r="BV69" s="198"/>
      <c r="BW69" s="198"/>
      <c r="BX69" s="198"/>
      <c r="BY69" s="198"/>
      <c r="BZ69" s="198"/>
      <c r="CA69" s="197"/>
      <c r="CB69" s="198"/>
      <c r="CC69" s="198"/>
      <c r="CD69" s="198"/>
      <c r="CE69" s="198"/>
      <c r="CF69" s="198"/>
      <c r="CG69" s="198"/>
      <c r="CH69" s="197"/>
      <c r="CI69" s="198"/>
      <c r="CJ69" s="198"/>
      <c r="CK69" s="198"/>
      <c r="CL69" s="198"/>
      <c r="CM69" s="198"/>
      <c r="CN69" s="198"/>
      <c r="CO69" s="197"/>
      <c r="CP69" s="198"/>
      <c r="CQ69" s="198"/>
      <c r="CR69" s="198"/>
      <c r="CS69" s="198"/>
      <c r="CT69" s="198"/>
      <c r="CU69" s="198"/>
      <c r="CV69" s="197"/>
      <c r="CW69" s="198"/>
      <c r="CX69" s="198"/>
      <c r="CY69" s="198"/>
      <c r="CZ69" s="198"/>
      <c r="DA69" s="198"/>
      <c r="DB69" s="198"/>
      <c r="DC69" s="197"/>
      <c r="DD69" s="198"/>
      <c r="DE69" s="198"/>
      <c r="DF69" s="198"/>
      <c r="DG69" s="198"/>
      <c r="DH69" s="198"/>
      <c r="DI69" s="198"/>
      <c r="DJ69" s="197"/>
      <c r="DK69" s="198"/>
      <c r="DL69" s="198"/>
      <c r="DM69" s="198"/>
      <c r="DN69" s="198"/>
      <c r="DO69" s="198"/>
      <c r="DP69" s="198"/>
      <c r="DQ69" s="197"/>
      <c r="DR69" s="198"/>
      <c r="DS69" s="198"/>
      <c r="DT69" s="198"/>
      <c r="DU69" s="198"/>
      <c r="DV69" s="198"/>
      <c r="DW69" s="198"/>
      <c r="DX69" s="197"/>
      <c r="DY69" s="198"/>
      <c r="DZ69" s="198"/>
      <c r="EA69" s="198"/>
      <c r="EB69" s="198"/>
      <c r="EC69" s="198"/>
      <c r="ED69" s="198"/>
      <c r="EE69" s="197"/>
      <c r="EF69" s="198"/>
      <c r="EG69" s="198"/>
      <c r="EH69" s="198"/>
      <c r="EI69" s="198"/>
      <c r="EJ69" s="198"/>
      <c r="EK69" s="198"/>
      <c r="EL69" s="197"/>
      <c r="EM69" s="198"/>
      <c r="EN69" s="198"/>
      <c r="EO69" s="198"/>
      <c r="EP69" s="198"/>
      <c r="EQ69" s="198"/>
      <c r="ER69" s="198"/>
      <c r="ES69" s="197"/>
      <c r="ET69" s="198"/>
      <c r="EU69" s="198"/>
      <c r="EV69" s="198"/>
      <c r="EW69" s="198"/>
      <c r="EX69" s="198"/>
      <c r="EY69" s="198"/>
      <c r="EZ69" s="197"/>
      <c r="FA69" s="198"/>
      <c r="FB69" s="198"/>
      <c r="FC69" s="198"/>
      <c r="FD69" s="198"/>
      <c r="FE69" s="198"/>
      <c r="FF69" s="198"/>
      <c r="FG69" s="197"/>
      <c r="FH69" s="198"/>
      <c r="FI69" s="198"/>
      <c r="FJ69" s="198"/>
      <c r="FK69" s="198"/>
      <c r="FL69" s="198"/>
      <c r="FM69" s="198"/>
      <c r="FN69" s="197"/>
      <c r="FO69" s="198"/>
      <c r="FP69" s="198"/>
      <c r="FQ69" s="198"/>
      <c r="FR69" s="198"/>
      <c r="FS69" s="198"/>
      <c r="FT69" s="199"/>
      <c r="FU69" s="197"/>
      <c r="FV69" s="198"/>
      <c r="FW69" s="198"/>
      <c r="FX69" s="198"/>
      <c r="FY69" s="198"/>
      <c r="FZ69" s="198"/>
      <c r="GA69" s="199"/>
      <c r="GB69" s="197"/>
      <c r="GC69" s="198"/>
      <c r="GD69" s="198"/>
      <c r="GE69" s="198"/>
      <c r="GF69" s="198"/>
      <c r="GG69" s="198"/>
      <c r="GH69" s="199"/>
      <c r="GI69" s="197"/>
      <c r="GJ69" s="198"/>
      <c r="GK69" s="198"/>
      <c r="GL69" s="198"/>
      <c r="GM69" s="198"/>
      <c r="GN69" s="198"/>
      <c r="GO69" s="199"/>
      <c r="GP69" s="197"/>
      <c r="GQ69" s="198"/>
      <c r="GR69" s="198"/>
      <c r="GS69" s="198"/>
      <c r="GT69" s="198"/>
      <c r="GU69" s="198"/>
      <c r="GV69" s="199"/>
      <c r="GW69" s="197"/>
      <c r="GX69" s="198"/>
      <c r="GY69" s="198"/>
      <c r="GZ69" s="198"/>
      <c r="HA69" s="198"/>
      <c r="HB69" s="198"/>
      <c r="HC69" s="199"/>
      <c r="HD69" s="197"/>
      <c r="HE69" s="198"/>
      <c r="HF69" s="198"/>
      <c r="HG69" s="198"/>
      <c r="HH69" s="198"/>
      <c r="HI69" s="198"/>
      <c r="HJ69" s="199"/>
      <c r="HK69" s="197"/>
      <c r="HL69" s="198"/>
      <c r="HM69" s="198"/>
      <c r="HN69" s="198"/>
      <c r="HO69" s="198"/>
      <c r="HP69" s="198"/>
      <c r="HQ69" s="198"/>
      <c r="HR69" s="197"/>
      <c r="HT69" s="198"/>
      <c r="HU69" s="198"/>
      <c r="HV69" s="198"/>
      <c r="HW69" s="198"/>
      <c r="HX69" s="198"/>
    </row>
    <row r="70" spans="1:233">
      <c r="A70" s="185" t="s">
        <v>493</v>
      </c>
      <c r="B70" s="197"/>
      <c r="C70" s="198"/>
      <c r="D70" s="198"/>
      <c r="E70" s="198"/>
      <c r="F70" s="198"/>
      <c r="G70" s="198"/>
      <c r="H70" s="199"/>
      <c r="I70" s="197"/>
      <c r="J70" s="198"/>
      <c r="K70" s="198"/>
      <c r="L70" s="198"/>
      <c r="M70" s="198"/>
      <c r="N70" s="198"/>
      <c r="O70" s="199"/>
      <c r="P70" s="198"/>
      <c r="Q70" s="198"/>
      <c r="R70" s="198"/>
      <c r="S70" s="198"/>
      <c r="T70" s="198"/>
      <c r="U70" s="198"/>
      <c r="V70" s="199"/>
      <c r="W70" s="198">
        <v>1244.069</v>
      </c>
      <c r="X70" s="198">
        <v>169.06800000000001</v>
      </c>
      <c r="Y70" s="198">
        <v>331.89300000000003</v>
      </c>
      <c r="Z70" s="198">
        <v>53.496000000000002</v>
      </c>
      <c r="AA70" s="198">
        <v>281.09800000000001</v>
      </c>
      <c r="AB70" s="198"/>
      <c r="AC70" s="199">
        <f t="shared" si="0"/>
        <v>408.51399999999995</v>
      </c>
      <c r="AD70" s="198"/>
      <c r="AE70" s="198">
        <v>26.052</v>
      </c>
      <c r="AF70" s="198">
        <v>97.932000000000002</v>
      </c>
      <c r="AG70" s="198">
        <v>99.073999999999998</v>
      </c>
      <c r="AH70" s="198">
        <v>62.572000000000003</v>
      </c>
      <c r="AI70" s="198"/>
      <c r="AJ70" s="198"/>
      <c r="AK70" s="197"/>
      <c r="AL70" s="198"/>
      <c r="AM70" s="198"/>
      <c r="AN70" s="198"/>
      <c r="AO70" s="198"/>
      <c r="AP70" s="198"/>
      <c r="AQ70" s="199"/>
      <c r="AR70" s="198">
        <v>1837.915626925846</v>
      </c>
      <c r="AS70" s="198">
        <v>415.61284094097266</v>
      </c>
      <c r="AT70" s="198">
        <v>133.73030685860081</v>
      </c>
      <c r="AU70" s="198">
        <v>437.75706509426436</v>
      </c>
      <c r="AV70" s="198">
        <v>68.908735565278946</v>
      </c>
      <c r="AW70" s="198"/>
      <c r="AX70" s="198">
        <v>781.90667846672932</v>
      </c>
      <c r="AY70" s="197"/>
      <c r="AZ70" s="198"/>
      <c r="BA70" s="198"/>
      <c r="BB70" s="198"/>
      <c r="BC70" s="198"/>
      <c r="BD70" s="198"/>
      <c r="BE70" s="198"/>
      <c r="BF70" s="197"/>
      <c r="BG70" s="198"/>
      <c r="BH70" s="198"/>
      <c r="BI70" s="198"/>
      <c r="BJ70" s="198"/>
      <c r="BK70" s="198"/>
      <c r="BL70" s="198"/>
      <c r="BM70" s="197"/>
      <c r="BN70" s="198"/>
      <c r="BO70" s="198"/>
      <c r="BP70" s="198"/>
      <c r="BQ70" s="198"/>
      <c r="BR70" s="198"/>
      <c r="BS70" s="198"/>
      <c r="BT70" s="197"/>
      <c r="BU70" s="198"/>
      <c r="BV70" s="198"/>
      <c r="BW70" s="198"/>
      <c r="BX70" s="198"/>
      <c r="BY70" s="198"/>
      <c r="BZ70" s="198"/>
      <c r="CA70" s="197"/>
      <c r="CB70" s="198"/>
      <c r="CC70" s="198"/>
      <c r="CD70" s="198"/>
      <c r="CE70" s="198"/>
      <c r="CF70" s="198"/>
      <c r="CG70" s="198"/>
      <c r="CH70" s="197"/>
      <c r="CI70" s="198"/>
      <c r="CJ70" s="198"/>
      <c r="CK70" s="198"/>
      <c r="CL70" s="198"/>
      <c r="CM70" s="198"/>
      <c r="CN70" s="198"/>
      <c r="CO70" s="197"/>
      <c r="CP70" s="198"/>
      <c r="CQ70" s="198"/>
      <c r="CR70" s="198"/>
      <c r="CS70" s="198"/>
      <c r="CT70" s="198"/>
      <c r="CU70" s="198"/>
      <c r="CV70" s="197"/>
      <c r="CW70" s="198"/>
      <c r="CX70" s="198"/>
      <c r="CY70" s="198"/>
      <c r="CZ70" s="198"/>
      <c r="DA70" s="198"/>
      <c r="DB70" s="198"/>
      <c r="DC70" s="197"/>
      <c r="DD70" s="198"/>
      <c r="DE70" s="198"/>
      <c r="DF70" s="198"/>
      <c r="DG70" s="198"/>
      <c r="DH70" s="198"/>
      <c r="DI70" s="198"/>
      <c r="DJ70" s="197"/>
      <c r="DK70" s="198"/>
      <c r="DL70" s="198"/>
      <c r="DM70" s="198"/>
      <c r="DN70" s="198"/>
      <c r="DO70" s="198"/>
      <c r="DP70" s="198"/>
      <c r="DQ70" s="197"/>
      <c r="DR70" s="198"/>
      <c r="DS70" s="198"/>
      <c r="DT70" s="198"/>
      <c r="DU70" s="198"/>
      <c r="DV70" s="198"/>
      <c r="DW70" s="198"/>
      <c r="DX70" s="197"/>
      <c r="DY70" s="198"/>
      <c r="DZ70" s="198"/>
      <c r="EA70" s="198"/>
      <c r="EB70" s="198"/>
      <c r="EC70" s="198"/>
      <c r="ED70" s="198"/>
      <c r="EE70" s="197"/>
      <c r="EF70" s="198"/>
      <c r="EG70" s="198"/>
      <c r="EH70" s="198"/>
      <c r="EI70" s="198"/>
      <c r="EJ70" s="198"/>
      <c r="EK70" s="198"/>
      <c r="EL70" s="197"/>
      <c r="EM70" s="198"/>
      <c r="EN70" s="198"/>
      <c r="EO70" s="198"/>
      <c r="EP70" s="198"/>
      <c r="EQ70" s="198"/>
      <c r="ER70" s="198"/>
      <c r="ES70" s="197"/>
      <c r="ET70" s="198"/>
      <c r="EU70" s="198"/>
      <c r="EV70" s="198"/>
      <c r="EW70" s="198"/>
      <c r="EX70" s="198"/>
      <c r="EY70" s="198"/>
      <c r="EZ70" s="197"/>
      <c r="FA70" s="198"/>
      <c r="FB70" s="198"/>
      <c r="FC70" s="198"/>
      <c r="FD70" s="198"/>
      <c r="FE70" s="198"/>
      <c r="FF70" s="198"/>
      <c r="FG70" s="197"/>
      <c r="FH70" s="198"/>
      <c r="FI70" s="198"/>
      <c r="FJ70" s="198"/>
      <c r="FK70" s="198"/>
      <c r="FL70" s="198"/>
      <c r="FM70" s="198"/>
      <c r="FN70" s="197"/>
      <c r="FO70" s="198"/>
      <c r="FP70" s="198"/>
      <c r="FQ70" s="198"/>
      <c r="FR70" s="198"/>
      <c r="FS70" s="198"/>
      <c r="FT70" s="199"/>
      <c r="FU70" s="197"/>
      <c r="FV70" s="198"/>
      <c r="FW70" s="198"/>
      <c r="FX70" s="198"/>
      <c r="FY70" s="198"/>
      <c r="FZ70" s="198"/>
      <c r="GA70" s="199"/>
      <c r="GB70" s="197"/>
      <c r="GC70" s="198"/>
      <c r="GD70" s="198"/>
      <c r="GE70" s="198"/>
      <c r="GF70" s="198"/>
      <c r="GG70" s="198"/>
      <c r="GH70" s="199"/>
      <c r="GI70" s="197"/>
      <c r="GJ70" s="198"/>
      <c r="GK70" s="198"/>
      <c r="GL70" s="198"/>
      <c r="GM70" s="198"/>
      <c r="GN70" s="198"/>
      <c r="GO70" s="199"/>
      <c r="GP70" s="197"/>
      <c r="GQ70" s="198"/>
      <c r="GR70" s="198"/>
      <c r="GS70" s="198"/>
      <c r="GT70" s="198"/>
      <c r="GU70" s="198"/>
      <c r="GV70" s="199"/>
      <c r="GW70" s="197"/>
      <c r="GX70" s="198"/>
      <c r="GY70" s="198"/>
      <c r="GZ70" s="198"/>
      <c r="HA70" s="198"/>
      <c r="HB70" s="198"/>
      <c r="HC70" s="199"/>
      <c r="HD70" s="197"/>
      <c r="HE70" s="198"/>
      <c r="HF70" s="198"/>
      <c r="HG70" s="198"/>
      <c r="HH70" s="198"/>
      <c r="HI70" s="198"/>
      <c r="HJ70" s="199"/>
      <c r="HK70" s="197"/>
      <c r="HL70" s="198"/>
      <c r="HM70" s="198"/>
      <c r="HN70" s="198"/>
      <c r="HO70" s="198"/>
      <c r="HP70" s="198"/>
      <c r="HQ70" s="198"/>
      <c r="HR70" s="197"/>
      <c r="HT70" s="198"/>
      <c r="HU70" s="198"/>
      <c r="HV70" s="198"/>
      <c r="HW70" s="198"/>
      <c r="HX70" s="198"/>
    </row>
    <row r="71" spans="1:233">
      <c r="A71" s="185" t="s">
        <v>494</v>
      </c>
      <c r="B71" s="197"/>
      <c r="C71" s="198"/>
      <c r="D71" s="198"/>
      <c r="E71" s="198"/>
      <c r="F71" s="198"/>
      <c r="G71" s="198"/>
      <c r="H71" s="199"/>
      <c r="I71" s="197"/>
      <c r="J71" s="198"/>
      <c r="K71" s="198"/>
      <c r="L71" s="198"/>
      <c r="M71" s="198"/>
      <c r="N71" s="198"/>
      <c r="O71" s="199"/>
      <c r="P71" s="198"/>
      <c r="Q71" s="198"/>
      <c r="R71" s="198"/>
      <c r="S71" s="198"/>
      <c r="T71" s="198"/>
      <c r="U71" s="198"/>
      <c r="V71" s="199"/>
      <c r="W71" s="198">
        <v>1271.3440000000001</v>
      </c>
      <c r="X71" s="198">
        <v>171.273</v>
      </c>
      <c r="Y71" s="198">
        <v>331.65999999999997</v>
      </c>
      <c r="Z71" s="198">
        <v>53.401000000000003</v>
      </c>
      <c r="AA71" s="198">
        <v>287.09699999999998</v>
      </c>
      <c r="AB71" s="198"/>
      <c r="AC71" s="199">
        <f t="shared" si="0"/>
        <v>427.91300000000024</v>
      </c>
      <c r="AD71" s="198">
        <f>[1]datos!$S203</f>
        <v>410.97399999999999</v>
      </c>
      <c r="AE71" s="198">
        <v>25.46</v>
      </c>
      <c r="AF71" s="198">
        <v>103.31099999999999</v>
      </c>
      <c r="AG71" s="198">
        <v>100.089</v>
      </c>
      <c r="AH71" s="198">
        <v>58.636000000000003</v>
      </c>
      <c r="AI71" s="198">
        <f>[1]datos!$U203</f>
        <v>38.305</v>
      </c>
      <c r="AJ71" s="198">
        <f>AD71-AE71-AF71-AG71-AH71-AI71</f>
        <v>85.17300000000003</v>
      </c>
      <c r="AK71" s="197"/>
      <c r="AL71" s="198"/>
      <c r="AM71" s="198"/>
      <c r="AN71" s="198"/>
      <c r="AO71" s="198"/>
      <c r="AP71" s="198"/>
      <c r="AQ71" s="199"/>
      <c r="AR71" s="198">
        <v>2410.823622533826</v>
      </c>
      <c r="AS71" s="198">
        <v>532.04304925589918</v>
      </c>
      <c r="AT71" s="198">
        <v>181.35154899260246</v>
      </c>
      <c r="AU71" s="198">
        <v>566.79003415687873</v>
      </c>
      <c r="AV71" s="198">
        <v>82.119460074330348</v>
      </c>
      <c r="AW71" s="198"/>
      <c r="AX71" s="198">
        <v>1048.519530054115</v>
      </c>
      <c r="AY71" s="197"/>
      <c r="AZ71" s="198"/>
      <c r="BA71" s="198"/>
      <c r="BB71" s="198"/>
      <c r="BC71" s="198"/>
      <c r="BD71" s="198"/>
      <c r="BE71" s="198"/>
      <c r="BF71" s="197"/>
      <c r="BG71" s="198"/>
      <c r="BH71" s="198"/>
      <c r="BI71" s="198"/>
      <c r="BJ71" s="198"/>
      <c r="BK71" s="198"/>
      <c r="BL71" s="198"/>
      <c r="BM71" s="197"/>
      <c r="BN71" s="198"/>
      <c r="BO71" s="198"/>
      <c r="BP71" s="198"/>
      <c r="BQ71" s="198"/>
      <c r="BR71" s="198"/>
      <c r="BS71" s="198"/>
      <c r="BT71" s="197"/>
      <c r="BU71" s="198"/>
      <c r="BV71" s="198"/>
      <c r="BW71" s="198"/>
      <c r="BX71" s="198"/>
      <c r="BY71" s="198"/>
      <c r="BZ71" s="198"/>
      <c r="CA71" s="197"/>
      <c r="CB71" s="198"/>
      <c r="CC71" s="198"/>
      <c r="CD71" s="198"/>
      <c r="CE71" s="198"/>
      <c r="CF71" s="198"/>
      <c r="CG71" s="198"/>
      <c r="CH71" s="197"/>
      <c r="CI71" s="198"/>
      <c r="CJ71" s="198"/>
      <c r="CK71" s="198"/>
      <c r="CL71" s="198"/>
      <c r="CM71" s="198"/>
      <c r="CN71" s="198"/>
      <c r="CO71" s="197"/>
      <c r="CP71" s="198"/>
      <c r="CQ71" s="198"/>
      <c r="CR71" s="198"/>
      <c r="CS71" s="198"/>
      <c r="CT71" s="198"/>
      <c r="CU71" s="198"/>
      <c r="CV71" s="197"/>
      <c r="CW71" s="198"/>
      <c r="CX71" s="198"/>
      <c r="CY71" s="198"/>
      <c r="CZ71" s="198"/>
      <c r="DA71" s="198"/>
      <c r="DB71" s="198"/>
      <c r="DC71" s="197"/>
      <c r="DD71" s="198"/>
      <c r="DE71" s="198"/>
      <c r="DF71" s="198"/>
      <c r="DG71" s="198"/>
      <c r="DH71" s="198"/>
      <c r="DI71" s="198"/>
      <c r="DJ71" s="197"/>
      <c r="DK71" s="198"/>
      <c r="DL71" s="198"/>
      <c r="DM71" s="198"/>
      <c r="DN71" s="198"/>
      <c r="DO71" s="198"/>
      <c r="DP71" s="198"/>
      <c r="DQ71" s="197"/>
      <c r="DR71" s="198"/>
      <c r="DS71" s="198"/>
      <c r="DT71" s="198"/>
      <c r="DU71" s="198"/>
      <c r="DV71" s="198"/>
      <c r="DW71" s="198"/>
      <c r="DX71" s="197"/>
      <c r="DY71" s="198"/>
      <c r="DZ71" s="198"/>
      <c r="EA71" s="198"/>
      <c r="EB71" s="198"/>
      <c r="EC71" s="198"/>
      <c r="ED71" s="198"/>
      <c r="EE71" s="197"/>
      <c r="EF71" s="198"/>
      <c r="EG71" s="198"/>
      <c r="EH71" s="198"/>
      <c r="EI71" s="198"/>
      <c r="EJ71" s="198"/>
      <c r="EK71" s="198"/>
      <c r="EL71" s="197"/>
      <c r="EM71" s="198"/>
      <c r="EN71" s="198"/>
      <c r="EO71" s="198"/>
      <c r="EP71" s="198"/>
      <c r="EQ71" s="198"/>
      <c r="ER71" s="198"/>
      <c r="ES71" s="197"/>
      <c r="ET71" s="198"/>
      <c r="EU71" s="198"/>
      <c r="EV71" s="198"/>
      <c r="EW71" s="198"/>
      <c r="EX71" s="198"/>
      <c r="EY71" s="198"/>
      <c r="EZ71" s="197"/>
      <c r="FA71" s="198"/>
      <c r="FB71" s="198"/>
      <c r="FC71" s="198"/>
      <c r="FD71" s="198"/>
      <c r="FE71" s="198"/>
      <c r="FF71" s="198"/>
      <c r="FG71" s="197"/>
      <c r="FH71" s="198"/>
      <c r="FI71" s="198"/>
      <c r="FJ71" s="198"/>
      <c r="FK71" s="198"/>
      <c r="FL71" s="198"/>
      <c r="FM71" s="198"/>
      <c r="FN71" s="197"/>
      <c r="FO71" s="198"/>
      <c r="FP71" s="198"/>
      <c r="FQ71" s="198"/>
      <c r="FR71" s="198"/>
      <c r="FS71" s="198"/>
      <c r="FT71" s="199"/>
      <c r="FU71" s="197"/>
      <c r="FV71" s="198"/>
      <c r="FW71" s="198"/>
      <c r="FX71" s="198"/>
      <c r="FY71" s="198"/>
      <c r="FZ71" s="198"/>
      <c r="GA71" s="199"/>
      <c r="GB71" s="197"/>
      <c r="GC71" s="198"/>
      <c r="GD71" s="198"/>
      <c r="GE71" s="198"/>
      <c r="GF71" s="198"/>
      <c r="GG71" s="198"/>
      <c r="GH71" s="199"/>
      <c r="GI71" s="197"/>
      <c r="GJ71" s="198"/>
      <c r="GK71" s="198"/>
      <c r="GL71" s="198"/>
      <c r="GM71" s="198"/>
      <c r="GN71" s="198"/>
      <c r="GO71" s="199"/>
      <c r="GP71" s="197"/>
      <c r="GQ71" s="198"/>
      <c r="GR71" s="198"/>
      <c r="GS71" s="198"/>
      <c r="GT71" s="198"/>
      <c r="GU71" s="198"/>
      <c r="GV71" s="199"/>
      <c r="GW71" s="197"/>
      <c r="GX71" s="198"/>
      <c r="GY71" s="198"/>
      <c r="GZ71" s="198"/>
      <c r="HA71" s="198"/>
      <c r="HB71" s="198"/>
      <c r="HC71" s="199"/>
      <c r="HD71" s="197"/>
      <c r="HE71" s="198"/>
      <c r="HF71" s="198"/>
      <c r="HG71" s="198"/>
      <c r="HH71" s="198"/>
      <c r="HI71" s="198"/>
      <c r="HJ71" s="199"/>
      <c r="HK71" s="197"/>
      <c r="HL71" s="198"/>
      <c r="HM71" s="198"/>
      <c r="HN71" s="198"/>
      <c r="HO71" s="198"/>
      <c r="HP71" s="198"/>
      <c r="HQ71" s="198"/>
      <c r="HR71" s="197"/>
      <c r="HT71" s="198"/>
      <c r="HU71" s="198"/>
      <c r="HV71" s="198"/>
      <c r="HW71" s="198"/>
      <c r="HX71" s="198"/>
    </row>
    <row r="72" spans="1:233">
      <c r="A72" s="185" t="s">
        <v>495</v>
      </c>
      <c r="B72" s="197"/>
      <c r="C72" s="198"/>
      <c r="D72" s="198"/>
      <c r="E72" s="198"/>
      <c r="F72" s="198"/>
      <c r="G72" s="198"/>
      <c r="H72" s="199"/>
      <c r="I72" s="197"/>
      <c r="J72" s="198"/>
      <c r="K72" s="198"/>
      <c r="L72" s="198"/>
      <c r="M72" s="198"/>
      <c r="N72" s="198"/>
      <c r="O72" s="199"/>
      <c r="P72" s="198"/>
      <c r="Q72" s="198"/>
      <c r="R72" s="198"/>
      <c r="S72" s="198"/>
      <c r="T72" s="198"/>
      <c r="U72" s="198"/>
      <c r="V72" s="199"/>
      <c r="W72" s="198">
        <v>1299.921</v>
      </c>
      <c r="X72" s="198">
        <v>168.34800000000001</v>
      </c>
      <c r="Y72" s="198">
        <v>334.01299999999998</v>
      </c>
      <c r="Z72" s="198">
        <v>55.146999999999998</v>
      </c>
      <c r="AA72" s="198">
        <v>295.18599999999998</v>
      </c>
      <c r="AB72" s="198"/>
      <c r="AC72" s="199">
        <f t="shared" si="0"/>
        <v>447.22700000000015</v>
      </c>
      <c r="AD72" s="198"/>
      <c r="AE72" s="198">
        <v>26.434000000000001</v>
      </c>
      <c r="AF72" s="198">
        <v>103.482</v>
      </c>
      <c r="AG72" s="198">
        <v>99.552000000000007</v>
      </c>
      <c r="AH72" s="198">
        <v>61.536999999999999</v>
      </c>
      <c r="AI72" s="198"/>
      <c r="AJ72" s="198"/>
      <c r="AK72" s="197"/>
      <c r="AL72" s="198"/>
      <c r="AM72" s="198"/>
      <c r="AN72" s="198"/>
      <c r="AO72" s="198"/>
      <c r="AP72" s="198"/>
      <c r="AQ72" s="199"/>
      <c r="AR72" s="198">
        <v>3215.1598678237078</v>
      </c>
      <c r="AS72" s="198">
        <v>717.34423572681851</v>
      </c>
      <c r="AT72" s="198">
        <v>247.73924507981599</v>
      </c>
      <c r="AU72" s="198">
        <v>737.61264172859387</v>
      </c>
      <c r="AV72" s="198">
        <v>122.8672211578492</v>
      </c>
      <c r="AW72" s="198"/>
      <c r="AX72" s="198">
        <v>1389.5965241306301</v>
      </c>
      <c r="AY72" s="197"/>
      <c r="AZ72" s="198"/>
      <c r="BA72" s="198"/>
      <c r="BB72" s="198"/>
      <c r="BC72" s="198"/>
      <c r="BD72" s="198"/>
      <c r="BE72" s="198"/>
      <c r="BF72" s="197"/>
      <c r="BG72" s="198"/>
      <c r="BH72" s="198"/>
      <c r="BI72" s="198"/>
      <c r="BJ72" s="198"/>
      <c r="BK72" s="198"/>
      <c r="BL72" s="198"/>
      <c r="BM72" s="197"/>
      <c r="BN72" s="198"/>
      <c r="BO72" s="198"/>
      <c r="BP72" s="198"/>
      <c r="BQ72" s="198"/>
      <c r="BR72" s="198"/>
      <c r="BS72" s="198"/>
      <c r="BT72" s="197"/>
      <c r="BU72" s="198"/>
      <c r="BV72" s="198"/>
      <c r="BW72" s="198"/>
      <c r="BX72" s="198"/>
      <c r="BY72" s="198"/>
      <c r="BZ72" s="198"/>
      <c r="CA72" s="197"/>
      <c r="CB72" s="198"/>
      <c r="CC72" s="198"/>
      <c r="CD72" s="198"/>
      <c r="CE72" s="198"/>
      <c r="CF72" s="198"/>
      <c r="CG72" s="198"/>
      <c r="CH72" s="197"/>
      <c r="CI72" s="198"/>
      <c r="CJ72" s="198"/>
      <c r="CK72" s="198"/>
      <c r="CL72" s="198"/>
      <c r="CM72" s="198"/>
      <c r="CN72" s="198"/>
      <c r="CO72" s="197"/>
      <c r="CP72" s="198"/>
      <c r="CQ72" s="198"/>
      <c r="CR72" s="198"/>
      <c r="CS72" s="198"/>
      <c r="CT72" s="198"/>
      <c r="CU72" s="198"/>
      <c r="CV72" s="197"/>
      <c r="CW72" s="198"/>
      <c r="CX72" s="198"/>
      <c r="CY72" s="198"/>
      <c r="CZ72" s="198"/>
      <c r="DA72" s="198"/>
      <c r="DB72" s="198"/>
      <c r="DC72" s="197"/>
      <c r="DD72" s="198"/>
      <c r="DE72" s="198"/>
      <c r="DF72" s="198"/>
      <c r="DG72" s="198"/>
      <c r="DH72" s="198"/>
      <c r="DI72" s="198"/>
      <c r="DJ72" s="197"/>
      <c r="DK72" s="198"/>
      <c r="DL72" s="198"/>
      <c r="DM72" s="198"/>
      <c r="DN72" s="198"/>
      <c r="DO72" s="198"/>
      <c r="DP72" s="198"/>
      <c r="DQ72" s="197"/>
      <c r="DR72" s="198"/>
      <c r="DS72" s="198"/>
      <c r="DT72" s="198"/>
      <c r="DU72" s="198"/>
      <c r="DV72" s="198"/>
      <c r="DW72" s="198"/>
      <c r="DX72" s="197"/>
      <c r="DY72" s="198"/>
      <c r="DZ72" s="198"/>
      <c r="EA72" s="198"/>
      <c r="EB72" s="198"/>
      <c r="EC72" s="198"/>
      <c r="ED72" s="198"/>
      <c r="EE72" s="197"/>
      <c r="EF72" s="198"/>
      <c r="EG72" s="198"/>
      <c r="EH72" s="198"/>
      <c r="EI72" s="198"/>
      <c r="EJ72" s="198"/>
      <c r="EK72" s="198"/>
      <c r="EL72" s="197"/>
      <c r="EM72" s="198"/>
      <c r="EN72" s="198"/>
      <c r="EO72" s="198"/>
      <c r="EP72" s="198"/>
      <c r="EQ72" s="198"/>
      <c r="ER72" s="198"/>
      <c r="ES72" s="197"/>
      <c r="ET72" s="198"/>
      <c r="EU72" s="198"/>
      <c r="EV72" s="198"/>
      <c r="EW72" s="198"/>
      <c r="EX72" s="198"/>
      <c r="EY72" s="198"/>
      <c r="EZ72" s="197"/>
      <c r="FA72" s="198"/>
      <c r="FB72" s="198"/>
      <c r="FC72" s="198"/>
      <c r="FD72" s="198"/>
      <c r="FE72" s="198"/>
      <c r="FF72" s="198"/>
      <c r="FG72" s="197"/>
      <c r="FH72" s="198"/>
      <c r="FI72" s="198"/>
      <c r="FJ72" s="198"/>
      <c r="FK72" s="198"/>
      <c r="FL72" s="198"/>
      <c r="FM72" s="198"/>
      <c r="FN72" s="197"/>
      <c r="FO72" s="198"/>
      <c r="FP72" s="198"/>
      <c r="FQ72" s="198"/>
      <c r="FR72" s="198"/>
      <c r="FS72" s="198"/>
      <c r="FT72" s="199"/>
      <c r="FU72" s="197"/>
      <c r="FV72" s="198"/>
      <c r="FW72" s="198"/>
      <c r="FX72" s="198"/>
      <c r="FY72" s="198"/>
      <c r="FZ72" s="198"/>
      <c r="GA72" s="199"/>
      <c r="GB72" s="197"/>
      <c r="GC72" s="198"/>
      <c r="GD72" s="198"/>
      <c r="GE72" s="198"/>
      <c r="GF72" s="198"/>
      <c r="GG72" s="198"/>
      <c r="GH72" s="199"/>
      <c r="GI72" s="197"/>
      <c r="GJ72" s="198"/>
      <c r="GK72" s="198"/>
      <c r="GL72" s="198"/>
      <c r="GM72" s="198"/>
      <c r="GN72" s="198"/>
      <c r="GO72" s="199"/>
      <c r="GP72" s="197"/>
      <c r="GQ72" s="198"/>
      <c r="GR72" s="198"/>
      <c r="GS72" s="198"/>
      <c r="GT72" s="198"/>
      <c r="GU72" s="198"/>
      <c r="GV72" s="199"/>
      <c r="GW72" s="197"/>
      <c r="GX72" s="198"/>
      <c r="GY72" s="198"/>
      <c r="GZ72" s="198"/>
      <c r="HA72" s="198"/>
      <c r="HB72" s="198"/>
      <c r="HC72" s="199"/>
      <c r="HD72" s="197"/>
      <c r="HE72" s="198"/>
      <c r="HF72" s="198"/>
      <c r="HG72" s="198"/>
      <c r="HH72" s="198"/>
      <c r="HI72" s="198"/>
      <c r="HJ72" s="199"/>
      <c r="HK72" s="197"/>
      <c r="HL72" s="198"/>
      <c r="HM72" s="198"/>
      <c r="HN72" s="198"/>
      <c r="HO72" s="198"/>
      <c r="HP72" s="198"/>
      <c r="HQ72" s="198"/>
      <c r="HR72" s="197"/>
      <c r="HT72" s="198"/>
      <c r="HU72" s="198"/>
      <c r="HV72" s="198"/>
      <c r="HW72" s="198"/>
      <c r="HX72" s="198"/>
    </row>
    <row r="73" spans="1:233">
      <c r="A73" s="185" t="s">
        <v>496</v>
      </c>
      <c r="B73" s="197"/>
      <c r="C73" s="198"/>
      <c r="D73" s="198"/>
      <c r="E73" s="198"/>
      <c r="F73" s="198"/>
      <c r="G73" s="198"/>
      <c r="H73" s="199"/>
      <c r="I73" s="197"/>
      <c r="J73" s="198"/>
      <c r="K73" s="198"/>
      <c r="L73" s="198"/>
      <c r="M73" s="198"/>
      <c r="N73" s="198"/>
      <c r="O73" s="199"/>
      <c r="P73" s="198"/>
      <c r="Q73" s="198"/>
      <c r="R73" s="198"/>
      <c r="S73" s="198"/>
      <c r="T73" s="198"/>
      <c r="U73" s="198"/>
      <c r="V73" s="199"/>
      <c r="W73" s="198">
        <v>1319.1859999999999</v>
      </c>
      <c r="X73" s="198">
        <v>171.07900000000001</v>
      </c>
      <c r="Y73" s="198">
        <v>327.90899999999999</v>
      </c>
      <c r="Z73" s="198">
        <v>56.581000000000003</v>
      </c>
      <c r="AA73" s="198">
        <v>299.90199999999999</v>
      </c>
      <c r="AB73" s="198"/>
      <c r="AC73" s="199">
        <f t="shared" si="0"/>
        <v>463.71499999999997</v>
      </c>
      <c r="AD73" s="198"/>
      <c r="AE73" s="198">
        <v>22.678000000000001</v>
      </c>
      <c r="AF73" s="198">
        <v>101.58500000000001</v>
      </c>
      <c r="AG73" s="198">
        <v>102.905</v>
      </c>
      <c r="AH73" s="198">
        <v>61.063000000000002</v>
      </c>
      <c r="AI73" s="198"/>
      <c r="AJ73" s="198"/>
      <c r="AK73" s="197"/>
      <c r="AL73" s="198"/>
      <c r="AM73" s="198"/>
      <c r="AN73" s="198"/>
      <c r="AO73" s="198"/>
      <c r="AP73" s="198"/>
      <c r="AQ73" s="199"/>
      <c r="AR73" s="198">
        <v>4348.0687009045059</v>
      </c>
      <c r="AS73" s="198">
        <v>948.74610610031027</v>
      </c>
      <c r="AT73" s="198">
        <v>368.2269475873963</v>
      </c>
      <c r="AU73" s="198">
        <v>985.04912297576618</v>
      </c>
      <c r="AV73" s="198">
        <v>167.9808340486999</v>
      </c>
      <c r="AW73" s="198"/>
      <c r="AX73" s="198">
        <v>1878.0656901923337</v>
      </c>
      <c r="AY73" s="197"/>
      <c r="AZ73" s="198"/>
      <c r="BA73" s="198"/>
      <c r="BB73" s="198"/>
      <c r="BC73" s="198"/>
      <c r="BD73" s="198"/>
      <c r="BE73" s="198"/>
      <c r="BF73" s="197"/>
      <c r="BG73" s="198"/>
      <c r="BH73" s="198"/>
      <c r="BI73" s="198"/>
      <c r="BJ73" s="198"/>
      <c r="BK73" s="198"/>
      <c r="BL73" s="198"/>
      <c r="BM73" s="197"/>
      <c r="BN73" s="198"/>
      <c r="BO73" s="198"/>
      <c r="BP73" s="198"/>
      <c r="BQ73" s="198"/>
      <c r="BR73" s="198"/>
      <c r="BS73" s="198"/>
      <c r="BT73" s="197"/>
      <c r="BU73" s="198"/>
      <c r="BV73" s="198"/>
      <c r="BW73" s="198"/>
      <c r="BX73" s="198"/>
      <c r="BY73" s="198"/>
      <c r="BZ73" s="198"/>
      <c r="CA73" s="197"/>
      <c r="CB73" s="198"/>
      <c r="CC73" s="198"/>
      <c r="CD73" s="198"/>
      <c r="CE73" s="198"/>
      <c r="CF73" s="198"/>
      <c r="CG73" s="198"/>
      <c r="CH73" s="197"/>
      <c r="CI73" s="198"/>
      <c r="CJ73" s="198"/>
      <c r="CK73" s="198"/>
      <c r="CL73" s="198"/>
      <c r="CM73" s="198"/>
      <c r="CN73" s="198"/>
      <c r="CO73" s="197"/>
      <c r="CP73" s="198"/>
      <c r="CQ73" s="198"/>
      <c r="CR73" s="198"/>
      <c r="CS73" s="198"/>
      <c r="CT73" s="198"/>
      <c r="CU73" s="198"/>
      <c r="CV73" s="197"/>
      <c r="CW73" s="198"/>
      <c r="CX73" s="198"/>
      <c r="CY73" s="198"/>
      <c r="CZ73" s="198"/>
      <c r="DA73" s="198"/>
      <c r="DB73" s="198"/>
      <c r="DC73" s="197"/>
      <c r="DD73" s="198"/>
      <c r="DE73" s="198"/>
      <c r="DF73" s="198"/>
      <c r="DG73" s="198"/>
      <c r="DH73" s="198"/>
      <c r="DI73" s="198"/>
      <c r="DJ73" s="197"/>
      <c r="DK73" s="198"/>
      <c r="DL73" s="198"/>
      <c r="DM73" s="198"/>
      <c r="DN73" s="198"/>
      <c r="DO73" s="198"/>
      <c r="DP73" s="198"/>
      <c r="DQ73" s="197"/>
      <c r="DR73" s="198"/>
      <c r="DS73" s="198"/>
      <c r="DT73" s="198"/>
      <c r="DU73" s="198"/>
      <c r="DV73" s="198"/>
      <c r="DW73" s="198"/>
      <c r="DX73" s="197"/>
      <c r="DY73" s="198"/>
      <c r="DZ73" s="198"/>
      <c r="EA73" s="198"/>
      <c r="EB73" s="198"/>
      <c r="EC73" s="198"/>
      <c r="ED73" s="198"/>
      <c r="EE73" s="197"/>
      <c r="EF73" s="198"/>
      <c r="EG73" s="198"/>
      <c r="EH73" s="198"/>
      <c r="EI73" s="198"/>
      <c r="EJ73" s="198"/>
      <c r="EK73" s="198"/>
      <c r="EL73" s="197"/>
      <c r="EM73" s="198"/>
      <c r="EN73" s="198"/>
      <c r="EO73" s="198"/>
      <c r="EP73" s="198"/>
      <c r="EQ73" s="198"/>
      <c r="ER73" s="198"/>
      <c r="ES73" s="197"/>
      <c r="ET73" s="198"/>
      <c r="EU73" s="198"/>
      <c r="EV73" s="198"/>
      <c r="EW73" s="198"/>
      <c r="EX73" s="198"/>
      <c r="EY73" s="198"/>
      <c r="EZ73" s="197"/>
      <c r="FA73" s="198"/>
      <c r="FB73" s="198"/>
      <c r="FC73" s="198"/>
      <c r="FD73" s="198"/>
      <c r="FE73" s="198"/>
      <c r="FF73" s="198"/>
      <c r="FG73" s="197"/>
      <c r="FH73" s="198"/>
      <c r="FI73" s="198"/>
      <c r="FJ73" s="198"/>
      <c r="FK73" s="198"/>
      <c r="FL73" s="198"/>
      <c r="FM73" s="198"/>
      <c r="FN73" s="197"/>
      <c r="FO73" s="198"/>
      <c r="FP73" s="198"/>
      <c r="FQ73" s="198"/>
      <c r="FR73" s="198"/>
      <c r="FS73" s="198"/>
      <c r="FT73" s="199"/>
      <c r="FU73" s="197"/>
      <c r="FV73" s="198"/>
      <c r="FW73" s="198"/>
      <c r="FX73" s="198"/>
      <c r="FY73" s="198"/>
      <c r="FZ73" s="198"/>
      <c r="GA73" s="199"/>
      <c r="GB73" s="197"/>
      <c r="GC73" s="198"/>
      <c r="GD73" s="198"/>
      <c r="GE73" s="198"/>
      <c r="GF73" s="198"/>
      <c r="GG73" s="198"/>
      <c r="GH73" s="199"/>
      <c r="GI73" s="197"/>
      <c r="GJ73" s="198"/>
      <c r="GK73" s="198"/>
      <c r="GL73" s="198"/>
      <c r="GM73" s="198"/>
      <c r="GN73" s="198"/>
      <c r="GO73" s="199"/>
      <c r="GP73" s="197"/>
      <c r="GQ73" s="198"/>
      <c r="GR73" s="198"/>
      <c r="GS73" s="198"/>
      <c r="GT73" s="198"/>
      <c r="GU73" s="198"/>
      <c r="GV73" s="199"/>
      <c r="GW73" s="197"/>
      <c r="GX73" s="198"/>
      <c r="GY73" s="198"/>
      <c r="GZ73" s="198"/>
      <c r="HA73" s="198"/>
      <c r="HB73" s="198"/>
      <c r="HC73" s="199"/>
      <c r="HD73" s="197"/>
      <c r="HE73" s="198"/>
      <c r="HF73" s="198"/>
      <c r="HG73" s="198"/>
      <c r="HH73" s="198"/>
      <c r="HI73" s="198"/>
      <c r="HJ73" s="199"/>
      <c r="HK73" s="197"/>
      <c r="HL73" s="198"/>
      <c r="HM73" s="198"/>
      <c r="HN73" s="198"/>
      <c r="HO73" s="198"/>
      <c r="HP73" s="198"/>
      <c r="HQ73" s="198"/>
      <c r="HR73" s="197"/>
      <c r="HT73" s="198"/>
      <c r="HU73" s="198"/>
      <c r="HV73" s="198"/>
      <c r="HW73" s="198"/>
      <c r="HX73" s="198"/>
    </row>
    <row r="74" spans="1:233">
      <c r="A74" s="185" t="s">
        <v>497</v>
      </c>
      <c r="B74" s="197"/>
      <c r="C74" s="198"/>
      <c r="D74" s="198"/>
      <c r="E74" s="198"/>
      <c r="F74" s="198"/>
      <c r="G74" s="198"/>
      <c r="H74" s="199"/>
      <c r="I74" s="197"/>
      <c r="J74" s="198"/>
      <c r="K74" s="198"/>
      <c r="L74" s="198"/>
      <c r="M74" s="198"/>
      <c r="N74" s="198"/>
      <c r="O74" s="199"/>
      <c r="P74" s="198"/>
      <c r="Q74" s="198"/>
      <c r="R74" s="198"/>
      <c r="S74" s="198"/>
      <c r="T74" s="198"/>
      <c r="U74" s="198"/>
      <c r="V74" s="199"/>
      <c r="W74" s="198">
        <v>1348.9939999999999</v>
      </c>
      <c r="X74" s="198">
        <v>168.678</v>
      </c>
      <c r="Y74" s="198">
        <v>346.44800000000004</v>
      </c>
      <c r="Z74" s="198">
        <v>55.164000000000001</v>
      </c>
      <c r="AA74" s="198">
        <v>306.32499999999999</v>
      </c>
      <c r="AB74" s="198"/>
      <c r="AC74" s="199">
        <f t="shared" si="0"/>
        <v>472.37899999999973</v>
      </c>
      <c r="AD74" s="198">
        <f>[1]datos!$S206</f>
        <v>427.96800000000002</v>
      </c>
      <c r="AE74" s="198">
        <v>22.731999999999999</v>
      </c>
      <c r="AF74" s="198">
        <v>106.989</v>
      </c>
      <c r="AG74" s="198">
        <v>104.081</v>
      </c>
      <c r="AH74" s="198">
        <v>61.618000000000002</v>
      </c>
      <c r="AI74" s="198">
        <f>[1]datos!$U206</f>
        <v>40.36</v>
      </c>
      <c r="AJ74" s="198">
        <f>AD74-AE74-AF74-AG74-AH74-AI74</f>
        <v>92.187999999999946</v>
      </c>
      <c r="AK74" s="197"/>
      <c r="AL74" s="198"/>
      <c r="AM74" s="198"/>
      <c r="AN74" s="198"/>
      <c r="AO74" s="198"/>
      <c r="AP74" s="198"/>
      <c r="AQ74" s="199"/>
      <c r="AR74" s="198">
        <v>5907.3041366092339</v>
      </c>
      <c r="AS74" s="198">
        <v>1341.3556014927265</v>
      </c>
      <c r="AT74" s="198">
        <v>507.92834527187995</v>
      </c>
      <c r="AU74" s="198">
        <v>1333.5630841285333</v>
      </c>
      <c r="AV74" s="198">
        <v>226.41095759411144</v>
      </c>
      <c r="AW74" s="198"/>
      <c r="AX74" s="198">
        <v>2498.0461481219827</v>
      </c>
      <c r="AY74" s="197"/>
      <c r="AZ74" s="198"/>
      <c r="BA74" s="198"/>
      <c r="BB74" s="198"/>
      <c r="BC74" s="198"/>
      <c r="BD74" s="198"/>
      <c r="BE74" s="198"/>
      <c r="BF74" s="197"/>
      <c r="BG74" s="198"/>
      <c r="BH74" s="198"/>
      <c r="BI74" s="198"/>
      <c r="BJ74" s="198"/>
      <c r="BK74" s="198"/>
      <c r="BL74" s="198"/>
      <c r="BM74" s="197"/>
      <c r="BN74" s="198"/>
      <c r="BO74" s="198"/>
      <c r="BP74" s="198"/>
      <c r="BQ74" s="198"/>
      <c r="BR74" s="198"/>
      <c r="BS74" s="198"/>
      <c r="BT74" s="197"/>
      <c r="BU74" s="198"/>
      <c r="BV74" s="198"/>
      <c r="BW74" s="198"/>
      <c r="BX74" s="198"/>
      <c r="BY74" s="198"/>
      <c r="BZ74" s="198"/>
      <c r="CA74" s="197"/>
      <c r="CB74" s="198"/>
      <c r="CC74" s="198"/>
      <c r="CD74" s="198"/>
      <c r="CE74" s="198"/>
      <c r="CF74" s="198"/>
      <c r="CG74" s="198"/>
      <c r="CH74" s="197"/>
      <c r="CI74" s="198"/>
      <c r="CJ74" s="198"/>
      <c r="CK74" s="198"/>
      <c r="CL74" s="198"/>
      <c r="CM74" s="198"/>
      <c r="CN74" s="198"/>
      <c r="CO74" s="197"/>
      <c r="CP74" s="198"/>
      <c r="CQ74" s="198"/>
      <c r="CR74" s="198"/>
      <c r="CS74" s="198"/>
      <c r="CT74" s="198"/>
      <c r="CU74" s="198"/>
      <c r="CV74" s="197"/>
      <c r="CW74" s="198"/>
      <c r="CX74" s="198"/>
      <c r="CY74" s="198"/>
      <c r="CZ74" s="198"/>
      <c r="DA74" s="198"/>
      <c r="DB74" s="198"/>
      <c r="DC74" s="197"/>
      <c r="DD74" s="198"/>
      <c r="DE74" s="198"/>
      <c r="DF74" s="198"/>
      <c r="DG74" s="198"/>
      <c r="DH74" s="198"/>
      <c r="DI74" s="198"/>
      <c r="DJ74" s="197"/>
      <c r="DK74" s="198"/>
      <c r="DL74" s="198"/>
      <c r="DM74" s="198"/>
      <c r="DN74" s="198"/>
      <c r="DO74" s="198"/>
      <c r="DP74" s="198"/>
      <c r="DQ74" s="197"/>
      <c r="DR74" s="198"/>
      <c r="DS74" s="198"/>
      <c r="DT74" s="198"/>
      <c r="DU74" s="198"/>
      <c r="DV74" s="198"/>
      <c r="DW74" s="198"/>
      <c r="DX74" s="197"/>
      <c r="DY74" s="198"/>
      <c r="DZ74" s="198"/>
      <c r="EA74" s="198"/>
      <c r="EB74" s="198"/>
      <c r="EC74" s="198"/>
      <c r="ED74" s="198"/>
      <c r="EE74" s="197"/>
      <c r="EF74" s="198"/>
      <c r="EG74" s="198"/>
      <c r="EH74" s="198"/>
      <c r="EI74" s="198"/>
      <c r="EJ74" s="198"/>
      <c r="EK74" s="198"/>
      <c r="EL74" s="197"/>
      <c r="EM74" s="198"/>
      <c r="EN74" s="198"/>
      <c r="EO74" s="198"/>
      <c r="EP74" s="198"/>
      <c r="EQ74" s="198"/>
      <c r="ER74" s="198"/>
      <c r="ES74" s="197"/>
      <c r="ET74" s="198"/>
      <c r="EU74" s="198"/>
      <c r="EV74" s="198"/>
      <c r="EW74" s="198"/>
      <c r="EX74" s="198"/>
      <c r="EY74" s="198"/>
      <c r="EZ74" s="197"/>
      <c r="FA74" s="198"/>
      <c r="FB74" s="198"/>
      <c r="FC74" s="198"/>
      <c r="FD74" s="198"/>
      <c r="FE74" s="198"/>
      <c r="FF74" s="198"/>
      <c r="FG74" s="197"/>
      <c r="FH74" s="198"/>
      <c r="FI74" s="198"/>
      <c r="FJ74" s="198"/>
      <c r="FK74" s="198"/>
      <c r="FL74" s="198"/>
      <c r="FM74" s="198"/>
      <c r="FN74" s="197"/>
      <c r="FO74" s="198"/>
      <c r="FP74" s="198"/>
      <c r="FQ74" s="198"/>
      <c r="FR74" s="198"/>
      <c r="FS74" s="198"/>
      <c r="FT74" s="199"/>
      <c r="FU74" s="197"/>
      <c r="FV74" s="198"/>
      <c r="FW74" s="198"/>
      <c r="FX74" s="198"/>
      <c r="FY74" s="198"/>
      <c r="FZ74" s="198"/>
      <c r="GA74" s="199"/>
      <c r="GB74" s="197"/>
      <c r="GC74" s="198"/>
      <c r="GD74" s="198"/>
      <c r="GE74" s="198"/>
      <c r="GF74" s="198"/>
      <c r="GG74" s="198"/>
      <c r="GH74" s="199"/>
      <c r="GI74" s="197"/>
      <c r="GJ74" s="198"/>
      <c r="GK74" s="198"/>
      <c r="GL74" s="198"/>
      <c r="GM74" s="198"/>
      <c r="GN74" s="198"/>
      <c r="GO74" s="199"/>
      <c r="GP74" s="197"/>
      <c r="GQ74" s="198"/>
      <c r="GR74" s="198"/>
      <c r="GS74" s="198"/>
      <c r="GT74" s="198"/>
      <c r="GU74" s="198"/>
      <c r="GV74" s="199"/>
      <c r="GW74" s="197"/>
      <c r="GX74" s="198"/>
      <c r="GY74" s="198"/>
      <c r="GZ74" s="198"/>
      <c r="HA74" s="198"/>
      <c r="HB74" s="198"/>
      <c r="HC74" s="199"/>
      <c r="HD74" s="197"/>
      <c r="HE74" s="198"/>
      <c r="HF74" s="198"/>
      <c r="HG74" s="198"/>
      <c r="HH74" s="198"/>
      <c r="HI74" s="198"/>
      <c r="HJ74" s="199"/>
      <c r="HK74" s="197"/>
      <c r="HL74" s="198"/>
      <c r="HM74" s="198"/>
      <c r="HN74" s="198"/>
      <c r="HO74" s="198"/>
      <c r="HP74" s="198"/>
      <c r="HQ74" s="198"/>
      <c r="HR74" s="197"/>
      <c r="HT74" s="198"/>
      <c r="HU74" s="198"/>
      <c r="HV74" s="198"/>
      <c r="HW74" s="198"/>
      <c r="HX74" s="198"/>
    </row>
    <row r="75" spans="1:233">
      <c r="A75" s="185" t="s">
        <v>498</v>
      </c>
      <c r="B75" s="197"/>
      <c r="C75" s="198"/>
      <c r="D75" s="198"/>
      <c r="E75" s="198"/>
      <c r="F75" s="198"/>
      <c r="G75" s="198"/>
      <c r="H75" s="199"/>
      <c r="I75" s="197"/>
      <c r="J75" s="198"/>
      <c r="K75" s="198"/>
      <c r="L75" s="198"/>
      <c r="M75" s="198"/>
      <c r="N75" s="198"/>
      <c r="O75" s="199"/>
      <c r="P75" s="198"/>
      <c r="Q75" s="198"/>
      <c r="R75" s="198"/>
      <c r="S75" s="198"/>
      <c r="T75" s="198"/>
      <c r="U75" s="198"/>
      <c r="V75" s="199"/>
      <c r="W75" s="198">
        <v>1292.3510000000001</v>
      </c>
      <c r="X75" s="198">
        <v>146.07599999999999</v>
      </c>
      <c r="Y75" s="198">
        <v>347.70600000000002</v>
      </c>
      <c r="Z75" s="198">
        <v>55.206000000000003</v>
      </c>
      <c r="AA75" s="198">
        <v>308.572</v>
      </c>
      <c r="AB75" s="198"/>
      <c r="AC75" s="199">
        <f t="shared" si="0"/>
        <v>434.79100000000005</v>
      </c>
      <c r="AD75" s="198"/>
      <c r="AE75" s="198">
        <v>24.831</v>
      </c>
      <c r="AF75" s="198">
        <v>109.005</v>
      </c>
      <c r="AG75" s="198">
        <v>104.67</v>
      </c>
      <c r="AH75" s="198">
        <v>61.844000000000001</v>
      </c>
      <c r="AI75" s="198"/>
      <c r="AJ75" s="198"/>
      <c r="AK75" s="197"/>
      <c r="AL75" s="198"/>
      <c r="AM75" s="198"/>
      <c r="AN75" s="198"/>
      <c r="AO75" s="198"/>
      <c r="AP75" s="198"/>
      <c r="AQ75" s="199"/>
      <c r="AR75" s="198">
        <v>8288.335583363245</v>
      </c>
      <c r="AS75" s="198">
        <v>1874.8404035148469</v>
      </c>
      <c r="AT75" s="198">
        <v>711.67114335827205</v>
      </c>
      <c r="AU75" s="198">
        <v>1854.4273200811472</v>
      </c>
      <c r="AV75" s="198">
        <v>314.32846371611373</v>
      </c>
      <c r="AW75" s="198"/>
      <c r="AX75" s="198">
        <v>3533.0682526928645</v>
      </c>
      <c r="AY75" s="197"/>
      <c r="AZ75" s="198"/>
      <c r="BA75" s="198"/>
      <c r="BB75" s="198"/>
      <c r="BC75" s="198"/>
      <c r="BD75" s="198"/>
      <c r="BE75" s="198"/>
      <c r="BF75" s="197"/>
      <c r="BG75" s="198"/>
      <c r="BH75" s="198"/>
      <c r="BI75" s="198"/>
      <c r="BJ75" s="198"/>
      <c r="BK75" s="198"/>
      <c r="BL75" s="198"/>
      <c r="BM75" s="197"/>
      <c r="BN75" s="198"/>
      <c r="BO75" s="198"/>
      <c r="BP75" s="198"/>
      <c r="BQ75" s="198"/>
      <c r="BR75" s="198"/>
      <c r="BS75" s="198"/>
      <c r="BT75" s="197"/>
      <c r="BU75" s="198"/>
      <c r="BV75" s="198"/>
      <c r="BW75" s="198"/>
      <c r="BX75" s="198"/>
      <c r="BY75" s="198"/>
      <c r="BZ75" s="198"/>
      <c r="CA75" s="197"/>
      <c r="CB75" s="198"/>
      <c r="CC75" s="198"/>
      <c r="CD75" s="198"/>
      <c r="CE75" s="198"/>
      <c r="CF75" s="198"/>
      <c r="CG75" s="198"/>
      <c r="CH75" s="197"/>
      <c r="CI75" s="198"/>
      <c r="CJ75" s="198"/>
      <c r="CK75" s="198"/>
      <c r="CL75" s="198"/>
      <c r="CM75" s="198"/>
      <c r="CN75" s="198"/>
      <c r="CO75" s="197"/>
      <c r="CP75" s="198"/>
      <c r="CQ75" s="198"/>
      <c r="CR75" s="198"/>
      <c r="CS75" s="198"/>
      <c r="CT75" s="198"/>
      <c r="CU75" s="198"/>
      <c r="CV75" s="197"/>
      <c r="CW75" s="198"/>
      <c r="CX75" s="198"/>
      <c r="CY75" s="198"/>
      <c r="CZ75" s="198"/>
      <c r="DA75" s="198"/>
      <c r="DB75" s="198"/>
      <c r="DC75" s="197"/>
      <c r="DD75" s="198"/>
      <c r="DE75" s="198"/>
      <c r="DF75" s="198"/>
      <c r="DG75" s="198"/>
      <c r="DH75" s="198"/>
      <c r="DI75" s="198"/>
      <c r="DJ75" s="197"/>
      <c r="DK75" s="198"/>
      <c r="DL75" s="198"/>
      <c r="DM75" s="198"/>
      <c r="DN75" s="198"/>
      <c r="DO75" s="198"/>
      <c r="DP75" s="198"/>
      <c r="DQ75" s="197"/>
      <c r="DR75" s="198"/>
      <c r="DS75" s="198"/>
      <c r="DT75" s="198"/>
      <c r="DU75" s="198"/>
      <c r="DV75" s="198"/>
      <c r="DW75" s="198"/>
      <c r="DX75" s="197"/>
      <c r="DY75" s="198"/>
      <c r="DZ75" s="198"/>
      <c r="EA75" s="198"/>
      <c r="EB75" s="198"/>
      <c r="EC75" s="198"/>
      <c r="ED75" s="198"/>
      <c r="EE75" s="197"/>
      <c r="EF75" s="198"/>
      <c r="EG75" s="198"/>
      <c r="EH75" s="198"/>
      <c r="EI75" s="198"/>
      <c r="EJ75" s="198"/>
      <c r="EK75" s="198"/>
      <c r="EL75" s="197"/>
      <c r="EM75" s="198"/>
      <c r="EN75" s="198"/>
      <c r="EO75" s="198"/>
      <c r="EP75" s="198"/>
      <c r="EQ75" s="198"/>
      <c r="ER75" s="198"/>
      <c r="ES75" s="197"/>
      <c r="ET75" s="198"/>
      <c r="EU75" s="198"/>
      <c r="EV75" s="198"/>
      <c r="EW75" s="198"/>
      <c r="EX75" s="198"/>
      <c r="EY75" s="198"/>
      <c r="EZ75" s="197"/>
      <c r="FA75" s="198"/>
      <c r="FB75" s="198"/>
      <c r="FC75" s="198"/>
      <c r="FD75" s="198"/>
      <c r="FE75" s="198"/>
      <c r="FF75" s="198"/>
      <c r="FG75" s="197"/>
      <c r="FH75" s="198"/>
      <c r="FI75" s="198"/>
      <c r="FJ75" s="198"/>
      <c r="FK75" s="198"/>
      <c r="FL75" s="198"/>
      <c r="FM75" s="198"/>
      <c r="FN75" s="197"/>
      <c r="FO75" s="198"/>
      <c r="FP75" s="198"/>
      <c r="FQ75" s="198"/>
      <c r="FR75" s="198"/>
      <c r="FS75" s="198"/>
      <c r="FT75" s="199"/>
      <c r="FU75" s="197"/>
      <c r="FV75" s="198"/>
      <c r="FW75" s="198"/>
      <c r="FX75" s="198"/>
      <c r="FY75" s="198"/>
      <c r="FZ75" s="198"/>
      <c r="GA75" s="199"/>
      <c r="GB75" s="197"/>
      <c r="GC75" s="198"/>
      <c r="GD75" s="198"/>
      <c r="GE75" s="198"/>
      <c r="GF75" s="198"/>
      <c r="GG75" s="198"/>
      <c r="GH75" s="199"/>
      <c r="GI75" s="197"/>
      <c r="GJ75" s="198"/>
      <c r="GK75" s="198"/>
      <c r="GL75" s="198"/>
      <c r="GM75" s="198"/>
      <c r="GN75" s="198"/>
      <c r="GO75" s="199"/>
      <c r="GP75" s="197"/>
      <c r="GQ75" s="198"/>
      <c r="GR75" s="198"/>
      <c r="GS75" s="198"/>
      <c r="GT75" s="198"/>
      <c r="GU75" s="198"/>
      <c r="GV75" s="199"/>
      <c r="GW75" s="197"/>
      <c r="GX75" s="198"/>
      <c r="GY75" s="198"/>
      <c r="GZ75" s="198"/>
      <c r="HA75" s="198"/>
      <c r="HB75" s="198"/>
      <c r="HC75" s="199"/>
      <c r="HD75" s="197"/>
      <c r="HE75" s="198"/>
      <c r="HF75" s="198"/>
      <c r="HG75" s="198"/>
      <c r="HH75" s="198"/>
      <c r="HI75" s="198"/>
      <c r="HJ75" s="199"/>
      <c r="HK75" s="197"/>
      <c r="HL75" s="198"/>
      <c r="HM75" s="198"/>
      <c r="HN75" s="198"/>
      <c r="HO75" s="198"/>
      <c r="HP75" s="198"/>
      <c r="HQ75" s="198"/>
      <c r="HR75" s="197"/>
      <c r="HT75" s="198"/>
      <c r="HU75" s="198"/>
      <c r="HV75" s="198"/>
      <c r="HW75" s="198"/>
      <c r="HX75" s="198"/>
    </row>
    <row r="76" spans="1:233">
      <c r="A76" s="185" t="s">
        <v>499</v>
      </c>
      <c r="B76" s="197"/>
      <c r="C76" s="198"/>
      <c r="D76" s="198"/>
      <c r="E76" s="198"/>
      <c r="F76" s="198"/>
      <c r="G76" s="198"/>
      <c r="H76" s="199"/>
      <c r="I76" s="197"/>
      <c r="J76" s="198"/>
      <c r="K76" s="198"/>
      <c r="L76" s="198"/>
      <c r="M76" s="198"/>
      <c r="N76" s="198"/>
      <c r="O76" s="199"/>
      <c r="P76" s="198"/>
      <c r="Q76" s="198"/>
      <c r="R76" s="198"/>
      <c r="S76" s="198"/>
      <c r="T76" s="198"/>
      <c r="U76" s="198"/>
      <c r="V76" s="199"/>
      <c r="W76" s="198">
        <v>1319.694</v>
      </c>
      <c r="X76" s="198">
        <v>143.64400000000001</v>
      </c>
      <c r="Y76" s="198">
        <v>353.75299999999999</v>
      </c>
      <c r="Z76" s="198">
        <v>57.502000000000002</v>
      </c>
      <c r="AA76" s="198">
        <v>312.447</v>
      </c>
      <c r="AB76" s="198"/>
      <c r="AC76" s="199">
        <f t="shared" si="0"/>
        <v>452.34800000000007</v>
      </c>
      <c r="AD76" s="198"/>
      <c r="AE76" s="198">
        <v>27.222999999999999</v>
      </c>
      <c r="AF76" s="198">
        <v>107.10899999999999</v>
      </c>
      <c r="AG76" s="198">
        <v>103.504</v>
      </c>
      <c r="AH76" s="198">
        <v>61.110999999999997</v>
      </c>
      <c r="AI76" s="198"/>
      <c r="AJ76" s="198"/>
      <c r="AK76" s="197"/>
      <c r="AL76" s="198"/>
      <c r="AM76" s="198"/>
      <c r="AN76" s="198"/>
      <c r="AO76" s="198"/>
      <c r="AP76" s="198"/>
      <c r="AQ76" s="199"/>
      <c r="AR76" s="198">
        <v>11426.536934990398</v>
      </c>
      <c r="AS76" s="198">
        <v>2637.7259980355011</v>
      </c>
      <c r="AT76" s="198">
        <v>971.63051655175616</v>
      </c>
      <c r="AU76" s="198">
        <v>2550.0610536869626</v>
      </c>
      <c r="AV76" s="198">
        <v>456.27369777613774</v>
      </c>
      <c r="AW76" s="198"/>
      <c r="AX76" s="198">
        <v>4810.8456689400409</v>
      </c>
      <c r="AY76" s="197"/>
      <c r="AZ76" s="198"/>
      <c r="BA76" s="198"/>
      <c r="BB76" s="198"/>
      <c r="BC76" s="198"/>
      <c r="BD76" s="198"/>
      <c r="BE76" s="198"/>
      <c r="BF76" s="197"/>
      <c r="BG76" s="198"/>
      <c r="BH76" s="198"/>
      <c r="BI76" s="198"/>
      <c r="BJ76" s="198"/>
      <c r="BK76" s="198"/>
      <c r="BL76" s="198"/>
      <c r="BM76" s="197"/>
      <c r="BN76" s="198"/>
      <c r="BO76" s="198"/>
      <c r="BP76" s="198"/>
      <c r="BQ76" s="198"/>
      <c r="BR76" s="198"/>
      <c r="BS76" s="198"/>
      <c r="BT76" s="197"/>
      <c r="BU76" s="198"/>
      <c r="BV76" s="198"/>
      <c r="BW76" s="198"/>
      <c r="BX76" s="198"/>
      <c r="BY76" s="198"/>
      <c r="BZ76" s="198"/>
      <c r="CA76" s="197"/>
      <c r="CB76" s="198"/>
      <c r="CC76" s="198"/>
      <c r="CD76" s="198"/>
      <c r="CE76" s="198"/>
      <c r="CF76" s="198"/>
      <c r="CG76" s="198"/>
      <c r="CH76" s="197"/>
      <c r="CI76" s="198"/>
      <c r="CJ76" s="198"/>
      <c r="CK76" s="198"/>
      <c r="CL76" s="198"/>
      <c r="CM76" s="198"/>
      <c r="CN76" s="198"/>
      <c r="CO76" s="197"/>
      <c r="CP76" s="198"/>
      <c r="CQ76" s="198"/>
      <c r="CR76" s="198"/>
      <c r="CS76" s="198"/>
      <c r="CT76" s="198"/>
      <c r="CU76" s="198"/>
      <c r="CV76" s="197"/>
      <c r="CW76" s="198"/>
      <c r="CX76" s="198"/>
      <c r="CY76" s="198"/>
      <c r="CZ76" s="198"/>
      <c r="DA76" s="198"/>
      <c r="DB76" s="198"/>
      <c r="DC76" s="197"/>
      <c r="DD76" s="198"/>
      <c r="DE76" s="198"/>
      <c r="DF76" s="198"/>
      <c r="DG76" s="198"/>
      <c r="DH76" s="198"/>
      <c r="DI76" s="198"/>
      <c r="DJ76" s="197"/>
      <c r="DK76" s="198"/>
      <c r="DL76" s="198"/>
      <c r="DM76" s="198"/>
      <c r="DN76" s="198"/>
      <c r="DO76" s="198"/>
      <c r="DP76" s="198"/>
      <c r="DQ76" s="197"/>
      <c r="DR76" s="198"/>
      <c r="DS76" s="198"/>
      <c r="DT76" s="198"/>
      <c r="DU76" s="198"/>
      <c r="DV76" s="198"/>
      <c r="DW76" s="198"/>
      <c r="DX76" s="197"/>
      <c r="DY76" s="198"/>
      <c r="DZ76" s="198"/>
      <c r="EA76" s="198"/>
      <c r="EB76" s="198"/>
      <c r="EC76" s="198"/>
      <c r="ED76" s="198"/>
      <c r="EE76" s="197"/>
      <c r="EF76" s="198"/>
      <c r="EG76" s="198"/>
      <c r="EH76" s="198"/>
      <c r="EI76" s="198"/>
      <c r="EJ76" s="198"/>
      <c r="EK76" s="198"/>
      <c r="EL76" s="197"/>
      <c r="EM76" s="198"/>
      <c r="EN76" s="198"/>
      <c r="EO76" s="198"/>
      <c r="EP76" s="198"/>
      <c r="EQ76" s="198"/>
      <c r="ER76" s="198"/>
      <c r="ES76" s="197"/>
      <c r="ET76" s="198"/>
      <c r="EU76" s="198"/>
      <c r="EV76" s="198"/>
      <c r="EW76" s="198"/>
      <c r="EX76" s="198"/>
      <c r="EY76" s="198"/>
      <c r="EZ76" s="197"/>
      <c r="FA76" s="198"/>
      <c r="FB76" s="198"/>
      <c r="FC76" s="198"/>
      <c r="FD76" s="198"/>
      <c r="FE76" s="198"/>
      <c r="FF76" s="198"/>
      <c r="FG76" s="197"/>
      <c r="FH76" s="198"/>
      <c r="FI76" s="198"/>
      <c r="FJ76" s="198"/>
      <c r="FK76" s="198"/>
      <c r="FL76" s="198"/>
      <c r="FM76" s="198"/>
      <c r="FN76" s="197"/>
      <c r="FO76" s="198"/>
      <c r="FP76" s="198"/>
      <c r="FQ76" s="198"/>
      <c r="FR76" s="198"/>
      <c r="FS76" s="198"/>
      <c r="FT76" s="199"/>
      <c r="FU76" s="197"/>
      <c r="FV76" s="198"/>
      <c r="FW76" s="198"/>
      <c r="FX76" s="198"/>
      <c r="FY76" s="198"/>
      <c r="FZ76" s="198"/>
      <c r="GA76" s="199"/>
      <c r="GB76" s="197"/>
      <c r="GC76" s="198"/>
      <c r="GD76" s="198"/>
      <c r="GE76" s="198"/>
      <c r="GF76" s="198"/>
      <c r="GG76" s="198"/>
      <c r="GH76" s="199"/>
      <c r="GI76" s="197"/>
      <c r="GJ76" s="198"/>
      <c r="GK76" s="198"/>
      <c r="GL76" s="198"/>
      <c r="GM76" s="198"/>
      <c r="GN76" s="198"/>
      <c r="GO76" s="199"/>
      <c r="GP76" s="197"/>
      <c r="GQ76" s="198"/>
      <c r="GR76" s="198"/>
      <c r="GS76" s="198"/>
      <c r="GT76" s="198"/>
      <c r="GU76" s="198"/>
      <c r="GV76" s="199"/>
      <c r="GW76" s="197"/>
      <c r="GX76" s="198"/>
      <c r="GY76" s="198"/>
      <c r="GZ76" s="198"/>
      <c r="HA76" s="198"/>
      <c r="HB76" s="198"/>
      <c r="HC76" s="199"/>
      <c r="HD76" s="197"/>
      <c r="HE76" s="198"/>
      <c r="HF76" s="198"/>
      <c r="HG76" s="198"/>
      <c r="HH76" s="198"/>
      <c r="HI76" s="198"/>
      <c r="HJ76" s="199"/>
      <c r="HK76" s="197"/>
      <c r="HL76" s="198"/>
      <c r="HM76" s="198"/>
      <c r="HN76" s="198"/>
      <c r="HO76" s="198"/>
      <c r="HP76" s="198"/>
      <c r="HQ76" s="198"/>
      <c r="HR76" s="197"/>
      <c r="HT76" s="198"/>
      <c r="HU76" s="198"/>
      <c r="HV76" s="198"/>
      <c r="HW76" s="198"/>
      <c r="HX76" s="198"/>
    </row>
    <row r="77" spans="1:233">
      <c r="A77" s="202" t="s">
        <v>500</v>
      </c>
      <c r="B77" s="203">
        <v>724.78099999999995</v>
      </c>
      <c r="C77" s="204">
        <v>27.634</v>
      </c>
      <c r="D77" s="204">
        <f>121.503+81.491+13.995</f>
        <v>216.989</v>
      </c>
      <c r="E77" s="204">
        <v>107.85899999999999</v>
      </c>
      <c r="F77" s="204">
        <f>259-E77</f>
        <v>151.14100000000002</v>
      </c>
      <c r="G77" s="204"/>
      <c r="H77" s="205">
        <f>B77-C77-D77-E77-F77</f>
        <v>221.1579999999999</v>
      </c>
      <c r="I77" s="203"/>
      <c r="J77" s="204"/>
      <c r="K77" s="204"/>
      <c r="L77" s="204"/>
      <c r="M77" s="204"/>
      <c r="N77" s="204"/>
      <c r="O77" s="205"/>
      <c r="P77" s="204">
        <v>1922.847</v>
      </c>
      <c r="Q77" s="204">
        <v>55.871000000000002</v>
      </c>
      <c r="R77" s="204">
        <v>269.31599999999997</v>
      </c>
      <c r="S77" s="204">
        <v>121.818</v>
      </c>
      <c r="T77" s="204">
        <v>1087.825</v>
      </c>
      <c r="U77" s="204"/>
      <c r="V77" s="205">
        <f>P77-Q77-R77-S77-T77</f>
        <v>388.01699999999983</v>
      </c>
      <c r="W77" s="204">
        <v>1234.777</v>
      </c>
      <c r="X77" s="204">
        <v>144.30699999999999</v>
      </c>
      <c r="Y77" s="204">
        <v>356.02300000000002</v>
      </c>
      <c r="Z77" s="204">
        <v>57.112000000000002</v>
      </c>
      <c r="AA77" s="204">
        <v>315.02600000000001</v>
      </c>
      <c r="AB77" s="204"/>
      <c r="AC77" s="205">
        <f t="shared" si="0"/>
        <v>362.30900000000003</v>
      </c>
      <c r="AD77" s="204">
        <f>[1]datos!$S209</f>
        <v>428.05999999999995</v>
      </c>
      <c r="AE77" s="204">
        <v>30.224</v>
      </c>
      <c r="AF77" s="204">
        <v>106.61</v>
      </c>
      <c r="AG77" s="204">
        <v>100.96599999999999</v>
      </c>
      <c r="AH77" s="204">
        <v>59.29</v>
      </c>
      <c r="AI77" s="204">
        <f>[1]datos!$U209</f>
        <v>40.844999999999999</v>
      </c>
      <c r="AJ77" s="204">
        <f>AD77-AE77-AF77-AG77-AH77-AI77</f>
        <v>90.124999999999943</v>
      </c>
      <c r="AK77" s="203"/>
      <c r="AL77" s="204"/>
      <c r="AM77" s="204"/>
      <c r="AN77" s="204"/>
      <c r="AO77" s="204"/>
      <c r="AP77" s="204"/>
      <c r="AQ77" s="205"/>
      <c r="AR77" s="204">
        <v>15789.459735844519</v>
      </c>
      <c r="AS77" s="204">
        <v>3636.9839864284527</v>
      </c>
      <c r="AT77" s="204">
        <v>1434.3503685354976</v>
      </c>
      <c r="AU77" s="204">
        <v>3504.4935236570855</v>
      </c>
      <c r="AV77" s="204">
        <v>639.6765072800456</v>
      </c>
      <c r="AW77" s="204"/>
      <c r="AX77" s="204">
        <v>6573.9553499434387</v>
      </c>
      <c r="AY77" s="203"/>
      <c r="AZ77" s="204"/>
      <c r="BA77" s="204"/>
      <c r="BB77" s="204"/>
      <c r="BC77" s="204"/>
      <c r="BD77" s="204"/>
      <c r="BE77" s="204"/>
      <c r="BF77" s="203"/>
      <c r="BG77" s="204"/>
      <c r="BH77" s="204"/>
      <c r="BI77" s="204"/>
      <c r="BJ77" s="204"/>
      <c r="BK77" s="204"/>
      <c r="BL77" s="204"/>
      <c r="BM77" s="203"/>
      <c r="BN77" s="204"/>
      <c r="BO77" s="204"/>
      <c r="BP77" s="204"/>
      <c r="BQ77" s="204"/>
      <c r="BR77" s="204"/>
      <c r="BS77" s="204"/>
      <c r="BT77" s="203"/>
      <c r="BU77" s="204"/>
      <c r="BV77" s="204"/>
      <c r="BW77" s="204"/>
      <c r="BX77" s="204"/>
      <c r="BY77" s="204"/>
      <c r="BZ77" s="204"/>
      <c r="CA77" s="203">
        <v>365.86500000000001</v>
      </c>
      <c r="CB77" s="204">
        <v>24.35</v>
      </c>
      <c r="CC77" s="204">
        <f>64.566+11.896+2.73</f>
        <v>79.192000000000007</v>
      </c>
      <c r="CD77" s="204">
        <v>96.314999999999998</v>
      </c>
      <c r="CE77" s="204">
        <f>154.84-CD77</f>
        <v>58.525000000000006</v>
      </c>
      <c r="CF77" s="204"/>
      <c r="CG77" s="204">
        <f>CA77-CB77-CC77-CD77-CE77</f>
        <v>107.48299999999998</v>
      </c>
      <c r="CH77" s="203"/>
      <c r="CI77" s="204"/>
      <c r="CJ77" s="204"/>
      <c r="CK77" s="204"/>
      <c r="CL77" s="204"/>
      <c r="CM77" s="204"/>
      <c r="CN77" s="204"/>
      <c r="CO77" s="203"/>
      <c r="CP77" s="204"/>
      <c r="CQ77" s="204"/>
      <c r="CR77" s="204"/>
      <c r="CS77" s="204"/>
      <c r="CT77" s="204"/>
      <c r="CU77" s="204"/>
      <c r="CV77" s="203">
        <v>455.27</v>
      </c>
      <c r="CW77" s="204">
        <v>29.216000000000001</v>
      </c>
      <c r="CX77" s="204">
        <f>79.36+48.096+4.653</f>
        <v>132.10899999999998</v>
      </c>
      <c r="CY77" s="204">
        <f>105.11</f>
        <v>105.11</v>
      </c>
      <c r="CZ77" s="204">
        <f>188.047-CY77</f>
        <v>82.936999999999998</v>
      </c>
      <c r="DA77" s="204"/>
      <c r="DB77" s="204">
        <f>CV77-CW77-CX77-CY77-CZ77</f>
        <v>105.89799999999998</v>
      </c>
      <c r="DC77" s="203"/>
      <c r="DD77" s="204"/>
      <c r="DE77" s="204"/>
      <c r="DF77" s="204"/>
      <c r="DG77" s="204"/>
      <c r="DH77" s="204"/>
      <c r="DI77" s="204"/>
      <c r="DJ77" s="203">
        <f>545.8+10233.1</f>
        <v>10778.9</v>
      </c>
      <c r="DK77" s="204">
        <f>438.9+2412.2</f>
        <v>2851.1</v>
      </c>
      <c r="DL77" s="204">
        <f>0.6+301+2043.7</f>
        <v>2345.3000000000002</v>
      </c>
      <c r="DM77" s="204">
        <v>411</v>
      </c>
      <c r="DN77" s="204">
        <f>2090.6-DM77</f>
        <v>1679.6</v>
      </c>
      <c r="DO77" s="204"/>
      <c r="DP77" s="204">
        <f>DJ77-DK77-DL77-DM77</f>
        <v>5171.4999999999991</v>
      </c>
      <c r="DQ77" s="203"/>
      <c r="DR77" s="204"/>
      <c r="DS77" s="204"/>
      <c r="DT77" s="204"/>
      <c r="DU77" s="204"/>
      <c r="DV77" s="204"/>
      <c r="DW77" s="204"/>
      <c r="DX77" s="203"/>
      <c r="DY77" s="204"/>
      <c r="DZ77" s="204"/>
      <c r="EA77" s="204"/>
      <c r="EB77" s="204"/>
      <c r="EC77" s="204"/>
      <c r="ED77" s="204"/>
      <c r="EE77" s="203">
        <v>23614.748</v>
      </c>
      <c r="EF77" s="204">
        <v>3027.0349999999999</v>
      </c>
      <c r="EG77" s="204">
        <v>3814.7510000000002</v>
      </c>
      <c r="EH77" s="204">
        <v>3321.0619999999999</v>
      </c>
      <c r="EI77" s="204">
        <v>4053.5680000000002</v>
      </c>
      <c r="EJ77" s="204"/>
      <c r="EK77" s="204">
        <f>EE77-EF77-EG77-EH77-EI77</f>
        <v>9398.3319999999985</v>
      </c>
      <c r="EL77" s="203"/>
      <c r="EM77" s="204"/>
      <c r="EN77" s="204"/>
      <c r="EO77" s="204"/>
      <c r="EP77" s="204"/>
      <c r="EQ77" s="204"/>
      <c r="ER77" s="204"/>
      <c r="ES77" s="203"/>
      <c r="ET77" s="204"/>
      <c r="EU77" s="204"/>
      <c r="EV77" s="204"/>
      <c r="EW77" s="204"/>
      <c r="EX77" s="204"/>
      <c r="EY77" s="204"/>
      <c r="EZ77" s="203"/>
      <c r="FA77" s="204"/>
      <c r="FB77" s="204"/>
      <c r="FC77" s="204"/>
      <c r="FD77" s="204"/>
      <c r="FE77" s="204"/>
      <c r="FF77" s="204"/>
      <c r="FG77" s="203"/>
      <c r="FH77" s="204"/>
      <c r="FI77" s="204"/>
      <c r="FJ77" s="204"/>
      <c r="FK77" s="204"/>
      <c r="FL77" s="204"/>
      <c r="FM77" s="204"/>
      <c r="FN77" s="203"/>
      <c r="FO77" s="204"/>
      <c r="FP77" s="204"/>
      <c r="FQ77" s="204"/>
      <c r="FR77" s="204"/>
      <c r="FS77" s="204"/>
      <c r="FT77" s="205"/>
      <c r="FU77" s="203"/>
      <c r="FV77" s="204"/>
      <c r="FW77" s="204"/>
      <c r="FX77" s="204"/>
      <c r="FY77" s="204"/>
      <c r="FZ77" s="204"/>
      <c r="GA77" s="205"/>
      <c r="GB77" s="203">
        <v>459.27199999999999</v>
      </c>
      <c r="GC77" s="204">
        <v>21.486000000000001</v>
      </c>
      <c r="GD77" s="204">
        <f>52.3+28.293+4.274</f>
        <v>84.86699999999999</v>
      </c>
      <c r="GE77" s="204">
        <v>119.251</v>
      </c>
      <c r="GF77" s="204">
        <f>187.238-GE77</f>
        <v>67.986999999999995</v>
      </c>
      <c r="GG77" s="204"/>
      <c r="GH77" s="205">
        <f>GB77-GC77-GD77-GE77-GF77</f>
        <v>165.68099999999998</v>
      </c>
      <c r="GI77" s="203">
        <v>344.73599999999999</v>
      </c>
      <c r="GJ77" s="204">
        <v>29.132999999999999</v>
      </c>
      <c r="GK77" s="204">
        <f>55.28+8.893+2.191</f>
        <v>66.364000000000004</v>
      </c>
      <c r="GL77" s="204">
        <v>85.364999999999995</v>
      </c>
      <c r="GM77" s="204">
        <f>138.624-GL77</f>
        <v>53.259</v>
      </c>
      <c r="GN77" s="204"/>
      <c r="GO77" s="205">
        <f>GI77-GJ77-GK77-GL77-GM77</f>
        <v>110.61500000000002</v>
      </c>
      <c r="GP77" s="203">
        <v>908.86900000000003</v>
      </c>
      <c r="GQ77" s="204">
        <v>22.954000000000001</v>
      </c>
      <c r="GR77" s="204">
        <f>123.125+110.453+8.343</f>
        <v>241.92099999999999</v>
      </c>
      <c r="GS77" s="204">
        <v>232.32400000000001</v>
      </c>
      <c r="GT77" s="204">
        <f>426.277-GS77</f>
        <v>193.95299999999997</v>
      </c>
      <c r="GU77" s="204"/>
      <c r="GV77" s="205">
        <f>GP77-GQ77-GR77-GS77-GT77</f>
        <v>217.71700000000016</v>
      </c>
      <c r="GW77" s="203"/>
      <c r="GX77" s="204"/>
      <c r="GY77" s="204"/>
      <c r="GZ77" s="204"/>
      <c r="HA77" s="204"/>
      <c r="HB77" s="204"/>
      <c r="HC77" s="205"/>
      <c r="HD77" s="203"/>
      <c r="HE77" s="204"/>
      <c r="HF77" s="204"/>
      <c r="HG77" s="204"/>
      <c r="HH77" s="204"/>
      <c r="HI77" s="204"/>
      <c r="HJ77" s="205"/>
      <c r="HK77" s="203"/>
      <c r="HL77" s="204"/>
      <c r="HM77" s="204"/>
      <c r="HN77" s="204"/>
      <c r="HO77" s="204"/>
      <c r="HP77" s="204"/>
      <c r="HQ77" s="204"/>
      <c r="HR77" s="197"/>
      <c r="HS77" s="206"/>
      <c r="HT77" s="204"/>
      <c r="HU77" s="204"/>
      <c r="HV77" s="204"/>
      <c r="HW77" s="204"/>
      <c r="HX77" s="204"/>
      <c r="HY77" s="198"/>
    </row>
    <row r="78" spans="1:233">
      <c r="A78" s="185" t="s">
        <v>661</v>
      </c>
      <c r="B78" s="197"/>
      <c r="C78" s="198"/>
      <c r="D78" s="198"/>
      <c r="E78" s="198"/>
      <c r="F78" s="198"/>
      <c r="G78" s="198"/>
      <c r="H78" s="199"/>
      <c r="I78" s="197"/>
      <c r="J78" s="198"/>
      <c r="K78" s="198"/>
      <c r="L78" s="198"/>
      <c r="M78" s="198"/>
      <c r="N78" s="198"/>
      <c r="O78" s="199"/>
      <c r="P78" s="198"/>
      <c r="Q78" s="198"/>
      <c r="R78" s="198"/>
      <c r="S78" s="198"/>
      <c r="T78" s="198"/>
      <c r="U78" s="198"/>
      <c r="V78" s="199"/>
      <c r="W78" s="198">
        <v>1252.4949999999999</v>
      </c>
      <c r="X78" s="198">
        <v>144.268</v>
      </c>
      <c r="Y78" s="198">
        <v>359.18200000000002</v>
      </c>
      <c r="Z78" s="198">
        <v>57.564999999999998</v>
      </c>
      <c r="AA78" s="198">
        <v>314.71100000000001</v>
      </c>
      <c r="AB78" s="198"/>
      <c r="AC78" s="199">
        <f t="shared" si="0"/>
        <v>376.76899999999978</v>
      </c>
      <c r="AD78" s="198"/>
      <c r="AE78" s="198">
        <v>32.216000000000001</v>
      </c>
      <c r="AF78" s="198">
        <v>106.51300000000001</v>
      </c>
      <c r="AG78" s="198">
        <v>101.24299999999999</v>
      </c>
      <c r="AH78" s="198">
        <v>58.253</v>
      </c>
      <c r="AI78" s="198"/>
      <c r="AJ78" s="198"/>
      <c r="AK78" s="197"/>
      <c r="AL78" s="198"/>
      <c r="AM78" s="198"/>
      <c r="AN78" s="198"/>
      <c r="AO78" s="198"/>
      <c r="AP78" s="198"/>
      <c r="AQ78" s="199"/>
      <c r="AR78" s="198">
        <v>22015.291305351293</v>
      </c>
      <c r="AS78" s="198">
        <v>4986.8391646555892</v>
      </c>
      <c r="AT78" s="198">
        <v>1875.1535509107948</v>
      </c>
      <c r="AU78" s="198">
        <v>4981.5037942197723</v>
      </c>
      <c r="AV78" s="198">
        <v>893.60399361332884</v>
      </c>
      <c r="AW78" s="198"/>
      <c r="AX78" s="198">
        <v>9278.1908019518105</v>
      </c>
      <c r="AY78" s="197"/>
      <c r="AZ78" s="198"/>
      <c r="BA78" s="198"/>
      <c r="BB78" s="198"/>
      <c r="BC78" s="198"/>
      <c r="BD78" s="198"/>
      <c r="BE78" s="198"/>
      <c r="BF78" s="197"/>
      <c r="BG78" s="198"/>
      <c r="BH78" s="198"/>
      <c r="BI78" s="198"/>
      <c r="BJ78" s="198"/>
      <c r="BK78" s="198"/>
      <c r="BL78" s="198"/>
      <c r="BM78" s="197"/>
      <c r="BN78" s="198"/>
      <c r="BO78" s="198"/>
      <c r="BP78" s="198"/>
      <c r="BQ78" s="198"/>
      <c r="BR78" s="198"/>
      <c r="BS78" s="198"/>
      <c r="BT78" s="197"/>
      <c r="BU78" s="198"/>
      <c r="BV78" s="198"/>
      <c r="BW78" s="198"/>
      <c r="BX78" s="198"/>
      <c r="BY78" s="198"/>
      <c r="BZ78" s="198"/>
      <c r="CA78" s="197"/>
      <c r="CB78" s="198"/>
      <c r="CC78" s="198"/>
      <c r="CD78" s="198"/>
      <c r="CE78" s="198"/>
      <c r="CF78" s="198"/>
      <c r="CG78" s="198"/>
      <c r="CH78" s="197"/>
      <c r="CI78" s="198"/>
      <c r="CJ78" s="198"/>
      <c r="CK78" s="198"/>
      <c r="CL78" s="198"/>
      <c r="CM78" s="198"/>
      <c r="CN78" s="198"/>
      <c r="CO78" s="197"/>
      <c r="CP78" s="198"/>
      <c r="CQ78" s="198"/>
      <c r="CR78" s="198"/>
      <c r="CS78" s="198"/>
      <c r="CT78" s="198"/>
      <c r="CU78" s="198"/>
      <c r="CV78" s="197"/>
      <c r="CW78" s="198"/>
      <c r="CX78" s="198"/>
      <c r="CY78" s="198"/>
      <c r="CZ78" s="198"/>
      <c r="DA78" s="198"/>
      <c r="DB78" s="198"/>
      <c r="DC78" s="197"/>
      <c r="DD78" s="198"/>
      <c r="DE78" s="198"/>
      <c r="DF78" s="198"/>
      <c r="DG78" s="198"/>
      <c r="DH78" s="198"/>
      <c r="DI78" s="198"/>
      <c r="DJ78" s="197"/>
      <c r="DK78" s="198"/>
      <c r="DL78" s="198"/>
      <c r="DM78" s="198"/>
      <c r="DN78" s="198"/>
      <c r="DO78" s="198"/>
      <c r="DP78" s="198"/>
      <c r="DQ78" s="197"/>
      <c r="DR78" s="198"/>
      <c r="DS78" s="198"/>
      <c r="DT78" s="198"/>
      <c r="DU78" s="198"/>
      <c r="DV78" s="198"/>
      <c r="DW78" s="198"/>
      <c r="DX78" s="197"/>
      <c r="DY78" s="198"/>
      <c r="DZ78" s="198"/>
      <c r="EA78" s="198"/>
      <c r="EB78" s="198"/>
      <c r="EC78" s="198"/>
      <c r="ED78" s="198"/>
      <c r="EE78" s="197"/>
      <c r="EF78" s="198"/>
      <c r="EG78" s="198"/>
      <c r="EH78" s="198"/>
      <c r="EI78" s="198"/>
      <c r="EJ78" s="198"/>
      <c r="EK78" s="198"/>
      <c r="EL78" s="197"/>
      <c r="EM78" s="198"/>
      <c r="EN78" s="198"/>
      <c r="EO78" s="198"/>
      <c r="EP78" s="198"/>
      <c r="EQ78" s="198"/>
      <c r="ER78" s="198"/>
      <c r="ES78" s="197"/>
      <c r="ET78" s="198"/>
      <c r="EU78" s="198"/>
      <c r="EV78" s="198"/>
      <c r="EW78" s="198"/>
      <c r="EX78" s="198"/>
      <c r="EY78" s="198"/>
      <c r="EZ78" s="197"/>
      <c r="FA78" s="198"/>
      <c r="FB78" s="198"/>
      <c r="FC78" s="198"/>
      <c r="FD78" s="198"/>
      <c r="FE78" s="198"/>
      <c r="FF78" s="198"/>
      <c r="FG78" s="197"/>
      <c r="FH78" s="198"/>
      <c r="FI78" s="198"/>
      <c r="FJ78" s="198"/>
      <c r="FK78" s="198"/>
      <c r="FL78" s="198"/>
      <c r="FM78" s="198"/>
      <c r="FN78" s="197"/>
      <c r="FO78" s="198"/>
      <c r="FP78" s="198"/>
      <c r="FQ78" s="198"/>
      <c r="FR78" s="198"/>
      <c r="FS78" s="198"/>
      <c r="FT78" s="199"/>
      <c r="FU78" s="197"/>
      <c r="FV78" s="198"/>
      <c r="FW78" s="198"/>
      <c r="FX78" s="198"/>
      <c r="FY78" s="198"/>
      <c r="FZ78" s="198"/>
      <c r="GA78" s="199"/>
      <c r="GB78" s="197"/>
      <c r="GC78" s="198"/>
      <c r="GD78" s="198"/>
      <c r="GE78" s="198"/>
      <c r="GF78" s="198"/>
      <c r="GG78" s="198"/>
      <c r="GH78" s="199"/>
      <c r="GI78" s="197"/>
      <c r="GJ78" s="198"/>
      <c r="GK78" s="198"/>
      <c r="GL78" s="198"/>
      <c r="GM78" s="198"/>
      <c r="GN78" s="198"/>
      <c r="GO78" s="199"/>
      <c r="GP78" s="197"/>
      <c r="GQ78" s="198"/>
      <c r="GR78" s="198"/>
      <c r="GS78" s="198"/>
      <c r="GT78" s="198"/>
      <c r="GU78" s="198"/>
      <c r="GV78" s="199"/>
      <c r="GW78" s="197"/>
      <c r="GX78" s="198"/>
      <c r="GY78" s="198"/>
      <c r="GZ78" s="198"/>
      <c r="HA78" s="198"/>
      <c r="HB78" s="198"/>
      <c r="HC78" s="199"/>
      <c r="HD78" s="197"/>
      <c r="HE78" s="198"/>
      <c r="HF78" s="198"/>
      <c r="HG78" s="198"/>
      <c r="HH78" s="198"/>
      <c r="HI78" s="198"/>
      <c r="HJ78" s="199"/>
      <c r="HK78" s="197"/>
      <c r="HL78" s="198"/>
      <c r="HM78" s="198"/>
      <c r="HN78" s="198"/>
      <c r="HO78" s="198"/>
      <c r="HP78" s="198"/>
      <c r="HQ78" s="198"/>
      <c r="HR78" s="197"/>
      <c r="HT78" s="201"/>
      <c r="HU78" s="201"/>
      <c r="HV78" s="201"/>
      <c r="HW78" s="201"/>
      <c r="HX78" s="198"/>
    </row>
    <row r="79" spans="1:233">
      <c r="A79" s="185" t="s">
        <v>490</v>
      </c>
      <c r="B79" s="197"/>
      <c r="C79" s="198"/>
      <c r="D79" s="198"/>
      <c r="E79" s="198"/>
      <c r="F79" s="198"/>
      <c r="G79" s="198"/>
      <c r="H79" s="199"/>
      <c r="I79" s="197"/>
      <c r="J79" s="198"/>
      <c r="K79" s="198"/>
      <c r="L79" s="198"/>
      <c r="M79" s="198"/>
      <c r="N79" s="198"/>
      <c r="O79" s="199"/>
      <c r="P79" s="198"/>
      <c r="Q79" s="198"/>
      <c r="R79" s="198"/>
      <c r="S79" s="198"/>
      <c r="T79" s="198"/>
      <c r="U79" s="198"/>
      <c r="V79" s="199"/>
      <c r="W79" s="198">
        <v>1250.644</v>
      </c>
      <c r="X79" s="198">
        <v>144.685</v>
      </c>
      <c r="Y79" s="198">
        <v>357.00199999999995</v>
      </c>
      <c r="Z79" s="198">
        <v>58.326999999999998</v>
      </c>
      <c r="AA79" s="198">
        <v>317.88400000000001</v>
      </c>
      <c r="AB79" s="198"/>
      <c r="AC79" s="199">
        <f t="shared" si="0"/>
        <v>372.74600000000009</v>
      </c>
      <c r="AD79" s="198"/>
      <c r="AE79" s="198">
        <v>34.661000000000001</v>
      </c>
      <c r="AF79" s="198">
        <v>97.856999999999999</v>
      </c>
      <c r="AG79" s="198">
        <v>105.54600000000001</v>
      </c>
      <c r="AH79" s="198">
        <v>56.357999999999997</v>
      </c>
      <c r="AI79" s="198"/>
      <c r="AJ79" s="198"/>
      <c r="AK79" s="197"/>
      <c r="AL79" s="198"/>
      <c r="AM79" s="198"/>
      <c r="AN79" s="198"/>
      <c r="AO79" s="198"/>
      <c r="AP79" s="198"/>
      <c r="AQ79" s="199"/>
      <c r="AR79" s="198">
        <v>31618.662758608567</v>
      </c>
      <c r="AS79" s="198">
        <v>7406.2245776082691</v>
      </c>
      <c r="AT79" s="198">
        <v>2779.9351783618881</v>
      </c>
      <c r="AU79" s="198">
        <v>7120.3259038126789</v>
      </c>
      <c r="AV79" s="198">
        <v>1293.2334788540331</v>
      </c>
      <c r="AW79" s="198"/>
      <c r="AX79" s="198">
        <v>13018.943619971698</v>
      </c>
      <c r="AY79" s="197"/>
      <c r="AZ79" s="198"/>
      <c r="BA79" s="198"/>
      <c r="BB79" s="198"/>
      <c r="BC79" s="198"/>
      <c r="BD79" s="198"/>
      <c r="BE79" s="198"/>
      <c r="BF79" s="197"/>
      <c r="BG79" s="198"/>
      <c r="BH79" s="198"/>
      <c r="BI79" s="198"/>
      <c r="BJ79" s="198"/>
      <c r="BK79" s="198"/>
      <c r="BL79" s="198"/>
      <c r="BM79" s="197"/>
      <c r="BN79" s="198"/>
      <c r="BO79" s="198"/>
      <c r="BP79" s="198"/>
      <c r="BQ79" s="198"/>
      <c r="BR79" s="198"/>
      <c r="BS79" s="198"/>
      <c r="BT79" s="197"/>
      <c r="BU79" s="198"/>
      <c r="BV79" s="198"/>
      <c r="BW79" s="198"/>
      <c r="BX79" s="198"/>
      <c r="BY79" s="198"/>
      <c r="BZ79" s="198"/>
      <c r="CA79" s="197"/>
      <c r="CB79" s="198"/>
      <c r="CC79" s="198"/>
      <c r="CD79" s="198"/>
      <c r="CE79" s="198"/>
      <c r="CF79" s="198"/>
      <c r="CG79" s="198"/>
      <c r="CH79" s="197"/>
      <c r="CI79" s="198"/>
      <c r="CJ79" s="198"/>
      <c r="CK79" s="198"/>
      <c r="CL79" s="198"/>
      <c r="CM79" s="198"/>
      <c r="CN79" s="198"/>
      <c r="CO79" s="197"/>
      <c r="CP79" s="198"/>
      <c r="CQ79" s="198"/>
      <c r="CR79" s="198"/>
      <c r="CS79" s="198"/>
      <c r="CT79" s="198"/>
      <c r="CU79" s="198"/>
      <c r="CV79" s="197"/>
      <c r="CW79" s="198"/>
      <c r="CX79" s="198"/>
      <c r="CY79" s="198"/>
      <c r="CZ79" s="198"/>
      <c r="DA79" s="198"/>
      <c r="DB79" s="198"/>
      <c r="DC79" s="197"/>
      <c r="DD79" s="198"/>
      <c r="DE79" s="198"/>
      <c r="DF79" s="198"/>
      <c r="DG79" s="198"/>
      <c r="DH79" s="198"/>
      <c r="DI79" s="198"/>
      <c r="DJ79" s="197"/>
      <c r="DK79" s="198"/>
      <c r="DL79" s="198"/>
      <c r="DM79" s="198"/>
      <c r="DN79" s="198"/>
      <c r="DO79" s="198"/>
      <c r="DP79" s="198"/>
      <c r="DQ79" s="197"/>
      <c r="DR79" s="198"/>
      <c r="DS79" s="198"/>
      <c r="DT79" s="198"/>
      <c r="DU79" s="198"/>
      <c r="DV79" s="198"/>
      <c r="DW79" s="198"/>
      <c r="DX79" s="197"/>
      <c r="DY79" s="198"/>
      <c r="DZ79" s="198"/>
      <c r="EA79" s="198"/>
      <c r="EB79" s="198"/>
      <c r="EC79" s="198"/>
      <c r="ED79" s="198"/>
      <c r="EE79" s="197"/>
      <c r="EF79" s="198"/>
      <c r="EG79" s="198"/>
      <c r="EH79" s="198"/>
      <c r="EI79" s="198"/>
      <c r="EJ79" s="198"/>
      <c r="EK79" s="198"/>
      <c r="EL79" s="197"/>
      <c r="EM79" s="198"/>
      <c r="EN79" s="198"/>
      <c r="EO79" s="198"/>
      <c r="EP79" s="198"/>
      <c r="EQ79" s="198"/>
      <c r="ER79" s="198"/>
      <c r="ES79" s="197"/>
      <c r="ET79" s="198"/>
      <c r="EU79" s="198"/>
      <c r="EV79" s="198"/>
      <c r="EW79" s="198"/>
      <c r="EX79" s="198"/>
      <c r="EY79" s="198"/>
      <c r="EZ79" s="197"/>
      <c r="FA79" s="198"/>
      <c r="FB79" s="198"/>
      <c r="FC79" s="198"/>
      <c r="FD79" s="198"/>
      <c r="FE79" s="198"/>
      <c r="FF79" s="198"/>
      <c r="FG79" s="197"/>
      <c r="FH79" s="198"/>
      <c r="FI79" s="198"/>
      <c r="FJ79" s="198"/>
      <c r="FK79" s="198"/>
      <c r="FL79" s="198"/>
      <c r="FM79" s="198"/>
      <c r="FN79" s="197"/>
      <c r="FO79" s="198"/>
      <c r="FP79" s="198"/>
      <c r="FQ79" s="198"/>
      <c r="FR79" s="198"/>
      <c r="FS79" s="198"/>
      <c r="FT79" s="199"/>
      <c r="FU79" s="197"/>
      <c r="FV79" s="198"/>
      <c r="FW79" s="198"/>
      <c r="FX79" s="198"/>
      <c r="FY79" s="198"/>
      <c r="FZ79" s="198"/>
      <c r="GA79" s="199"/>
      <c r="GB79" s="197"/>
      <c r="GC79" s="198"/>
      <c r="GD79" s="198"/>
      <c r="GE79" s="198"/>
      <c r="GF79" s="198"/>
      <c r="GG79" s="198"/>
      <c r="GH79" s="199"/>
      <c r="GI79" s="197"/>
      <c r="GJ79" s="198"/>
      <c r="GK79" s="198"/>
      <c r="GL79" s="198"/>
      <c r="GM79" s="198"/>
      <c r="GN79" s="198"/>
      <c r="GO79" s="199"/>
      <c r="GP79" s="197"/>
      <c r="GQ79" s="198"/>
      <c r="GR79" s="198"/>
      <c r="GS79" s="198"/>
      <c r="GT79" s="198"/>
      <c r="GU79" s="198"/>
      <c r="GV79" s="199"/>
      <c r="GW79" s="197"/>
      <c r="GX79" s="198"/>
      <c r="GY79" s="198"/>
      <c r="GZ79" s="198"/>
      <c r="HA79" s="198"/>
      <c r="HB79" s="198"/>
      <c r="HC79" s="199"/>
      <c r="HD79" s="197"/>
      <c r="HE79" s="198"/>
      <c r="HF79" s="198"/>
      <c r="HG79" s="198"/>
      <c r="HH79" s="198"/>
      <c r="HI79" s="198"/>
      <c r="HJ79" s="199"/>
      <c r="HK79" s="197"/>
      <c r="HL79" s="198"/>
      <c r="HM79" s="198"/>
      <c r="HN79" s="198"/>
      <c r="HO79" s="198"/>
      <c r="HP79" s="198"/>
      <c r="HQ79" s="198"/>
      <c r="HR79" s="197"/>
      <c r="HT79" s="198"/>
      <c r="HU79" s="198"/>
      <c r="HV79" s="198"/>
      <c r="HW79" s="198"/>
      <c r="HX79" s="198"/>
    </row>
    <row r="80" spans="1:233">
      <c r="A80" s="185" t="s">
        <v>491</v>
      </c>
      <c r="B80" s="197"/>
      <c r="C80" s="198"/>
      <c r="D80" s="198"/>
      <c r="E80" s="198"/>
      <c r="F80" s="198"/>
      <c r="G80" s="198"/>
      <c r="H80" s="199"/>
      <c r="I80" s="197"/>
      <c r="J80" s="198"/>
      <c r="K80" s="198"/>
      <c r="L80" s="198"/>
      <c r="M80" s="198"/>
      <c r="N80" s="198"/>
      <c r="O80" s="199"/>
      <c r="P80" s="198"/>
      <c r="Q80" s="198"/>
      <c r="R80" s="198"/>
      <c r="S80" s="198"/>
      <c r="T80" s="198"/>
      <c r="U80" s="198"/>
      <c r="V80" s="199"/>
      <c r="W80" s="198">
        <v>1242.3920000000001</v>
      </c>
      <c r="X80" s="198">
        <v>144.34299999999999</v>
      </c>
      <c r="Y80" s="198">
        <v>357.29899999999998</v>
      </c>
      <c r="Z80" s="198">
        <v>57.331000000000003</v>
      </c>
      <c r="AA80" s="198">
        <v>323.2</v>
      </c>
      <c r="AB80" s="198"/>
      <c r="AC80" s="199">
        <f t="shared" si="0"/>
        <v>360.21899999999999</v>
      </c>
      <c r="AD80" s="198">
        <f>[1]datos!$S212</f>
        <v>427.56</v>
      </c>
      <c r="AE80" s="198">
        <v>40.965000000000003</v>
      </c>
      <c r="AF80" s="198">
        <v>100.23799999999999</v>
      </c>
      <c r="AG80" s="198">
        <v>106.39999999999999</v>
      </c>
      <c r="AH80" s="198">
        <v>55.732999999999997</v>
      </c>
      <c r="AI80" s="198">
        <f>[1]datos!$U212</f>
        <v>42.011000000000003</v>
      </c>
      <c r="AJ80" s="198">
        <f>AD80-AE80-AF80-AG80-AH80-AI80</f>
        <v>82.213000000000051</v>
      </c>
      <c r="AK80" s="197"/>
      <c r="AL80" s="198"/>
      <c r="AM80" s="198"/>
      <c r="AN80" s="198"/>
      <c r="AO80" s="198"/>
      <c r="AP80" s="198"/>
      <c r="AQ80" s="199"/>
      <c r="AR80" s="198">
        <v>45129.32610738623</v>
      </c>
      <c r="AS80" s="198">
        <v>11041.868280127241</v>
      </c>
      <c r="AT80" s="198">
        <v>4282.1481211809278</v>
      </c>
      <c r="AU80" s="198">
        <v>9929.2018578142524</v>
      </c>
      <c r="AV80" s="198">
        <v>1914.5429326281098</v>
      </c>
      <c r="AW80" s="198"/>
      <c r="AX80" s="198">
        <v>17961.564915635703</v>
      </c>
      <c r="AY80" s="197"/>
      <c r="AZ80" s="198"/>
      <c r="BA80" s="198"/>
      <c r="BB80" s="198"/>
      <c r="BC80" s="198"/>
      <c r="BD80" s="198"/>
      <c r="BE80" s="198"/>
      <c r="BF80" s="197"/>
      <c r="BG80" s="198"/>
      <c r="BH80" s="198"/>
      <c r="BI80" s="198"/>
      <c r="BJ80" s="198"/>
      <c r="BK80" s="198"/>
      <c r="BL80" s="198"/>
      <c r="BM80" s="197"/>
      <c r="BN80" s="198"/>
      <c r="BO80" s="198"/>
      <c r="BP80" s="198"/>
      <c r="BQ80" s="198"/>
      <c r="BR80" s="198"/>
      <c r="BS80" s="198"/>
      <c r="BT80" s="197"/>
      <c r="BU80" s="198"/>
      <c r="BV80" s="198"/>
      <c r="BW80" s="198"/>
      <c r="BX80" s="198"/>
      <c r="BY80" s="198"/>
      <c r="BZ80" s="198"/>
      <c r="CA80" s="197"/>
      <c r="CB80" s="198"/>
      <c r="CC80" s="198"/>
      <c r="CD80" s="198"/>
      <c r="CE80" s="198"/>
      <c r="CF80" s="198"/>
      <c r="CG80" s="198"/>
      <c r="CH80" s="197"/>
      <c r="CI80" s="198"/>
      <c r="CJ80" s="198"/>
      <c r="CK80" s="198"/>
      <c r="CL80" s="198"/>
      <c r="CM80" s="198"/>
      <c r="CN80" s="198"/>
      <c r="CO80" s="197"/>
      <c r="CP80" s="198"/>
      <c r="CQ80" s="198"/>
      <c r="CR80" s="198"/>
      <c r="CS80" s="198"/>
      <c r="CT80" s="198"/>
      <c r="CU80" s="198"/>
      <c r="CV80" s="197"/>
      <c r="CW80" s="198"/>
      <c r="CX80" s="198"/>
      <c r="CY80" s="198"/>
      <c r="CZ80" s="198"/>
      <c r="DA80" s="198"/>
      <c r="DB80" s="198"/>
      <c r="DC80" s="197"/>
      <c r="DD80" s="198"/>
      <c r="DE80" s="198"/>
      <c r="DF80" s="198"/>
      <c r="DG80" s="198"/>
      <c r="DH80" s="198"/>
      <c r="DI80" s="198"/>
      <c r="DJ80" s="197"/>
      <c r="DK80" s="198"/>
      <c r="DL80" s="198"/>
      <c r="DM80" s="198"/>
      <c r="DN80" s="198"/>
      <c r="DO80" s="198"/>
      <c r="DP80" s="198"/>
      <c r="DQ80" s="197"/>
      <c r="DR80" s="198"/>
      <c r="DS80" s="198"/>
      <c r="DT80" s="198"/>
      <c r="DU80" s="198"/>
      <c r="DV80" s="198"/>
      <c r="DW80" s="198"/>
      <c r="DX80" s="197"/>
      <c r="DY80" s="198"/>
      <c r="DZ80" s="198"/>
      <c r="EA80" s="198"/>
      <c r="EB80" s="198"/>
      <c r="EC80" s="198"/>
      <c r="ED80" s="198"/>
      <c r="EE80" s="197"/>
      <c r="EF80" s="198"/>
      <c r="EG80" s="198"/>
      <c r="EH80" s="198"/>
      <c r="EI80" s="198"/>
      <c r="EJ80" s="198"/>
      <c r="EK80" s="198"/>
      <c r="EL80" s="197"/>
      <c r="EM80" s="198"/>
      <c r="EN80" s="198"/>
      <c r="EO80" s="198"/>
      <c r="EP80" s="198"/>
      <c r="EQ80" s="198"/>
      <c r="ER80" s="198"/>
      <c r="ES80" s="197"/>
      <c r="ET80" s="198"/>
      <c r="EU80" s="198"/>
      <c r="EV80" s="198"/>
      <c r="EW80" s="198"/>
      <c r="EX80" s="198"/>
      <c r="EY80" s="198"/>
      <c r="EZ80" s="197"/>
      <c r="FA80" s="198"/>
      <c r="FB80" s="198"/>
      <c r="FC80" s="198"/>
      <c r="FD80" s="198"/>
      <c r="FE80" s="198"/>
      <c r="FF80" s="198"/>
      <c r="FG80" s="197"/>
      <c r="FH80" s="198"/>
      <c r="FI80" s="198"/>
      <c r="FJ80" s="198"/>
      <c r="FK80" s="198"/>
      <c r="FL80" s="198"/>
      <c r="FM80" s="198"/>
      <c r="FN80" s="197"/>
      <c r="FO80" s="198"/>
      <c r="FP80" s="198"/>
      <c r="FQ80" s="198"/>
      <c r="FR80" s="198"/>
      <c r="FS80" s="198"/>
      <c r="FT80" s="199"/>
      <c r="FU80" s="197"/>
      <c r="FV80" s="198"/>
      <c r="FW80" s="198"/>
      <c r="FX80" s="198"/>
      <c r="FY80" s="198"/>
      <c r="FZ80" s="198"/>
      <c r="GA80" s="199"/>
      <c r="GB80" s="197"/>
      <c r="GC80" s="198"/>
      <c r="GD80" s="198"/>
      <c r="GE80" s="198"/>
      <c r="GF80" s="198"/>
      <c r="GG80" s="198"/>
      <c r="GH80" s="199"/>
      <c r="GI80" s="197"/>
      <c r="GJ80" s="198"/>
      <c r="GK80" s="198"/>
      <c r="GL80" s="198"/>
      <c r="GM80" s="198"/>
      <c r="GN80" s="198"/>
      <c r="GO80" s="199"/>
      <c r="GP80" s="197"/>
      <c r="GQ80" s="198"/>
      <c r="GR80" s="198"/>
      <c r="GS80" s="198"/>
      <c r="GT80" s="198"/>
      <c r="GU80" s="198"/>
      <c r="GV80" s="199"/>
      <c r="GW80" s="197"/>
      <c r="GX80" s="198"/>
      <c r="GY80" s="198"/>
      <c r="GZ80" s="198"/>
      <c r="HA80" s="198"/>
      <c r="HB80" s="198"/>
      <c r="HC80" s="199"/>
      <c r="HD80" s="197"/>
      <c r="HE80" s="198"/>
      <c r="HF80" s="198"/>
      <c r="HG80" s="198"/>
      <c r="HH80" s="198"/>
      <c r="HI80" s="198"/>
      <c r="HJ80" s="199"/>
      <c r="HK80" s="197"/>
      <c r="HL80" s="198"/>
      <c r="HM80" s="198"/>
      <c r="HN80" s="198"/>
      <c r="HO80" s="198"/>
      <c r="HP80" s="198"/>
      <c r="HQ80" s="198"/>
      <c r="HR80" s="197"/>
      <c r="HT80" s="198"/>
      <c r="HU80" s="198"/>
      <c r="HV80" s="198"/>
      <c r="HW80" s="198"/>
      <c r="HX80" s="198"/>
    </row>
    <row r="81" spans="1:233">
      <c r="A81" s="185" t="s">
        <v>492</v>
      </c>
      <c r="B81" s="197"/>
      <c r="C81" s="198"/>
      <c r="D81" s="198"/>
      <c r="E81" s="198"/>
      <c r="F81" s="198"/>
      <c r="G81" s="198"/>
      <c r="H81" s="199"/>
      <c r="I81" s="197"/>
      <c r="J81" s="198"/>
      <c r="K81" s="198"/>
      <c r="L81" s="198"/>
      <c r="M81" s="198"/>
      <c r="N81" s="198"/>
      <c r="O81" s="199"/>
      <c r="P81" s="198"/>
      <c r="Q81" s="198"/>
      <c r="R81" s="198"/>
      <c r="S81" s="198"/>
      <c r="T81" s="198"/>
      <c r="U81" s="198"/>
      <c r="V81" s="199"/>
      <c r="W81" s="198">
        <v>1254.5409999999999</v>
      </c>
      <c r="X81" s="198">
        <v>143.73400000000001</v>
      </c>
      <c r="Y81" s="198">
        <v>354.37599999999998</v>
      </c>
      <c r="Z81" s="198">
        <v>55.911000000000001</v>
      </c>
      <c r="AA81" s="198">
        <v>323.37099999999998</v>
      </c>
      <c r="AB81" s="198"/>
      <c r="AC81" s="199">
        <f t="shared" si="0"/>
        <v>377.149</v>
      </c>
      <c r="AD81" s="198"/>
      <c r="AE81" s="198">
        <v>40.658000000000001</v>
      </c>
      <c r="AF81" s="198">
        <v>99.816000000000003</v>
      </c>
      <c r="AG81" s="198">
        <v>106.93</v>
      </c>
      <c r="AH81" s="198">
        <v>56.286999999999999</v>
      </c>
      <c r="AI81" s="198"/>
      <c r="AJ81" s="198"/>
      <c r="AK81" s="197"/>
      <c r="AL81" s="198"/>
      <c r="AM81" s="198"/>
      <c r="AN81" s="198"/>
      <c r="AO81" s="198"/>
      <c r="AP81" s="198"/>
      <c r="AQ81" s="199"/>
      <c r="AR81" s="198">
        <v>63896.388107342478</v>
      </c>
      <c r="AS81" s="198">
        <v>15571.589360572149</v>
      </c>
      <c r="AT81" s="198">
        <v>5759.2736058161727</v>
      </c>
      <c r="AU81" s="198">
        <v>13936.628394579619</v>
      </c>
      <c r="AV81" s="198">
        <v>2657.5579707415864</v>
      </c>
      <c r="AW81" s="198"/>
      <c r="AX81" s="198">
        <v>25971.33877563295</v>
      </c>
      <c r="AY81" s="197"/>
      <c r="AZ81" s="198"/>
      <c r="BA81" s="198"/>
      <c r="BB81" s="198"/>
      <c r="BC81" s="198"/>
      <c r="BD81" s="198"/>
      <c r="BE81" s="198"/>
      <c r="BF81" s="197"/>
      <c r="BG81" s="198"/>
      <c r="BH81" s="198"/>
      <c r="BI81" s="198"/>
      <c r="BJ81" s="198"/>
      <c r="BK81" s="198"/>
      <c r="BL81" s="198"/>
      <c r="BM81" s="197"/>
      <c r="BN81" s="198"/>
      <c r="BO81" s="198"/>
      <c r="BP81" s="198"/>
      <c r="BQ81" s="198"/>
      <c r="BR81" s="198"/>
      <c r="BS81" s="198"/>
      <c r="BT81" s="197"/>
      <c r="BU81" s="198"/>
      <c r="BV81" s="198"/>
      <c r="BW81" s="198"/>
      <c r="BX81" s="198"/>
      <c r="BY81" s="198"/>
      <c r="BZ81" s="198"/>
      <c r="CA81" s="197"/>
      <c r="CB81" s="198"/>
      <c r="CC81" s="198"/>
      <c r="CD81" s="198"/>
      <c r="CE81" s="198"/>
      <c r="CF81" s="198"/>
      <c r="CG81" s="198"/>
      <c r="CH81" s="197"/>
      <c r="CI81" s="198"/>
      <c r="CJ81" s="198"/>
      <c r="CK81" s="198"/>
      <c r="CL81" s="198"/>
      <c r="CM81" s="198"/>
      <c r="CN81" s="198"/>
      <c r="CO81" s="197"/>
      <c r="CP81" s="198"/>
      <c r="CQ81" s="198"/>
      <c r="CR81" s="198"/>
      <c r="CS81" s="198"/>
      <c r="CT81" s="198"/>
      <c r="CU81" s="198"/>
      <c r="CV81" s="197"/>
      <c r="CW81" s="198"/>
      <c r="CX81" s="198"/>
      <c r="CY81" s="198"/>
      <c r="CZ81" s="198"/>
      <c r="DA81" s="198"/>
      <c r="DB81" s="198"/>
      <c r="DC81" s="197"/>
      <c r="DD81" s="198"/>
      <c r="DE81" s="198"/>
      <c r="DF81" s="198"/>
      <c r="DG81" s="198"/>
      <c r="DH81" s="198"/>
      <c r="DI81" s="198"/>
      <c r="DJ81" s="197"/>
      <c r="DK81" s="198"/>
      <c r="DL81" s="198"/>
      <c r="DM81" s="198"/>
      <c r="DN81" s="198"/>
      <c r="DO81" s="198"/>
      <c r="DP81" s="198"/>
      <c r="DQ81" s="197"/>
      <c r="DR81" s="198"/>
      <c r="DS81" s="198"/>
      <c r="DT81" s="198"/>
      <c r="DU81" s="198"/>
      <c r="DV81" s="198"/>
      <c r="DW81" s="198"/>
      <c r="DX81" s="197"/>
      <c r="DY81" s="198"/>
      <c r="DZ81" s="198"/>
      <c r="EA81" s="198"/>
      <c r="EB81" s="198"/>
      <c r="EC81" s="198"/>
      <c r="ED81" s="198"/>
      <c r="EE81" s="197"/>
      <c r="EF81" s="198"/>
      <c r="EG81" s="198"/>
      <c r="EH81" s="198"/>
      <c r="EI81" s="198"/>
      <c r="EJ81" s="198"/>
      <c r="EK81" s="198"/>
      <c r="EL81" s="197"/>
      <c r="EM81" s="198"/>
      <c r="EN81" s="198"/>
      <c r="EO81" s="198"/>
      <c r="EP81" s="198"/>
      <c r="EQ81" s="198"/>
      <c r="ER81" s="198"/>
      <c r="ES81" s="197"/>
      <c r="ET81" s="198"/>
      <c r="EU81" s="198"/>
      <c r="EV81" s="198"/>
      <c r="EW81" s="198"/>
      <c r="EX81" s="198"/>
      <c r="EY81" s="198"/>
      <c r="EZ81" s="197"/>
      <c r="FA81" s="198"/>
      <c r="FB81" s="198"/>
      <c r="FC81" s="198"/>
      <c r="FD81" s="198"/>
      <c r="FE81" s="198"/>
      <c r="FF81" s="198"/>
      <c r="FG81" s="197"/>
      <c r="FH81" s="198"/>
      <c r="FI81" s="198"/>
      <c r="FJ81" s="198"/>
      <c r="FK81" s="198"/>
      <c r="FL81" s="198"/>
      <c r="FM81" s="198"/>
      <c r="FN81" s="197"/>
      <c r="FO81" s="198"/>
      <c r="FP81" s="198"/>
      <c r="FQ81" s="198"/>
      <c r="FR81" s="198"/>
      <c r="FS81" s="198"/>
      <c r="FT81" s="199"/>
      <c r="FU81" s="197"/>
      <c r="FV81" s="198"/>
      <c r="FW81" s="198"/>
      <c r="FX81" s="198"/>
      <c r="FY81" s="198"/>
      <c r="FZ81" s="198"/>
      <c r="GA81" s="199"/>
      <c r="GB81" s="197"/>
      <c r="GC81" s="198"/>
      <c r="GD81" s="198"/>
      <c r="GE81" s="198"/>
      <c r="GF81" s="198"/>
      <c r="GG81" s="198"/>
      <c r="GH81" s="199"/>
      <c r="GI81" s="197"/>
      <c r="GJ81" s="198"/>
      <c r="GK81" s="198"/>
      <c r="GL81" s="198"/>
      <c r="GM81" s="198"/>
      <c r="GN81" s="198"/>
      <c r="GO81" s="199"/>
      <c r="GP81" s="197"/>
      <c r="GQ81" s="198"/>
      <c r="GR81" s="198"/>
      <c r="GS81" s="198"/>
      <c r="GT81" s="198"/>
      <c r="GU81" s="198"/>
      <c r="GV81" s="199"/>
      <c r="GW81" s="197"/>
      <c r="GX81" s="198"/>
      <c r="GY81" s="198"/>
      <c r="GZ81" s="198"/>
      <c r="HA81" s="198"/>
      <c r="HB81" s="198"/>
      <c r="HC81" s="199"/>
      <c r="HD81" s="197"/>
      <c r="HE81" s="198"/>
      <c r="HF81" s="198"/>
      <c r="HG81" s="198"/>
      <c r="HH81" s="198"/>
      <c r="HI81" s="198"/>
      <c r="HJ81" s="199"/>
      <c r="HK81" s="197"/>
      <c r="HL81" s="198"/>
      <c r="HM81" s="198"/>
      <c r="HN81" s="198"/>
      <c r="HO81" s="198"/>
      <c r="HP81" s="198"/>
      <c r="HQ81" s="198"/>
      <c r="HR81" s="197"/>
      <c r="HT81" s="198"/>
      <c r="HU81" s="198"/>
      <c r="HV81" s="198"/>
      <c r="HW81" s="198"/>
      <c r="HX81" s="198"/>
    </row>
    <row r="82" spans="1:233">
      <c r="A82" s="185" t="s">
        <v>493</v>
      </c>
      <c r="B82" s="197"/>
      <c r="C82" s="198"/>
      <c r="D82" s="198"/>
      <c r="E82" s="198"/>
      <c r="F82" s="198"/>
      <c r="G82" s="198"/>
      <c r="H82" s="199"/>
      <c r="I82" s="197"/>
      <c r="J82" s="198"/>
      <c r="K82" s="198"/>
      <c r="L82" s="198"/>
      <c r="M82" s="198"/>
      <c r="N82" s="198"/>
      <c r="O82" s="199"/>
      <c r="P82" s="198"/>
      <c r="Q82" s="198"/>
      <c r="R82" s="198"/>
      <c r="S82" s="198"/>
      <c r="T82" s="198"/>
      <c r="U82" s="198"/>
      <c r="V82" s="199"/>
      <c r="W82" s="198">
        <v>1267.345</v>
      </c>
      <c r="X82" s="198">
        <v>137.08500000000001</v>
      </c>
      <c r="Y82" s="198">
        <v>364.69499999999999</v>
      </c>
      <c r="Z82" s="198">
        <v>56.204999999999998</v>
      </c>
      <c r="AA82" s="198">
        <v>328.32499999999999</v>
      </c>
      <c r="AB82" s="198"/>
      <c r="AC82" s="199">
        <f t="shared" si="0"/>
        <v>381.03500000000003</v>
      </c>
      <c r="AD82" s="198"/>
      <c r="AE82" s="198">
        <v>37.74</v>
      </c>
      <c r="AF82" s="198">
        <v>99.396000000000001</v>
      </c>
      <c r="AG82" s="198">
        <v>106.506</v>
      </c>
      <c r="AH82" s="198">
        <v>56.838999999999999</v>
      </c>
      <c r="AI82" s="198"/>
      <c r="AJ82" s="198"/>
      <c r="AK82" s="197"/>
      <c r="AL82" s="198"/>
      <c r="AM82" s="198"/>
      <c r="AN82" s="198"/>
      <c r="AO82" s="198"/>
      <c r="AP82" s="198"/>
      <c r="AQ82" s="199"/>
      <c r="AR82" s="198">
        <v>94894.859532149654</v>
      </c>
      <c r="AS82" s="198">
        <v>23409.632328064708</v>
      </c>
      <c r="AT82" s="198">
        <v>8554.7407008191149</v>
      </c>
      <c r="AU82" s="198">
        <v>20267.280702031276</v>
      </c>
      <c r="AV82" s="198">
        <v>3953.6029566099905</v>
      </c>
      <c r="AW82" s="198"/>
      <c r="AX82" s="198">
        <v>38709.602844624562</v>
      </c>
      <c r="AY82" s="197"/>
      <c r="AZ82" s="198"/>
      <c r="BA82" s="198"/>
      <c r="BB82" s="198"/>
      <c r="BC82" s="198"/>
      <c r="BD82" s="198"/>
      <c r="BE82" s="198"/>
      <c r="BF82" s="197"/>
      <c r="BG82" s="198"/>
      <c r="BH82" s="198"/>
      <c r="BI82" s="198"/>
      <c r="BJ82" s="198"/>
      <c r="BK82" s="198"/>
      <c r="BL82" s="198"/>
      <c r="BM82" s="197"/>
      <c r="BN82" s="198"/>
      <c r="BO82" s="198"/>
      <c r="BP82" s="198"/>
      <c r="BQ82" s="198"/>
      <c r="BR82" s="198"/>
      <c r="BS82" s="198"/>
      <c r="BT82" s="197"/>
      <c r="BU82" s="198"/>
      <c r="BV82" s="198"/>
      <c r="BW82" s="198"/>
      <c r="BX82" s="198"/>
      <c r="BY82" s="198"/>
      <c r="BZ82" s="198"/>
      <c r="CA82" s="197"/>
      <c r="CB82" s="198"/>
      <c r="CC82" s="198"/>
      <c r="CD82" s="198"/>
      <c r="CE82" s="198"/>
      <c r="CF82" s="198"/>
      <c r="CG82" s="198"/>
      <c r="CH82" s="197"/>
      <c r="CI82" s="198"/>
      <c r="CJ82" s="198"/>
      <c r="CK82" s="198"/>
      <c r="CL82" s="198"/>
      <c r="CM82" s="198"/>
      <c r="CN82" s="198"/>
      <c r="CO82" s="197"/>
      <c r="CP82" s="198"/>
      <c r="CQ82" s="198"/>
      <c r="CR82" s="198"/>
      <c r="CS82" s="198"/>
      <c r="CT82" s="198"/>
      <c r="CU82" s="198"/>
      <c r="CV82" s="197"/>
      <c r="CW82" s="198"/>
      <c r="CX82" s="198"/>
      <c r="CY82" s="198"/>
      <c r="CZ82" s="198"/>
      <c r="DA82" s="198"/>
      <c r="DB82" s="198"/>
      <c r="DC82" s="197"/>
      <c r="DD82" s="198"/>
      <c r="DE82" s="198"/>
      <c r="DF82" s="198"/>
      <c r="DG82" s="198"/>
      <c r="DH82" s="198"/>
      <c r="DI82" s="198"/>
      <c r="DJ82" s="197"/>
      <c r="DK82" s="198"/>
      <c r="DL82" s="198"/>
      <c r="DM82" s="198"/>
      <c r="DN82" s="198"/>
      <c r="DO82" s="198"/>
      <c r="DP82" s="198"/>
      <c r="DQ82" s="197"/>
      <c r="DR82" s="198"/>
      <c r="DS82" s="198"/>
      <c r="DT82" s="198"/>
      <c r="DU82" s="198"/>
      <c r="DV82" s="198"/>
      <c r="DW82" s="198"/>
      <c r="DX82" s="197"/>
      <c r="DY82" s="198"/>
      <c r="DZ82" s="198"/>
      <c r="EA82" s="198"/>
      <c r="EB82" s="198"/>
      <c r="EC82" s="198"/>
      <c r="ED82" s="198"/>
      <c r="EE82" s="197"/>
      <c r="EF82" s="198"/>
      <c r="EG82" s="198"/>
      <c r="EH82" s="198"/>
      <c r="EI82" s="198"/>
      <c r="EJ82" s="198"/>
      <c r="EK82" s="198"/>
      <c r="EL82" s="197"/>
      <c r="EM82" s="198"/>
      <c r="EN82" s="198"/>
      <c r="EO82" s="198"/>
      <c r="EP82" s="198"/>
      <c r="EQ82" s="198"/>
      <c r="ER82" s="198"/>
      <c r="ES82" s="197"/>
      <c r="ET82" s="198"/>
      <c r="EU82" s="198"/>
      <c r="EV82" s="198"/>
      <c r="EW82" s="198"/>
      <c r="EX82" s="198"/>
      <c r="EY82" s="198"/>
      <c r="EZ82" s="197"/>
      <c r="FA82" s="198"/>
      <c r="FB82" s="198"/>
      <c r="FC82" s="198"/>
      <c r="FD82" s="198"/>
      <c r="FE82" s="198"/>
      <c r="FF82" s="198"/>
      <c r="FG82" s="197"/>
      <c r="FH82" s="198"/>
      <c r="FI82" s="198"/>
      <c r="FJ82" s="198"/>
      <c r="FK82" s="198"/>
      <c r="FL82" s="198"/>
      <c r="FM82" s="198"/>
      <c r="FN82" s="197"/>
      <c r="FO82" s="198"/>
      <c r="FP82" s="198"/>
      <c r="FQ82" s="198"/>
      <c r="FR82" s="198"/>
      <c r="FS82" s="198"/>
      <c r="FT82" s="199"/>
      <c r="FU82" s="197"/>
      <c r="FV82" s="198"/>
      <c r="FW82" s="198"/>
      <c r="FX82" s="198"/>
      <c r="FY82" s="198"/>
      <c r="FZ82" s="198"/>
      <c r="GA82" s="199"/>
      <c r="GB82" s="197"/>
      <c r="GC82" s="198"/>
      <c r="GD82" s="198"/>
      <c r="GE82" s="198"/>
      <c r="GF82" s="198"/>
      <c r="GG82" s="198"/>
      <c r="GH82" s="199"/>
      <c r="GI82" s="197"/>
      <c r="GJ82" s="198"/>
      <c r="GK82" s="198"/>
      <c r="GL82" s="198"/>
      <c r="GM82" s="198"/>
      <c r="GN82" s="198"/>
      <c r="GO82" s="199"/>
      <c r="GP82" s="197"/>
      <c r="GQ82" s="198"/>
      <c r="GR82" s="198"/>
      <c r="GS82" s="198"/>
      <c r="GT82" s="198"/>
      <c r="GU82" s="198"/>
      <c r="GV82" s="199"/>
      <c r="GW82" s="197"/>
      <c r="GX82" s="198"/>
      <c r="GY82" s="198"/>
      <c r="GZ82" s="198"/>
      <c r="HA82" s="198"/>
      <c r="HB82" s="198"/>
      <c r="HC82" s="199"/>
      <c r="HD82" s="197"/>
      <c r="HE82" s="198"/>
      <c r="HF82" s="198"/>
      <c r="HG82" s="198"/>
      <c r="HH82" s="198"/>
      <c r="HI82" s="198"/>
      <c r="HJ82" s="199"/>
      <c r="HK82" s="197"/>
      <c r="HL82" s="198"/>
      <c r="HM82" s="198"/>
      <c r="HN82" s="198"/>
      <c r="HO82" s="198"/>
      <c r="HP82" s="198"/>
      <c r="HQ82" s="198"/>
      <c r="HR82" s="197"/>
      <c r="HT82" s="198"/>
      <c r="HU82" s="198"/>
      <c r="HV82" s="198"/>
      <c r="HW82" s="198"/>
      <c r="HX82" s="198"/>
    </row>
    <row r="83" spans="1:233">
      <c r="A83" s="185" t="s">
        <v>494</v>
      </c>
      <c r="B83" s="197"/>
      <c r="C83" s="198"/>
      <c r="D83" s="198"/>
      <c r="E83" s="198"/>
      <c r="F83" s="198"/>
      <c r="G83" s="198"/>
      <c r="H83" s="199"/>
      <c r="I83" s="197"/>
      <c r="J83" s="198"/>
      <c r="K83" s="198"/>
      <c r="L83" s="198"/>
      <c r="M83" s="198"/>
      <c r="N83" s="198"/>
      <c r="O83" s="199"/>
      <c r="P83" s="198"/>
      <c r="Q83" s="198"/>
      <c r="R83" s="198"/>
      <c r="S83" s="198"/>
      <c r="T83" s="198"/>
      <c r="U83" s="198"/>
      <c r="V83" s="199"/>
      <c r="W83" s="198">
        <v>1294.4159999999999</v>
      </c>
      <c r="X83" s="198">
        <v>137.429</v>
      </c>
      <c r="Y83" s="198">
        <v>378.55700000000002</v>
      </c>
      <c r="Z83" s="198">
        <v>56.307000000000002</v>
      </c>
      <c r="AA83" s="198">
        <v>328.20299999999997</v>
      </c>
      <c r="AB83" s="198"/>
      <c r="AC83" s="199">
        <f t="shared" ref="AC83:AC146" si="1">W83-X83-Y83-Z83-AA83</f>
        <v>393.91999999999985</v>
      </c>
      <c r="AD83" s="198">
        <f>[1]datos!$S215</f>
        <v>425.22499999999997</v>
      </c>
      <c r="AE83" s="198">
        <v>36.027999999999999</v>
      </c>
      <c r="AF83" s="198">
        <v>101.911</v>
      </c>
      <c r="AG83" s="198">
        <v>107.73</v>
      </c>
      <c r="AH83" s="198">
        <v>56.317999999999998</v>
      </c>
      <c r="AI83" s="198">
        <f>[1]datos!$U215</f>
        <v>43.063000000000002</v>
      </c>
      <c r="AJ83" s="198">
        <f>AD83-AE83-AF83-AG83-AH83-AI83</f>
        <v>80.174999999999926</v>
      </c>
      <c r="AK83" s="197"/>
      <c r="AL83" s="198"/>
      <c r="AM83" s="198"/>
      <c r="AN83" s="198"/>
      <c r="AO83" s="198"/>
      <c r="AP83" s="198"/>
      <c r="AQ83" s="209"/>
      <c r="AR83" s="198">
        <v>140753.36939452359</v>
      </c>
      <c r="AS83" s="198">
        <v>34714.241555456189</v>
      </c>
      <c r="AT83" s="198">
        <v>13997.244810236116</v>
      </c>
      <c r="AU83" s="198">
        <v>28428.199142848964</v>
      </c>
      <c r="AV83" s="198">
        <v>6690.8249266925595</v>
      </c>
      <c r="AW83" s="198"/>
      <c r="AX83" s="198">
        <v>56922.85895928977</v>
      </c>
      <c r="AY83" s="197"/>
      <c r="AZ83" s="198"/>
      <c r="BA83" s="198"/>
      <c r="BB83" s="198"/>
      <c r="BC83" s="198"/>
      <c r="BD83" s="198"/>
      <c r="BE83" s="198"/>
      <c r="BF83" s="197"/>
      <c r="BG83" s="198"/>
      <c r="BH83" s="198"/>
      <c r="BI83" s="198"/>
      <c r="BJ83" s="198"/>
      <c r="BK83" s="198"/>
      <c r="BL83" s="198"/>
      <c r="BM83" s="197"/>
      <c r="BN83" s="198"/>
      <c r="BO83" s="198"/>
      <c r="BP83" s="198"/>
      <c r="BQ83" s="198"/>
      <c r="BR83" s="198"/>
      <c r="BS83" s="198"/>
      <c r="BT83" s="197"/>
      <c r="BU83" s="198"/>
      <c r="BV83" s="198"/>
      <c r="BW83" s="198"/>
      <c r="BX83" s="198"/>
      <c r="BY83" s="198"/>
      <c r="BZ83" s="198"/>
      <c r="CA83" s="197"/>
      <c r="CB83" s="198"/>
      <c r="CC83" s="198"/>
      <c r="CD83" s="198"/>
      <c r="CE83" s="198"/>
      <c r="CF83" s="198"/>
      <c r="CG83" s="198"/>
      <c r="CH83" s="197"/>
      <c r="CI83" s="198"/>
      <c r="CJ83" s="198"/>
      <c r="CK83" s="198"/>
      <c r="CL83" s="198"/>
      <c r="CM83" s="198"/>
      <c r="CN83" s="198"/>
      <c r="CO83" s="197"/>
      <c r="CP83" s="198"/>
      <c r="CQ83" s="198"/>
      <c r="CR83" s="198"/>
      <c r="CS83" s="198"/>
      <c r="CT83" s="198"/>
      <c r="CU83" s="198"/>
      <c r="CV83" s="197"/>
      <c r="CW83" s="198"/>
      <c r="CX83" s="198"/>
      <c r="CY83" s="198"/>
      <c r="CZ83" s="198"/>
      <c r="DA83" s="198"/>
      <c r="DB83" s="198"/>
      <c r="DC83" s="197"/>
      <c r="DD83" s="198"/>
      <c r="DE83" s="198"/>
      <c r="DF83" s="198"/>
      <c r="DG83" s="198"/>
      <c r="DH83" s="198"/>
      <c r="DI83" s="198"/>
      <c r="DJ83" s="197"/>
      <c r="DK83" s="198"/>
      <c r="DL83" s="198"/>
      <c r="DM83" s="198"/>
      <c r="DN83" s="198"/>
      <c r="DO83" s="198"/>
      <c r="DP83" s="198"/>
      <c r="DQ83" s="197"/>
      <c r="DR83" s="198"/>
      <c r="DS83" s="198"/>
      <c r="DT83" s="198"/>
      <c r="DU83" s="198"/>
      <c r="DV83" s="198"/>
      <c r="DW83" s="198"/>
      <c r="DX83" s="197"/>
      <c r="DY83" s="198"/>
      <c r="DZ83" s="198"/>
      <c r="EA83" s="198"/>
      <c r="EB83" s="198"/>
      <c r="EC83" s="198"/>
      <c r="ED83" s="198"/>
      <c r="EE83" s="197"/>
      <c r="EF83" s="198"/>
      <c r="EG83" s="198"/>
      <c r="EH83" s="198"/>
      <c r="EI83" s="198"/>
      <c r="EJ83" s="198"/>
      <c r="EK83" s="198"/>
      <c r="EL83" s="197"/>
      <c r="EM83" s="198"/>
      <c r="EN83" s="198"/>
      <c r="EO83" s="198"/>
      <c r="EP83" s="198"/>
      <c r="EQ83" s="198"/>
      <c r="ER83" s="198"/>
      <c r="ES83" s="197"/>
      <c r="ET83" s="198"/>
      <c r="EU83" s="198"/>
      <c r="EV83" s="198"/>
      <c r="EW83" s="198"/>
      <c r="EX83" s="198"/>
      <c r="EY83" s="198"/>
      <c r="EZ83" s="197"/>
      <c r="FA83" s="198"/>
      <c r="FB83" s="198"/>
      <c r="FC83" s="198"/>
      <c r="FD83" s="198"/>
      <c r="FE83" s="198"/>
      <c r="FF83" s="198"/>
      <c r="FG83" s="197"/>
      <c r="FH83" s="198"/>
      <c r="FI83" s="198"/>
      <c r="FJ83" s="198"/>
      <c r="FK83" s="198"/>
      <c r="FL83" s="198"/>
      <c r="FM83" s="198"/>
      <c r="FN83" s="197"/>
      <c r="FO83" s="198"/>
      <c r="FP83" s="198"/>
      <c r="FQ83" s="198"/>
      <c r="FR83" s="198"/>
      <c r="FS83" s="198"/>
      <c r="FT83" s="199"/>
      <c r="FU83" s="197"/>
      <c r="FV83" s="198"/>
      <c r="FW83" s="198"/>
      <c r="FX83" s="198"/>
      <c r="FY83" s="198"/>
      <c r="FZ83" s="198"/>
      <c r="GA83" s="199"/>
      <c r="GB83" s="197"/>
      <c r="GC83" s="198"/>
      <c r="GD83" s="198"/>
      <c r="GE83" s="198"/>
      <c r="GF83" s="198"/>
      <c r="GG83" s="198"/>
      <c r="GH83" s="199"/>
      <c r="GI83" s="197"/>
      <c r="GJ83" s="198"/>
      <c r="GK83" s="198"/>
      <c r="GL83" s="198"/>
      <c r="GM83" s="198"/>
      <c r="GN83" s="198"/>
      <c r="GO83" s="199"/>
      <c r="GP83" s="197"/>
      <c r="GQ83" s="198"/>
      <c r="GR83" s="198"/>
      <c r="GS83" s="198"/>
      <c r="GT83" s="198"/>
      <c r="GU83" s="198"/>
      <c r="GV83" s="199"/>
      <c r="GW83" s="197"/>
      <c r="GX83" s="198"/>
      <c r="GY83" s="198"/>
      <c r="GZ83" s="198"/>
      <c r="HA83" s="198"/>
      <c r="HB83" s="198"/>
      <c r="HC83" s="199"/>
      <c r="HD83" s="197"/>
      <c r="HE83" s="198"/>
      <c r="HF83" s="198"/>
      <c r="HG83" s="198"/>
      <c r="HH83" s="198"/>
      <c r="HI83" s="198"/>
      <c r="HJ83" s="199"/>
      <c r="HK83" s="197"/>
      <c r="HL83" s="198"/>
      <c r="HM83" s="198"/>
      <c r="HN83" s="198"/>
      <c r="HO83" s="198"/>
      <c r="HP83" s="198"/>
      <c r="HQ83" s="198"/>
      <c r="HR83" s="197"/>
      <c r="HT83" s="198"/>
      <c r="HU83" s="198"/>
      <c r="HV83" s="198"/>
      <c r="HW83" s="198"/>
      <c r="HX83" s="198"/>
    </row>
    <row r="84" spans="1:233">
      <c r="A84" s="185" t="s">
        <v>495</v>
      </c>
      <c r="B84" s="197"/>
      <c r="C84" s="198"/>
      <c r="D84" s="198"/>
      <c r="E84" s="198"/>
      <c r="F84" s="198"/>
      <c r="G84" s="198"/>
      <c r="H84" s="199"/>
      <c r="I84" s="197"/>
      <c r="J84" s="198"/>
      <c r="K84" s="198"/>
      <c r="L84" s="198"/>
      <c r="M84" s="198"/>
      <c r="N84" s="198"/>
      <c r="O84" s="199"/>
      <c r="P84" s="198"/>
      <c r="Q84" s="198"/>
      <c r="R84" s="198"/>
      <c r="S84" s="198"/>
      <c r="T84" s="198"/>
      <c r="U84" s="198"/>
      <c r="V84" s="199"/>
      <c r="W84" s="198">
        <v>1277.963</v>
      </c>
      <c r="X84" s="198">
        <v>137.17699999999999</v>
      </c>
      <c r="Y84" s="198">
        <v>381.21600000000001</v>
      </c>
      <c r="Z84" s="198">
        <v>55.502000000000002</v>
      </c>
      <c r="AA84" s="198">
        <v>332.33199999999999</v>
      </c>
      <c r="AB84" s="198"/>
      <c r="AC84" s="199">
        <f t="shared" si="1"/>
        <v>371.7360000000001</v>
      </c>
      <c r="AD84" s="198"/>
      <c r="AE84" s="198">
        <v>36.767000000000003</v>
      </c>
      <c r="AF84" s="198">
        <v>100.61099999999999</v>
      </c>
      <c r="AG84" s="198">
        <v>108.54400000000001</v>
      </c>
      <c r="AH84" s="198">
        <v>58.683</v>
      </c>
      <c r="AI84" s="198"/>
      <c r="AJ84" s="198"/>
      <c r="AK84" s="197"/>
      <c r="AL84" s="198"/>
      <c r="AM84" s="198"/>
      <c r="AN84" s="198"/>
      <c r="AO84" s="198"/>
      <c r="AP84" s="198"/>
      <c r="AQ84" s="199"/>
      <c r="AR84" s="198">
        <v>151409.67405524608</v>
      </c>
      <c r="AS84" s="198">
        <v>37291.537724070164</v>
      </c>
      <c r="AT84" s="198">
        <v>14946.062991725808</v>
      </c>
      <c r="AU84" s="198">
        <v>32712.220487361661</v>
      </c>
      <c r="AV84" s="198">
        <v>8424.0854805039817</v>
      </c>
      <c r="AW84" s="198"/>
      <c r="AX84" s="198">
        <v>58035.767371584472</v>
      </c>
      <c r="AY84" s="197"/>
      <c r="AZ84" s="198"/>
      <c r="BA84" s="198"/>
      <c r="BB84" s="198"/>
      <c r="BC84" s="198"/>
      <c r="BD84" s="198"/>
      <c r="BE84" s="198"/>
      <c r="BF84" s="197"/>
      <c r="BG84" s="198"/>
      <c r="BH84" s="198"/>
      <c r="BI84" s="198"/>
      <c r="BJ84" s="198"/>
      <c r="BK84" s="198"/>
      <c r="BL84" s="198"/>
      <c r="BM84" s="197"/>
      <c r="BN84" s="198"/>
      <c r="BO84" s="198"/>
      <c r="BP84" s="198"/>
      <c r="BQ84" s="198"/>
      <c r="BR84" s="198"/>
      <c r="BS84" s="198"/>
      <c r="BT84" s="197"/>
      <c r="BU84" s="198"/>
      <c r="BV84" s="198"/>
      <c r="BW84" s="198"/>
      <c r="BX84" s="198"/>
      <c r="BY84" s="198"/>
      <c r="BZ84" s="198"/>
      <c r="CA84" s="197"/>
      <c r="CB84" s="198"/>
      <c r="CC84" s="198"/>
      <c r="CD84" s="198"/>
      <c r="CE84" s="198"/>
      <c r="CF84" s="198"/>
      <c r="CG84" s="198"/>
      <c r="CH84" s="197"/>
      <c r="CI84" s="198"/>
      <c r="CJ84" s="198"/>
      <c r="CK84" s="198"/>
      <c r="CL84" s="198"/>
      <c r="CM84" s="198"/>
      <c r="CN84" s="198"/>
      <c r="CO84" s="197"/>
      <c r="CP84" s="198"/>
      <c r="CQ84" s="198"/>
      <c r="CR84" s="198"/>
      <c r="CS84" s="198"/>
      <c r="CT84" s="198"/>
      <c r="CU84" s="198"/>
      <c r="CV84" s="197"/>
      <c r="CW84" s="198"/>
      <c r="CX84" s="198"/>
      <c r="CY84" s="198"/>
      <c r="CZ84" s="198"/>
      <c r="DA84" s="198"/>
      <c r="DB84" s="198"/>
      <c r="DC84" s="197"/>
      <c r="DD84" s="198"/>
      <c r="DE84" s="198"/>
      <c r="DF84" s="198"/>
      <c r="DG84" s="198"/>
      <c r="DH84" s="198"/>
      <c r="DI84" s="198"/>
      <c r="DJ84" s="197"/>
      <c r="DK84" s="198"/>
      <c r="DL84" s="198"/>
      <c r="DM84" s="198"/>
      <c r="DN84" s="198"/>
      <c r="DO84" s="198"/>
      <c r="DP84" s="198"/>
      <c r="DQ84" s="197"/>
      <c r="DR84" s="198"/>
      <c r="DS84" s="198"/>
      <c r="DT84" s="198"/>
      <c r="DU84" s="198"/>
      <c r="DV84" s="198"/>
      <c r="DW84" s="198"/>
      <c r="DX84" s="197"/>
      <c r="DY84" s="198"/>
      <c r="DZ84" s="198"/>
      <c r="EA84" s="198"/>
      <c r="EB84" s="198"/>
      <c r="EC84" s="198"/>
      <c r="ED84" s="198"/>
      <c r="EE84" s="197"/>
      <c r="EF84" s="198"/>
      <c r="EG84" s="198"/>
      <c r="EH84" s="198"/>
      <c r="EI84" s="198"/>
      <c r="EJ84" s="198"/>
      <c r="EK84" s="198"/>
      <c r="EL84" s="197"/>
      <c r="EM84" s="198"/>
      <c r="EN84" s="198"/>
      <c r="EO84" s="198"/>
      <c r="EP84" s="198"/>
      <c r="EQ84" s="198"/>
      <c r="ER84" s="198"/>
      <c r="ES84" s="197"/>
      <c r="ET84" s="198"/>
      <c r="EU84" s="198"/>
      <c r="EV84" s="198"/>
      <c r="EW84" s="198"/>
      <c r="EX84" s="198"/>
      <c r="EY84" s="198"/>
      <c r="EZ84" s="197"/>
      <c r="FA84" s="198"/>
      <c r="FB84" s="198"/>
      <c r="FC84" s="198"/>
      <c r="FD84" s="198"/>
      <c r="FE84" s="198"/>
      <c r="FF84" s="198"/>
      <c r="FG84" s="197"/>
      <c r="FH84" s="198"/>
      <c r="FI84" s="198"/>
      <c r="FJ84" s="198"/>
      <c r="FK84" s="198"/>
      <c r="FL84" s="198"/>
      <c r="FM84" s="198"/>
      <c r="FN84" s="197"/>
      <c r="FO84" s="198"/>
      <c r="FP84" s="198"/>
      <c r="FQ84" s="198"/>
      <c r="FR84" s="198"/>
      <c r="FS84" s="198"/>
      <c r="FT84" s="199"/>
      <c r="FU84" s="197"/>
      <c r="FV84" s="198"/>
      <c r="FW84" s="198"/>
      <c r="FX84" s="198"/>
      <c r="FY84" s="198"/>
      <c r="FZ84" s="198"/>
      <c r="GA84" s="199"/>
      <c r="GB84" s="197"/>
      <c r="GC84" s="198"/>
      <c r="GD84" s="198"/>
      <c r="GE84" s="198"/>
      <c r="GF84" s="198"/>
      <c r="GG84" s="198"/>
      <c r="GH84" s="199"/>
      <c r="GI84" s="197"/>
      <c r="GJ84" s="198"/>
      <c r="GK84" s="198"/>
      <c r="GL84" s="198"/>
      <c r="GM84" s="198"/>
      <c r="GN84" s="198"/>
      <c r="GO84" s="199"/>
      <c r="GP84" s="197"/>
      <c r="GQ84" s="198"/>
      <c r="GR84" s="198"/>
      <c r="GS84" s="198"/>
      <c r="GT84" s="198"/>
      <c r="GU84" s="198"/>
      <c r="GV84" s="199"/>
      <c r="GW84" s="197"/>
      <c r="GX84" s="198"/>
      <c r="GY84" s="198"/>
      <c r="GZ84" s="198"/>
      <c r="HA84" s="198"/>
      <c r="HB84" s="198"/>
      <c r="HC84" s="199"/>
      <c r="HD84" s="197"/>
      <c r="HE84" s="198"/>
      <c r="HF84" s="198"/>
      <c r="HG84" s="198"/>
      <c r="HH84" s="198"/>
      <c r="HI84" s="198"/>
      <c r="HJ84" s="199"/>
      <c r="HK84" s="197"/>
      <c r="HL84" s="198"/>
      <c r="HM84" s="198"/>
      <c r="HN84" s="198"/>
      <c r="HO84" s="198"/>
      <c r="HP84" s="198"/>
      <c r="HQ84" s="198"/>
      <c r="HR84" s="197"/>
      <c r="HT84" s="198"/>
      <c r="HU84" s="198"/>
      <c r="HV84" s="198"/>
      <c r="HW84" s="198"/>
      <c r="HX84" s="198"/>
    </row>
    <row r="85" spans="1:233">
      <c r="A85" s="185" t="s">
        <v>496</v>
      </c>
      <c r="B85" s="197"/>
      <c r="C85" s="198"/>
      <c r="D85" s="198"/>
      <c r="E85" s="198"/>
      <c r="F85" s="198"/>
      <c r="G85" s="198"/>
      <c r="H85" s="199"/>
      <c r="I85" s="197"/>
      <c r="J85" s="198"/>
      <c r="K85" s="198"/>
      <c r="L85" s="198"/>
      <c r="M85" s="198"/>
      <c r="N85" s="198"/>
      <c r="O85" s="199"/>
      <c r="P85" s="198"/>
      <c r="Q85" s="198"/>
      <c r="R85" s="198"/>
      <c r="S85" s="198"/>
      <c r="T85" s="198"/>
      <c r="U85" s="198"/>
      <c r="V85" s="199"/>
      <c r="W85" s="198">
        <v>1331.0519999999999</v>
      </c>
      <c r="X85" s="198">
        <v>134.518</v>
      </c>
      <c r="Y85" s="198">
        <v>396.15</v>
      </c>
      <c r="Z85" s="198">
        <v>55.609000000000002</v>
      </c>
      <c r="AA85" s="198">
        <v>335.92</v>
      </c>
      <c r="AB85" s="198"/>
      <c r="AC85" s="199">
        <f t="shared" si="1"/>
        <v>408.85499999999985</v>
      </c>
      <c r="AD85" s="198"/>
      <c r="AE85" s="198">
        <v>31.376000000000001</v>
      </c>
      <c r="AF85" s="198">
        <v>98.31</v>
      </c>
      <c r="AG85" s="198">
        <v>114.73399999999999</v>
      </c>
      <c r="AH85" s="198">
        <v>57.155999999999999</v>
      </c>
      <c r="AI85" s="198"/>
      <c r="AJ85" s="198"/>
      <c r="AK85" s="197"/>
      <c r="AL85" s="198"/>
      <c r="AM85" s="198"/>
      <c r="AN85" s="198"/>
      <c r="AO85" s="198"/>
      <c r="AP85" s="198"/>
      <c r="AQ85" s="199"/>
      <c r="AR85" s="198">
        <v>161528.42036871196</v>
      </c>
      <c r="AS85" s="198">
        <v>39293.240258609701</v>
      </c>
      <c r="AT85" s="198">
        <v>16724.501504817763</v>
      </c>
      <c r="AU85" s="198">
        <v>33969.578433233924</v>
      </c>
      <c r="AV85" s="198">
        <v>10974.726918182741</v>
      </c>
      <c r="AW85" s="198"/>
      <c r="AX85" s="198">
        <v>60566.37325386783</v>
      </c>
      <c r="AY85" s="197"/>
      <c r="AZ85" s="198"/>
      <c r="BA85" s="198"/>
      <c r="BB85" s="198"/>
      <c r="BC85" s="198"/>
      <c r="BD85" s="198"/>
      <c r="BE85" s="198"/>
      <c r="BF85" s="197"/>
      <c r="BG85" s="198"/>
      <c r="BH85" s="198"/>
      <c r="BI85" s="198"/>
      <c r="BJ85" s="198"/>
      <c r="BK85" s="198"/>
      <c r="BL85" s="198"/>
      <c r="BM85" s="197"/>
      <c r="BN85" s="198"/>
      <c r="BO85" s="198"/>
      <c r="BP85" s="198"/>
      <c r="BQ85" s="198"/>
      <c r="BR85" s="198"/>
      <c r="BS85" s="198"/>
      <c r="BT85" s="197"/>
      <c r="BU85" s="198"/>
      <c r="BV85" s="198"/>
      <c r="BW85" s="198"/>
      <c r="BX85" s="198"/>
      <c r="BY85" s="198"/>
      <c r="BZ85" s="198"/>
      <c r="CA85" s="197"/>
      <c r="CB85" s="198"/>
      <c r="CC85" s="198"/>
      <c r="CD85" s="198"/>
      <c r="CE85" s="198"/>
      <c r="CF85" s="198"/>
      <c r="CG85" s="198"/>
      <c r="CH85" s="197"/>
      <c r="CI85" s="198"/>
      <c r="CJ85" s="198"/>
      <c r="CK85" s="198"/>
      <c r="CL85" s="198"/>
      <c r="CM85" s="198"/>
      <c r="CN85" s="198"/>
      <c r="CO85" s="197"/>
      <c r="CP85" s="198"/>
      <c r="CQ85" s="198"/>
      <c r="CR85" s="198"/>
      <c r="CS85" s="198"/>
      <c r="CT85" s="198"/>
      <c r="CU85" s="198"/>
      <c r="CV85" s="197"/>
      <c r="CW85" s="198"/>
      <c r="CX85" s="198"/>
      <c r="CY85" s="198"/>
      <c r="CZ85" s="198"/>
      <c r="DA85" s="198"/>
      <c r="DB85" s="198"/>
      <c r="DC85" s="197"/>
      <c r="DD85" s="198"/>
      <c r="DE85" s="198"/>
      <c r="DF85" s="198"/>
      <c r="DG85" s="198"/>
      <c r="DH85" s="198"/>
      <c r="DI85" s="198"/>
      <c r="DJ85" s="197"/>
      <c r="DK85" s="198"/>
      <c r="DL85" s="198"/>
      <c r="DM85" s="198"/>
      <c r="DN85" s="198"/>
      <c r="DO85" s="198"/>
      <c r="DP85" s="198"/>
      <c r="DQ85" s="197"/>
      <c r="DR85" s="198"/>
      <c r="DS85" s="198"/>
      <c r="DT85" s="198"/>
      <c r="DU85" s="198"/>
      <c r="DV85" s="198"/>
      <c r="DW85" s="198"/>
      <c r="DX85" s="197"/>
      <c r="DY85" s="198"/>
      <c r="DZ85" s="198"/>
      <c r="EA85" s="198"/>
      <c r="EB85" s="198"/>
      <c r="EC85" s="198"/>
      <c r="ED85" s="198"/>
      <c r="EE85" s="197"/>
      <c r="EF85" s="198"/>
      <c r="EG85" s="198"/>
      <c r="EH85" s="198"/>
      <c r="EI85" s="198"/>
      <c r="EJ85" s="198"/>
      <c r="EK85" s="198"/>
      <c r="EL85" s="197"/>
      <c r="EM85" s="198"/>
      <c r="EN85" s="198"/>
      <c r="EO85" s="198"/>
      <c r="EP85" s="198"/>
      <c r="EQ85" s="198"/>
      <c r="ER85" s="198"/>
      <c r="ES85" s="197"/>
      <c r="ET85" s="198"/>
      <c r="EU85" s="198"/>
      <c r="EV85" s="198"/>
      <c r="EW85" s="198"/>
      <c r="EX85" s="198"/>
      <c r="EY85" s="198"/>
      <c r="EZ85" s="197"/>
      <c r="FA85" s="198"/>
      <c r="FB85" s="198"/>
      <c r="FC85" s="198"/>
      <c r="FD85" s="198"/>
      <c r="FE85" s="198"/>
      <c r="FF85" s="198"/>
      <c r="FG85" s="197"/>
      <c r="FH85" s="198"/>
      <c r="FI85" s="198"/>
      <c r="FJ85" s="198"/>
      <c r="FK85" s="198"/>
      <c r="FL85" s="198"/>
      <c r="FM85" s="198"/>
      <c r="FN85" s="197"/>
      <c r="FO85" s="198"/>
      <c r="FP85" s="198"/>
      <c r="FQ85" s="198"/>
      <c r="FR85" s="198"/>
      <c r="FS85" s="198"/>
      <c r="FT85" s="199"/>
      <c r="FU85" s="197"/>
      <c r="FV85" s="198"/>
      <c r="FW85" s="198"/>
      <c r="FX85" s="198"/>
      <c r="FY85" s="198"/>
      <c r="FZ85" s="198"/>
      <c r="GA85" s="199"/>
      <c r="GB85" s="197"/>
      <c r="GC85" s="198"/>
      <c r="GD85" s="198"/>
      <c r="GE85" s="198"/>
      <c r="GF85" s="198"/>
      <c r="GG85" s="198"/>
      <c r="GH85" s="199"/>
      <c r="GI85" s="197"/>
      <c r="GJ85" s="198"/>
      <c r="GK85" s="198"/>
      <c r="GL85" s="198"/>
      <c r="GM85" s="198"/>
      <c r="GN85" s="198"/>
      <c r="GO85" s="199"/>
      <c r="GP85" s="197"/>
      <c r="GQ85" s="198"/>
      <c r="GR85" s="198"/>
      <c r="GS85" s="198"/>
      <c r="GT85" s="198"/>
      <c r="GU85" s="198"/>
      <c r="GV85" s="199"/>
      <c r="GW85" s="197"/>
      <c r="GX85" s="198"/>
      <c r="GY85" s="198"/>
      <c r="GZ85" s="198"/>
      <c r="HA85" s="198"/>
      <c r="HB85" s="198"/>
      <c r="HC85" s="199"/>
      <c r="HD85" s="197"/>
      <c r="HE85" s="198"/>
      <c r="HF85" s="198"/>
      <c r="HG85" s="198"/>
      <c r="HH85" s="198"/>
      <c r="HI85" s="198"/>
      <c r="HJ85" s="199"/>
      <c r="HK85" s="197"/>
      <c r="HL85" s="198"/>
      <c r="HM85" s="198"/>
      <c r="HN85" s="198"/>
      <c r="HO85" s="198"/>
      <c r="HP85" s="198"/>
      <c r="HQ85" s="198"/>
      <c r="HR85" s="197"/>
      <c r="HT85" s="198"/>
      <c r="HU85" s="198"/>
      <c r="HV85" s="198"/>
      <c r="HW85" s="198"/>
      <c r="HX85" s="198"/>
    </row>
    <row r="86" spans="1:233">
      <c r="A86" s="185" t="s">
        <v>497</v>
      </c>
      <c r="B86" s="197"/>
      <c r="C86" s="198"/>
      <c r="D86" s="198"/>
      <c r="E86" s="198"/>
      <c r="F86" s="198"/>
      <c r="G86" s="198"/>
      <c r="H86" s="199"/>
      <c r="I86" s="197"/>
      <c r="J86" s="198"/>
      <c r="K86" s="198"/>
      <c r="L86" s="198"/>
      <c r="M86" s="198"/>
      <c r="N86" s="198"/>
      <c r="O86" s="199"/>
      <c r="P86" s="198"/>
      <c r="Q86" s="198"/>
      <c r="R86" s="198"/>
      <c r="S86" s="198"/>
      <c r="T86" s="198"/>
      <c r="U86" s="198"/>
      <c r="V86" s="199"/>
      <c r="W86" s="198">
        <v>1377.6410000000001</v>
      </c>
      <c r="X86" s="198">
        <v>120.07899999999999</v>
      </c>
      <c r="Y86" s="198">
        <v>407.07499999999999</v>
      </c>
      <c r="Z86" s="198">
        <v>70.608999999999995</v>
      </c>
      <c r="AA86" s="198">
        <v>345.053</v>
      </c>
      <c r="AB86" s="198"/>
      <c r="AC86" s="199">
        <f t="shared" si="1"/>
        <v>434.82500000000005</v>
      </c>
      <c r="AD86" s="198">
        <f>[1]datos!$S218</f>
        <v>436.17600000000004</v>
      </c>
      <c r="AE86" s="198">
        <v>32.338999999999999</v>
      </c>
      <c r="AF86" s="198">
        <v>103.524</v>
      </c>
      <c r="AG86" s="198">
        <v>115.378</v>
      </c>
      <c r="AH86" s="198">
        <v>56.851999999999997</v>
      </c>
      <c r="AI86" s="198">
        <f>[1]datos!$U218</f>
        <v>44.761000000000003</v>
      </c>
      <c r="AJ86" s="198">
        <f>AD86-AE86-AF86-AG86-AH86-AI86</f>
        <v>83.32200000000006</v>
      </c>
      <c r="AK86" s="197"/>
      <c r="AL86" s="198"/>
      <c r="AM86" s="198"/>
      <c r="AN86" s="198"/>
      <c r="AO86" s="198"/>
      <c r="AP86" s="198"/>
      <c r="AQ86" s="199"/>
      <c r="AR86" s="198">
        <v>170177.67870017825</v>
      </c>
      <c r="AS86" s="198">
        <v>41128.333114842855</v>
      </c>
      <c r="AT86" s="198">
        <v>17949.686965108122</v>
      </c>
      <c r="AU86" s="198">
        <v>34667.145762227439</v>
      </c>
      <c r="AV86" s="198">
        <v>13557.322654155534</v>
      </c>
      <c r="AW86" s="198"/>
      <c r="AX86" s="198">
        <v>62875.190203844293</v>
      </c>
      <c r="AY86" s="197"/>
      <c r="AZ86" s="198"/>
      <c r="BA86" s="198"/>
      <c r="BB86" s="198"/>
      <c r="BC86" s="198"/>
      <c r="BD86" s="198"/>
      <c r="BE86" s="198"/>
      <c r="BF86" s="197"/>
      <c r="BG86" s="198"/>
      <c r="BH86" s="198"/>
      <c r="BI86" s="198"/>
      <c r="BJ86" s="198"/>
      <c r="BK86" s="198"/>
      <c r="BL86" s="198"/>
      <c r="BM86" s="197"/>
      <c r="BN86" s="198"/>
      <c r="BO86" s="198"/>
      <c r="BP86" s="198"/>
      <c r="BQ86" s="198"/>
      <c r="BR86" s="198"/>
      <c r="BS86" s="198"/>
      <c r="BT86" s="197"/>
      <c r="BU86" s="198"/>
      <c r="BV86" s="198"/>
      <c r="BW86" s="198"/>
      <c r="BX86" s="198"/>
      <c r="BY86" s="198"/>
      <c r="BZ86" s="198"/>
      <c r="CA86" s="197"/>
      <c r="CB86" s="198"/>
      <c r="CC86" s="198"/>
      <c r="CD86" s="198"/>
      <c r="CE86" s="198"/>
      <c r="CF86" s="198"/>
      <c r="CG86" s="198"/>
      <c r="CH86" s="197"/>
      <c r="CI86" s="198"/>
      <c r="CJ86" s="198"/>
      <c r="CK86" s="198"/>
      <c r="CL86" s="198"/>
      <c r="CM86" s="198"/>
      <c r="CN86" s="198"/>
      <c r="CO86" s="197"/>
      <c r="CP86" s="198"/>
      <c r="CQ86" s="198"/>
      <c r="CR86" s="198"/>
      <c r="CS86" s="198"/>
      <c r="CT86" s="198"/>
      <c r="CU86" s="198"/>
      <c r="CV86" s="197"/>
      <c r="CW86" s="198"/>
      <c r="CX86" s="198"/>
      <c r="CY86" s="198"/>
      <c r="CZ86" s="198"/>
      <c r="DA86" s="198"/>
      <c r="DB86" s="198"/>
      <c r="DC86" s="197"/>
      <c r="DD86" s="198"/>
      <c r="DE86" s="198"/>
      <c r="DF86" s="198"/>
      <c r="DG86" s="198"/>
      <c r="DH86" s="198"/>
      <c r="DI86" s="198"/>
      <c r="DJ86" s="197"/>
      <c r="DK86" s="198"/>
      <c r="DL86" s="198"/>
      <c r="DM86" s="198"/>
      <c r="DN86" s="198"/>
      <c r="DO86" s="198"/>
      <c r="DP86" s="198"/>
      <c r="DQ86" s="197"/>
      <c r="DR86" s="198"/>
      <c r="DS86" s="198"/>
      <c r="DT86" s="198"/>
      <c r="DU86" s="198"/>
      <c r="DV86" s="198"/>
      <c r="DW86" s="198"/>
      <c r="DX86" s="197"/>
      <c r="DY86" s="198"/>
      <c r="DZ86" s="198"/>
      <c r="EA86" s="198"/>
      <c r="EB86" s="198"/>
      <c r="EC86" s="198"/>
      <c r="ED86" s="198"/>
      <c r="EE86" s="197"/>
      <c r="EF86" s="198"/>
      <c r="EG86" s="198"/>
      <c r="EH86" s="198"/>
      <c r="EI86" s="198"/>
      <c r="EJ86" s="198"/>
      <c r="EK86" s="198"/>
      <c r="EL86" s="197"/>
      <c r="EM86" s="198"/>
      <c r="EN86" s="198"/>
      <c r="EO86" s="198"/>
      <c r="EP86" s="198"/>
      <c r="EQ86" s="198"/>
      <c r="ER86" s="198"/>
      <c r="ES86" s="197"/>
      <c r="ET86" s="198"/>
      <c r="EU86" s="198"/>
      <c r="EV86" s="198"/>
      <c r="EW86" s="198"/>
      <c r="EX86" s="198"/>
      <c r="EY86" s="198"/>
      <c r="EZ86" s="197"/>
      <c r="FA86" s="198"/>
      <c r="FB86" s="198"/>
      <c r="FC86" s="198"/>
      <c r="FD86" s="198"/>
      <c r="FE86" s="198"/>
      <c r="FF86" s="198"/>
      <c r="FG86" s="197"/>
      <c r="FH86" s="198"/>
      <c r="FI86" s="198"/>
      <c r="FJ86" s="198"/>
      <c r="FK86" s="198"/>
      <c r="FL86" s="198"/>
      <c r="FM86" s="198"/>
      <c r="FN86" s="197"/>
      <c r="FO86" s="198"/>
      <c r="FP86" s="198"/>
      <c r="FQ86" s="198"/>
      <c r="FR86" s="198"/>
      <c r="FS86" s="198"/>
      <c r="FT86" s="199"/>
      <c r="FU86" s="197"/>
      <c r="FV86" s="198"/>
      <c r="FW86" s="198"/>
      <c r="FX86" s="198"/>
      <c r="FY86" s="198"/>
      <c r="FZ86" s="198"/>
      <c r="GA86" s="199"/>
      <c r="GB86" s="197"/>
      <c r="GC86" s="198"/>
      <c r="GD86" s="198"/>
      <c r="GE86" s="198"/>
      <c r="GF86" s="198"/>
      <c r="GG86" s="198"/>
      <c r="GH86" s="199"/>
      <c r="GI86" s="197"/>
      <c r="GJ86" s="198"/>
      <c r="GK86" s="198"/>
      <c r="GL86" s="198"/>
      <c r="GM86" s="198"/>
      <c r="GN86" s="198"/>
      <c r="GO86" s="199"/>
      <c r="GP86" s="197"/>
      <c r="GQ86" s="198"/>
      <c r="GR86" s="198"/>
      <c r="GS86" s="198"/>
      <c r="GT86" s="198"/>
      <c r="GU86" s="198"/>
      <c r="GV86" s="199"/>
      <c r="GW86" s="197"/>
      <c r="GX86" s="198"/>
      <c r="GY86" s="198"/>
      <c r="GZ86" s="198"/>
      <c r="HA86" s="198"/>
      <c r="HB86" s="198"/>
      <c r="HC86" s="199"/>
      <c r="HD86" s="197"/>
      <c r="HE86" s="198"/>
      <c r="HF86" s="198"/>
      <c r="HG86" s="198"/>
      <c r="HH86" s="198"/>
      <c r="HI86" s="198"/>
      <c r="HJ86" s="199"/>
      <c r="HK86" s="197"/>
      <c r="HL86" s="198"/>
      <c r="HM86" s="198"/>
      <c r="HN86" s="198"/>
      <c r="HO86" s="198"/>
      <c r="HP86" s="198"/>
      <c r="HQ86" s="198"/>
      <c r="HR86" s="197"/>
      <c r="HT86" s="198"/>
      <c r="HU86" s="198"/>
      <c r="HV86" s="198"/>
      <c r="HW86" s="198"/>
      <c r="HX86" s="198"/>
    </row>
    <row r="87" spans="1:233">
      <c r="A87" s="185" t="s">
        <v>498</v>
      </c>
      <c r="B87" s="197"/>
      <c r="C87" s="198"/>
      <c r="D87" s="198"/>
      <c r="E87" s="198"/>
      <c r="F87" s="198"/>
      <c r="G87" s="198"/>
      <c r="H87" s="199"/>
      <c r="I87" s="197"/>
      <c r="J87" s="198"/>
      <c r="K87" s="198"/>
      <c r="L87" s="198"/>
      <c r="M87" s="198"/>
      <c r="N87" s="198"/>
      <c r="O87" s="199"/>
      <c r="P87" s="198"/>
      <c r="Q87" s="198"/>
      <c r="R87" s="198"/>
      <c r="S87" s="198"/>
      <c r="T87" s="198"/>
      <c r="U87" s="198"/>
      <c r="V87" s="199"/>
      <c r="W87" s="198">
        <v>1409.433</v>
      </c>
      <c r="X87" s="198">
        <v>115.52500000000001</v>
      </c>
      <c r="Y87" s="198">
        <v>419.12399999999997</v>
      </c>
      <c r="Z87" s="198">
        <v>73.668000000000006</v>
      </c>
      <c r="AA87" s="198">
        <v>349.06700000000001</v>
      </c>
      <c r="AB87" s="198"/>
      <c r="AC87" s="199">
        <f t="shared" si="1"/>
        <v>452.04899999999986</v>
      </c>
      <c r="AD87" s="198"/>
      <c r="AE87" s="198">
        <v>36.273000000000003</v>
      </c>
      <c r="AF87" s="198">
        <v>108.381</v>
      </c>
      <c r="AG87" s="198">
        <v>117.57600000000001</v>
      </c>
      <c r="AH87" s="198">
        <v>58.3</v>
      </c>
      <c r="AI87" s="198"/>
      <c r="AJ87" s="198"/>
      <c r="AK87" s="197"/>
      <c r="AL87" s="198"/>
      <c r="AM87" s="198"/>
      <c r="AN87" s="198"/>
      <c r="AO87" s="198"/>
      <c r="AP87" s="198"/>
      <c r="AQ87" s="199"/>
      <c r="AR87" s="198">
        <v>177727.21406001912</v>
      </c>
      <c r="AS87" s="198">
        <v>41930.270428232841</v>
      </c>
      <c r="AT87" s="198">
        <v>18880.889438045069</v>
      </c>
      <c r="AU87" s="198">
        <v>35701.008519218049</v>
      </c>
      <c r="AV87" s="198">
        <v>15102.203538086434</v>
      </c>
      <c r="AW87" s="198"/>
      <c r="AX87" s="198">
        <v>66112.842136436724</v>
      </c>
      <c r="AY87" s="197"/>
      <c r="AZ87" s="198"/>
      <c r="BA87" s="198"/>
      <c r="BB87" s="198"/>
      <c r="BC87" s="198"/>
      <c r="BD87" s="198"/>
      <c r="BE87" s="198"/>
      <c r="BF87" s="197"/>
      <c r="BG87" s="198"/>
      <c r="BH87" s="198"/>
      <c r="BI87" s="198"/>
      <c r="BJ87" s="198"/>
      <c r="BK87" s="198"/>
      <c r="BL87" s="198"/>
      <c r="BM87" s="197"/>
      <c r="BN87" s="198"/>
      <c r="BO87" s="198"/>
      <c r="BP87" s="198"/>
      <c r="BQ87" s="198"/>
      <c r="BR87" s="198"/>
      <c r="BS87" s="198"/>
      <c r="BT87" s="197"/>
      <c r="BU87" s="198"/>
      <c r="BV87" s="198"/>
      <c r="BW87" s="198"/>
      <c r="BX87" s="198"/>
      <c r="BY87" s="198"/>
      <c r="BZ87" s="198"/>
      <c r="CA87" s="197"/>
      <c r="CB87" s="198"/>
      <c r="CC87" s="198"/>
      <c r="CD87" s="198"/>
      <c r="CE87" s="198"/>
      <c r="CF87" s="198"/>
      <c r="CG87" s="198"/>
      <c r="CH87" s="197"/>
      <c r="CI87" s="198"/>
      <c r="CJ87" s="198"/>
      <c r="CK87" s="198"/>
      <c r="CL87" s="198"/>
      <c r="CM87" s="198"/>
      <c r="CN87" s="198"/>
      <c r="CO87" s="197"/>
      <c r="CP87" s="198"/>
      <c r="CQ87" s="198"/>
      <c r="CR87" s="198"/>
      <c r="CS87" s="198"/>
      <c r="CT87" s="198"/>
      <c r="CU87" s="198"/>
      <c r="CV87" s="197"/>
      <c r="CW87" s="198"/>
      <c r="CX87" s="198"/>
      <c r="CY87" s="198"/>
      <c r="CZ87" s="198"/>
      <c r="DA87" s="198"/>
      <c r="DB87" s="198"/>
      <c r="DC87" s="197"/>
      <c r="DD87" s="198"/>
      <c r="DE87" s="198"/>
      <c r="DF87" s="198"/>
      <c r="DG87" s="198"/>
      <c r="DH87" s="198"/>
      <c r="DI87" s="198"/>
      <c r="DJ87" s="197"/>
      <c r="DK87" s="198"/>
      <c r="DL87" s="198"/>
      <c r="DM87" s="198"/>
      <c r="DN87" s="198"/>
      <c r="DO87" s="198"/>
      <c r="DP87" s="198"/>
      <c r="DQ87" s="197"/>
      <c r="DR87" s="198"/>
      <c r="DS87" s="198"/>
      <c r="DT87" s="198"/>
      <c r="DU87" s="198"/>
      <c r="DV87" s="198"/>
      <c r="DW87" s="198"/>
      <c r="DX87" s="197"/>
      <c r="DY87" s="198"/>
      <c r="DZ87" s="198"/>
      <c r="EA87" s="198"/>
      <c r="EB87" s="198"/>
      <c r="EC87" s="198"/>
      <c r="ED87" s="198"/>
      <c r="EE87" s="197"/>
      <c r="EF87" s="198"/>
      <c r="EG87" s="198"/>
      <c r="EH87" s="198"/>
      <c r="EI87" s="198"/>
      <c r="EJ87" s="198"/>
      <c r="EK87" s="198"/>
      <c r="EL87" s="197"/>
      <c r="EM87" s="198"/>
      <c r="EN87" s="198"/>
      <c r="EO87" s="198"/>
      <c r="EP87" s="198"/>
      <c r="EQ87" s="198"/>
      <c r="ER87" s="198"/>
      <c r="ES87" s="197"/>
      <c r="ET87" s="198"/>
      <c r="EU87" s="198"/>
      <c r="EV87" s="198"/>
      <c r="EW87" s="198"/>
      <c r="EX87" s="198"/>
      <c r="EY87" s="198"/>
      <c r="EZ87" s="197"/>
      <c r="FA87" s="198"/>
      <c r="FB87" s="198"/>
      <c r="FC87" s="198"/>
      <c r="FD87" s="198"/>
      <c r="FE87" s="198"/>
      <c r="FF87" s="198"/>
      <c r="FG87" s="197"/>
      <c r="FH87" s="198"/>
      <c r="FI87" s="198"/>
      <c r="FJ87" s="198"/>
      <c r="FK87" s="198"/>
      <c r="FL87" s="198"/>
      <c r="FM87" s="198"/>
      <c r="FN87" s="197"/>
      <c r="FO87" s="198"/>
      <c r="FP87" s="198"/>
      <c r="FQ87" s="198"/>
      <c r="FR87" s="198"/>
      <c r="FS87" s="198"/>
      <c r="FT87" s="199"/>
      <c r="FU87" s="197"/>
      <c r="FV87" s="198"/>
      <c r="FW87" s="198"/>
      <c r="FX87" s="198"/>
      <c r="FY87" s="198"/>
      <c r="FZ87" s="198"/>
      <c r="GA87" s="199"/>
      <c r="GB87" s="197"/>
      <c r="GC87" s="198"/>
      <c r="GD87" s="198"/>
      <c r="GE87" s="198"/>
      <c r="GF87" s="198"/>
      <c r="GG87" s="198"/>
      <c r="GH87" s="199"/>
      <c r="GI87" s="197"/>
      <c r="GJ87" s="198"/>
      <c r="GK87" s="198"/>
      <c r="GL87" s="198"/>
      <c r="GM87" s="198"/>
      <c r="GN87" s="198"/>
      <c r="GO87" s="199"/>
      <c r="GP87" s="197"/>
      <c r="GQ87" s="198"/>
      <c r="GR87" s="198"/>
      <c r="GS87" s="198"/>
      <c r="GT87" s="198"/>
      <c r="GU87" s="198"/>
      <c r="GV87" s="199"/>
      <c r="GW87" s="197"/>
      <c r="GX87" s="198"/>
      <c r="GY87" s="198"/>
      <c r="GZ87" s="198"/>
      <c r="HA87" s="198"/>
      <c r="HB87" s="198"/>
      <c r="HC87" s="199"/>
      <c r="HD87" s="197"/>
      <c r="HE87" s="198"/>
      <c r="HF87" s="198"/>
      <c r="HG87" s="198"/>
      <c r="HH87" s="198"/>
      <c r="HI87" s="198"/>
      <c r="HJ87" s="199"/>
      <c r="HK87" s="197"/>
      <c r="HL87" s="198"/>
      <c r="HM87" s="198"/>
      <c r="HN87" s="198"/>
      <c r="HO87" s="198"/>
      <c r="HP87" s="198"/>
      <c r="HQ87" s="198"/>
      <c r="HR87" s="197"/>
      <c r="HT87" s="198"/>
      <c r="HU87" s="198"/>
      <c r="HV87" s="198"/>
      <c r="HW87" s="198"/>
      <c r="HX87" s="198"/>
    </row>
    <row r="88" spans="1:233">
      <c r="A88" s="185" t="s">
        <v>499</v>
      </c>
      <c r="B88" s="197"/>
      <c r="C88" s="198"/>
      <c r="D88" s="198"/>
      <c r="E88" s="198"/>
      <c r="F88" s="198"/>
      <c r="G88" s="198"/>
      <c r="H88" s="199"/>
      <c r="I88" s="197"/>
      <c r="J88" s="198"/>
      <c r="K88" s="198"/>
      <c r="L88" s="198"/>
      <c r="M88" s="198"/>
      <c r="N88" s="198"/>
      <c r="O88" s="199"/>
      <c r="P88" s="198"/>
      <c r="Q88" s="198"/>
      <c r="R88" s="198"/>
      <c r="S88" s="198"/>
      <c r="T88" s="198"/>
      <c r="U88" s="198"/>
      <c r="V88" s="199"/>
      <c r="W88" s="198">
        <v>1413.8689999999999</v>
      </c>
      <c r="X88" s="198">
        <v>115.21299999999999</v>
      </c>
      <c r="Y88" s="198">
        <v>435.67</v>
      </c>
      <c r="Z88" s="198">
        <v>73.302000000000007</v>
      </c>
      <c r="AA88" s="198">
        <v>353.46300000000002</v>
      </c>
      <c r="AB88" s="198"/>
      <c r="AC88" s="199">
        <f t="shared" si="1"/>
        <v>436.22099999999983</v>
      </c>
      <c r="AD88" s="198"/>
      <c r="AE88" s="198">
        <v>35.651000000000003</v>
      </c>
      <c r="AF88" s="198">
        <v>109.083</v>
      </c>
      <c r="AG88" s="198">
        <v>120.009</v>
      </c>
      <c r="AH88" s="198">
        <v>61.46</v>
      </c>
      <c r="AI88" s="198"/>
      <c r="AJ88" s="198"/>
      <c r="AK88" s="197"/>
      <c r="AL88" s="198"/>
      <c r="AM88" s="198"/>
      <c r="AN88" s="198"/>
      <c r="AO88" s="198"/>
      <c r="AP88" s="198"/>
      <c r="AQ88" s="199"/>
      <c r="AR88" s="198">
        <v>183927.52509070068</v>
      </c>
      <c r="AS88" s="198">
        <v>41449.504086025932</v>
      </c>
      <c r="AT88" s="198">
        <v>20126.218304290927</v>
      </c>
      <c r="AU88" s="198">
        <v>36954.258338622545</v>
      </c>
      <c r="AV88" s="198">
        <v>15418.545700640214</v>
      </c>
      <c r="AW88" s="198"/>
      <c r="AX88" s="198">
        <v>69978.998661121062</v>
      </c>
      <c r="AY88" s="197"/>
      <c r="AZ88" s="198"/>
      <c r="BA88" s="198"/>
      <c r="BB88" s="198"/>
      <c r="BC88" s="198"/>
      <c r="BD88" s="198"/>
      <c r="BE88" s="198"/>
      <c r="BF88" s="197"/>
      <c r="BG88" s="198"/>
      <c r="BH88" s="198"/>
      <c r="BI88" s="198"/>
      <c r="BJ88" s="198"/>
      <c r="BK88" s="198"/>
      <c r="BL88" s="198"/>
      <c r="BM88" s="197"/>
      <c r="BN88" s="198"/>
      <c r="BO88" s="198"/>
      <c r="BP88" s="198"/>
      <c r="BQ88" s="198"/>
      <c r="BR88" s="198"/>
      <c r="BS88" s="198"/>
      <c r="BT88" s="197"/>
      <c r="BU88" s="198"/>
      <c r="BV88" s="198"/>
      <c r="BW88" s="198"/>
      <c r="BX88" s="198"/>
      <c r="BY88" s="198"/>
      <c r="BZ88" s="198"/>
      <c r="CA88" s="197"/>
      <c r="CB88" s="198"/>
      <c r="CC88" s="198"/>
      <c r="CD88" s="198"/>
      <c r="CE88" s="198"/>
      <c r="CF88" s="198"/>
      <c r="CG88" s="198"/>
      <c r="CH88" s="197"/>
      <c r="CI88" s="198"/>
      <c r="CJ88" s="198"/>
      <c r="CK88" s="198"/>
      <c r="CL88" s="198"/>
      <c r="CM88" s="198"/>
      <c r="CN88" s="198"/>
      <c r="CO88" s="197"/>
      <c r="CP88" s="198"/>
      <c r="CQ88" s="198"/>
      <c r="CR88" s="198"/>
      <c r="CS88" s="198"/>
      <c r="CT88" s="198"/>
      <c r="CU88" s="198"/>
      <c r="CV88" s="197"/>
      <c r="CW88" s="198"/>
      <c r="CX88" s="198"/>
      <c r="CY88" s="198"/>
      <c r="CZ88" s="198"/>
      <c r="DA88" s="198"/>
      <c r="DB88" s="198"/>
      <c r="DC88" s="197"/>
      <c r="DD88" s="198"/>
      <c r="DE88" s="198"/>
      <c r="DF88" s="198"/>
      <c r="DG88" s="198"/>
      <c r="DH88" s="198"/>
      <c r="DI88" s="198"/>
      <c r="DJ88" s="197"/>
      <c r="DK88" s="198"/>
      <c r="DL88" s="198"/>
      <c r="DM88" s="198"/>
      <c r="DN88" s="198"/>
      <c r="DO88" s="198"/>
      <c r="DP88" s="198"/>
      <c r="DQ88" s="197"/>
      <c r="DR88" s="198"/>
      <c r="DS88" s="198"/>
      <c r="DT88" s="198"/>
      <c r="DU88" s="198"/>
      <c r="DV88" s="198"/>
      <c r="DW88" s="198"/>
      <c r="DX88" s="197"/>
      <c r="DY88" s="198"/>
      <c r="DZ88" s="198"/>
      <c r="EA88" s="198"/>
      <c r="EB88" s="198"/>
      <c r="EC88" s="198"/>
      <c r="ED88" s="198"/>
      <c r="EE88" s="197"/>
      <c r="EF88" s="198"/>
      <c r="EG88" s="198"/>
      <c r="EH88" s="198"/>
      <c r="EI88" s="198"/>
      <c r="EJ88" s="198"/>
      <c r="EK88" s="198"/>
      <c r="EL88" s="197"/>
      <c r="EM88" s="198"/>
      <c r="EN88" s="198"/>
      <c r="EO88" s="198"/>
      <c r="EP88" s="198"/>
      <c r="EQ88" s="198"/>
      <c r="ER88" s="198"/>
      <c r="ES88" s="197"/>
      <c r="ET88" s="198"/>
      <c r="EU88" s="198"/>
      <c r="EV88" s="198"/>
      <c r="EW88" s="198"/>
      <c r="EX88" s="198"/>
      <c r="EY88" s="198"/>
      <c r="EZ88" s="197"/>
      <c r="FA88" s="198"/>
      <c r="FB88" s="198"/>
      <c r="FC88" s="198"/>
      <c r="FD88" s="198"/>
      <c r="FE88" s="198"/>
      <c r="FF88" s="198"/>
      <c r="FG88" s="197"/>
      <c r="FH88" s="198"/>
      <c r="FI88" s="198"/>
      <c r="FJ88" s="198"/>
      <c r="FK88" s="198"/>
      <c r="FL88" s="198"/>
      <c r="FM88" s="198"/>
      <c r="FN88" s="197"/>
      <c r="FO88" s="198"/>
      <c r="FP88" s="198"/>
      <c r="FQ88" s="198"/>
      <c r="FR88" s="198"/>
      <c r="FS88" s="198"/>
      <c r="FT88" s="199"/>
      <c r="FU88" s="197"/>
      <c r="FV88" s="198"/>
      <c r="FW88" s="198"/>
      <c r="FX88" s="198"/>
      <c r="FY88" s="198"/>
      <c r="FZ88" s="198"/>
      <c r="GA88" s="199"/>
      <c r="GB88" s="197"/>
      <c r="GC88" s="198"/>
      <c r="GD88" s="198"/>
      <c r="GE88" s="198"/>
      <c r="GF88" s="198"/>
      <c r="GG88" s="198"/>
      <c r="GH88" s="199"/>
      <c r="GI88" s="197"/>
      <c r="GJ88" s="198"/>
      <c r="GK88" s="198"/>
      <c r="GL88" s="198"/>
      <c r="GM88" s="198"/>
      <c r="GN88" s="198"/>
      <c r="GO88" s="199"/>
      <c r="GP88" s="197"/>
      <c r="GQ88" s="198"/>
      <c r="GR88" s="198"/>
      <c r="GS88" s="198"/>
      <c r="GT88" s="198"/>
      <c r="GU88" s="198"/>
      <c r="GV88" s="199"/>
      <c r="GW88" s="197"/>
      <c r="GX88" s="198"/>
      <c r="GY88" s="198"/>
      <c r="GZ88" s="198"/>
      <c r="HA88" s="198"/>
      <c r="HB88" s="198"/>
      <c r="HC88" s="199"/>
      <c r="HD88" s="197"/>
      <c r="HE88" s="198"/>
      <c r="HF88" s="198"/>
      <c r="HG88" s="198"/>
      <c r="HH88" s="198"/>
      <c r="HI88" s="198"/>
      <c r="HJ88" s="199"/>
      <c r="HK88" s="197"/>
      <c r="HL88" s="198"/>
      <c r="HM88" s="198"/>
      <c r="HN88" s="198"/>
      <c r="HO88" s="198"/>
      <c r="HP88" s="198"/>
      <c r="HQ88" s="198"/>
      <c r="HR88" s="197"/>
      <c r="HT88" s="198"/>
      <c r="HU88" s="198"/>
      <c r="HV88" s="198"/>
      <c r="HW88" s="198"/>
      <c r="HX88" s="198"/>
    </row>
    <row r="89" spans="1:233">
      <c r="A89" s="202" t="s">
        <v>500</v>
      </c>
      <c r="B89" s="203">
        <v>763.52200000000005</v>
      </c>
      <c r="C89" s="204">
        <v>25.353999999999999</v>
      </c>
      <c r="D89" s="204">
        <f>121.601+84.207+17.263</f>
        <v>223.071</v>
      </c>
      <c r="E89" s="204">
        <v>154.733</v>
      </c>
      <c r="F89" s="204">
        <f>323.577-E89</f>
        <v>168.84399999999999</v>
      </c>
      <c r="G89" s="204"/>
      <c r="H89" s="205">
        <f>B89-C89-D89-E89-F89</f>
        <v>191.51999999999998</v>
      </c>
      <c r="I89" s="203"/>
      <c r="J89" s="204"/>
      <c r="K89" s="204"/>
      <c r="L89" s="204"/>
      <c r="M89" s="204"/>
      <c r="N89" s="204"/>
      <c r="O89" s="205"/>
      <c r="P89" s="204">
        <v>2066.11</v>
      </c>
      <c r="Q89" s="204">
        <v>55.276000000000003</v>
      </c>
      <c r="R89" s="204">
        <v>296.245</v>
      </c>
      <c r="S89" s="204">
        <v>120.651</v>
      </c>
      <c r="T89" s="204">
        <v>1229.3119999999999</v>
      </c>
      <c r="U89" s="204"/>
      <c r="V89" s="205">
        <f>P89-Q89-R89-S89-T89</f>
        <v>364.62599999999998</v>
      </c>
      <c r="W89" s="204">
        <v>1456.7560000000001</v>
      </c>
      <c r="X89" s="204">
        <v>117.113</v>
      </c>
      <c r="Y89" s="204">
        <v>439.43199999999996</v>
      </c>
      <c r="Z89" s="204">
        <v>71.763000000000005</v>
      </c>
      <c r="AA89" s="204">
        <v>359.34899999999999</v>
      </c>
      <c r="AB89" s="204"/>
      <c r="AC89" s="205">
        <f t="shared" si="1"/>
        <v>469.09899999999999</v>
      </c>
      <c r="AD89" s="204">
        <f>[1]datos!$S221</f>
        <v>451.36</v>
      </c>
      <c r="AE89" s="204">
        <v>37.372999999999998</v>
      </c>
      <c r="AF89" s="204">
        <v>107.95099999999999</v>
      </c>
      <c r="AG89" s="204">
        <v>120.34700000000001</v>
      </c>
      <c r="AH89" s="204">
        <v>61.582000000000001</v>
      </c>
      <c r="AI89" s="204">
        <f>[1]datos!$U221</f>
        <v>45.713000000000001</v>
      </c>
      <c r="AJ89" s="204">
        <f>AD89-AE89-AF89-AG89-AH89-AI89</f>
        <v>78.394000000000062</v>
      </c>
      <c r="AK89" s="203"/>
      <c r="AL89" s="204"/>
      <c r="AM89" s="204"/>
      <c r="AN89" s="204"/>
      <c r="AO89" s="204"/>
      <c r="AP89" s="204"/>
      <c r="AQ89" s="205"/>
      <c r="AR89" s="204">
        <v>186855.62044030364</v>
      </c>
      <c r="AS89" s="204">
        <v>41673.552360879279</v>
      </c>
      <c r="AT89" s="204">
        <v>21127.07215866667</v>
      </c>
      <c r="AU89" s="204">
        <v>39486.706971575652</v>
      </c>
      <c r="AV89" s="204">
        <v>16025.944913979425</v>
      </c>
      <c r="AW89" s="204"/>
      <c r="AX89" s="204">
        <v>68542.344035202594</v>
      </c>
      <c r="AY89" s="203"/>
      <c r="AZ89" s="204"/>
      <c r="BA89" s="204"/>
      <c r="BB89" s="204"/>
      <c r="BC89" s="204"/>
      <c r="BD89" s="204"/>
      <c r="BE89" s="204"/>
      <c r="BF89" s="203"/>
      <c r="BG89" s="204"/>
      <c r="BH89" s="204"/>
      <c r="BI89" s="204"/>
      <c r="BJ89" s="204"/>
      <c r="BK89" s="204"/>
      <c r="BL89" s="204"/>
      <c r="BM89" s="203"/>
      <c r="BN89" s="204"/>
      <c r="BO89" s="204"/>
      <c r="BP89" s="204"/>
      <c r="BQ89" s="204"/>
      <c r="BR89" s="204"/>
      <c r="BS89" s="204"/>
      <c r="BT89" s="203"/>
      <c r="BU89" s="204"/>
      <c r="BV89" s="204"/>
      <c r="BW89" s="204"/>
      <c r="BX89" s="204"/>
      <c r="BY89" s="204"/>
      <c r="BZ89" s="204"/>
      <c r="CA89" s="203">
        <v>405.68900000000002</v>
      </c>
      <c r="CB89" s="204">
        <v>26.84</v>
      </c>
      <c r="CC89" s="204">
        <f>76.461+12.789+2.797</f>
        <v>92.046999999999997</v>
      </c>
      <c r="CD89" s="204">
        <f>102.418</f>
        <v>102.41800000000001</v>
      </c>
      <c r="CE89" s="204">
        <f>157.351-CD89</f>
        <v>54.932999999999993</v>
      </c>
      <c r="CF89" s="204"/>
      <c r="CG89" s="204">
        <f>CA89-CB89-CC89-CD89-CE89</f>
        <v>129.45100000000002</v>
      </c>
      <c r="CH89" s="203"/>
      <c r="CI89" s="204"/>
      <c r="CJ89" s="204"/>
      <c r="CK89" s="204"/>
      <c r="CL89" s="204"/>
      <c r="CM89" s="204"/>
      <c r="CN89" s="204"/>
      <c r="CO89" s="203"/>
      <c r="CP89" s="204"/>
      <c r="CQ89" s="204"/>
      <c r="CR89" s="204"/>
      <c r="CS89" s="204"/>
      <c r="CT89" s="204"/>
      <c r="CU89" s="204"/>
      <c r="CV89" s="203">
        <v>454.56</v>
      </c>
      <c r="CW89" s="204">
        <v>26.146999999999998</v>
      </c>
      <c r="CX89" s="204">
        <f>73.662+48.598+3.302</f>
        <v>125.56200000000001</v>
      </c>
      <c r="CY89" s="204">
        <v>117.29</v>
      </c>
      <c r="CZ89" s="204">
        <f>196.968-CY89</f>
        <v>79.677999999999983</v>
      </c>
      <c r="DA89" s="204"/>
      <c r="DB89" s="204">
        <f>CV89-CW89-CX89-CY89-CZ89</f>
        <v>105.883</v>
      </c>
      <c r="DC89" s="203"/>
      <c r="DD89" s="204"/>
      <c r="DE89" s="204"/>
      <c r="DF89" s="204"/>
      <c r="DG89" s="204"/>
      <c r="DH89" s="204"/>
      <c r="DI89" s="204"/>
      <c r="DJ89" s="203">
        <f>221.3+13789.2</f>
        <v>14010.5</v>
      </c>
      <c r="DK89" s="204">
        <f>75.3+2402.2</f>
        <v>2477.5</v>
      </c>
      <c r="DL89" s="204">
        <f>2.7+3246.6+325.9</f>
        <v>3575.2</v>
      </c>
      <c r="DM89" s="204">
        <v>717.9</v>
      </c>
      <c r="DN89" s="204">
        <f>3125.1-DM89</f>
        <v>2407.1999999999998</v>
      </c>
      <c r="DO89" s="204"/>
      <c r="DP89" s="204">
        <f>DJ89-DK89-DL89-DM89</f>
        <v>7239.9000000000005</v>
      </c>
      <c r="DQ89" s="203"/>
      <c r="DR89" s="204"/>
      <c r="DS89" s="204"/>
      <c r="DT89" s="204"/>
      <c r="DU89" s="204"/>
      <c r="DV89" s="204"/>
      <c r="DW89" s="204"/>
      <c r="DX89" s="203"/>
      <c r="DY89" s="204"/>
      <c r="DZ89" s="204"/>
      <c r="EA89" s="204"/>
      <c r="EB89" s="204"/>
      <c r="EC89" s="204"/>
      <c r="ED89" s="204"/>
      <c r="EE89" s="203">
        <v>32294.371999999999</v>
      </c>
      <c r="EF89" s="204">
        <v>3867.2379999999998</v>
      </c>
      <c r="EG89" s="204">
        <v>5149.1420000000007</v>
      </c>
      <c r="EH89" s="204">
        <v>4616.1469999999999</v>
      </c>
      <c r="EI89" s="204">
        <v>5641.9629999999997</v>
      </c>
      <c r="EJ89" s="204"/>
      <c r="EK89" s="204">
        <f>EE89-EF89-EG89-EH89-EI89</f>
        <v>13019.881999999998</v>
      </c>
      <c r="EL89" s="203"/>
      <c r="EM89" s="204"/>
      <c r="EN89" s="204"/>
      <c r="EO89" s="204"/>
      <c r="EP89" s="204"/>
      <c r="EQ89" s="204"/>
      <c r="ER89" s="204"/>
      <c r="ES89" s="203"/>
      <c r="ET89" s="204"/>
      <c r="EU89" s="204"/>
      <c r="EV89" s="204"/>
      <c r="EW89" s="204"/>
      <c r="EX89" s="204"/>
      <c r="EY89" s="204"/>
      <c r="EZ89" s="203"/>
      <c r="FA89" s="204"/>
      <c r="FB89" s="204"/>
      <c r="FC89" s="204"/>
      <c r="FD89" s="204"/>
      <c r="FE89" s="204"/>
      <c r="FF89" s="204"/>
      <c r="FG89" s="203"/>
      <c r="FH89" s="204"/>
      <c r="FI89" s="204"/>
      <c r="FJ89" s="204"/>
      <c r="FK89" s="204"/>
      <c r="FL89" s="204"/>
      <c r="FM89" s="204"/>
      <c r="FN89" s="203">
        <v>12224044</v>
      </c>
      <c r="FO89" s="204">
        <v>3623132</v>
      </c>
      <c r="FP89" s="204">
        <v>2720825</v>
      </c>
      <c r="FQ89" s="204"/>
      <c r="FR89" s="204"/>
      <c r="FS89" s="204"/>
      <c r="FT89" s="205"/>
      <c r="FU89" s="203"/>
      <c r="FV89" s="204"/>
      <c r="FW89" s="204"/>
      <c r="FX89" s="204"/>
      <c r="FY89" s="204"/>
      <c r="FZ89" s="204"/>
      <c r="GA89" s="205"/>
      <c r="GB89" s="203">
        <v>522.18399999999997</v>
      </c>
      <c r="GC89" s="204">
        <v>22.007000000000001</v>
      </c>
      <c r="GD89" s="204">
        <f>72.166+31.126+3.034</f>
        <v>106.32600000000001</v>
      </c>
      <c r="GE89" s="204">
        <v>134.14699999999999</v>
      </c>
      <c r="GF89" s="204">
        <f>208.176-GE89</f>
        <v>74.028999999999996</v>
      </c>
      <c r="GG89" s="204"/>
      <c r="GH89" s="205">
        <f>GB89-GC89-GD89-GE89-GF89</f>
        <v>185.67499999999995</v>
      </c>
      <c r="GI89" s="203">
        <v>374.42200000000003</v>
      </c>
      <c r="GJ89" s="204">
        <v>26.913</v>
      </c>
      <c r="GK89" s="204">
        <f>50.353+18.308+1.931</f>
        <v>70.591999999999999</v>
      </c>
      <c r="GL89" s="204">
        <v>91.637</v>
      </c>
      <c r="GM89" s="204">
        <f>154.817-GL89</f>
        <v>63.180000000000007</v>
      </c>
      <c r="GN89" s="204"/>
      <c r="GO89" s="205">
        <f>GI89-GJ89-GK89-GL89-GM89</f>
        <v>122.10000000000002</v>
      </c>
      <c r="GP89" s="203">
        <v>970.32299999999998</v>
      </c>
      <c r="GQ89" s="204">
        <v>29.808</v>
      </c>
      <c r="GR89" s="204">
        <f>136.429+120.018+8.182</f>
        <v>264.62900000000002</v>
      </c>
      <c r="GS89" s="204">
        <v>252.37799999999999</v>
      </c>
      <c r="GT89" s="204">
        <f>425.866-GS89</f>
        <v>173.488</v>
      </c>
      <c r="GU89" s="204"/>
      <c r="GV89" s="205">
        <f>GP89-GQ89-GR89-GS89-GT89</f>
        <v>250.01999999999998</v>
      </c>
      <c r="GW89" s="203"/>
      <c r="GX89" s="204"/>
      <c r="GY89" s="204"/>
      <c r="GZ89" s="204"/>
      <c r="HA89" s="204"/>
      <c r="HB89" s="204"/>
      <c r="HC89" s="205"/>
      <c r="HD89" s="203"/>
      <c r="HE89" s="204"/>
      <c r="HF89" s="204"/>
      <c r="HG89" s="204"/>
      <c r="HH89" s="204"/>
      <c r="HI89" s="204"/>
      <c r="HJ89" s="205"/>
      <c r="HK89" s="203"/>
      <c r="HL89" s="204"/>
      <c r="HM89" s="204"/>
      <c r="HN89" s="204"/>
      <c r="HO89" s="204"/>
      <c r="HP89" s="204"/>
      <c r="HQ89" s="204"/>
      <c r="HR89" s="197"/>
      <c r="HS89" s="206"/>
      <c r="HT89" s="204"/>
      <c r="HU89" s="204"/>
      <c r="HV89" s="204"/>
      <c r="HW89" s="204"/>
      <c r="HX89" s="204"/>
      <c r="HY89" s="198"/>
    </row>
    <row r="90" spans="1:233">
      <c r="A90" s="185" t="s">
        <v>662</v>
      </c>
      <c r="B90" s="197"/>
      <c r="C90" s="198"/>
      <c r="D90" s="198"/>
      <c r="E90" s="198"/>
      <c r="F90" s="198"/>
      <c r="G90" s="198"/>
      <c r="H90" s="199"/>
      <c r="I90" s="197"/>
      <c r="J90" s="198"/>
      <c r="K90" s="198"/>
      <c r="L90" s="198"/>
      <c r="M90" s="198"/>
      <c r="N90" s="198"/>
      <c r="O90" s="199"/>
      <c r="P90" s="198"/>
      <c r="Q90" s="198"/>
      <c r="R90" s="198"/>
      <c r="S90" s="198"/>
      <c r="T90" s="198"/>
      <c r="U90" s="198"/>
      <c r="V90" s="199"/>
      <c r="W90" s="198">
        <v>1435.145</v>
      </c>
      <c r="X90" s="198">
        <v>113.798</v>
      </c>
      <c r="Y90" s="198">
        <v>440.31399999999996</v>
      </c>
      <c r="Z90" s="198">
        <v>72.483999999999995</v>
      </c>
      <c r="AA90" s="198">
        <v>361.77100000000002</v>
      </c>
      <c r="AB90" s="198"/>
      <c r="AC90" s="199">
        <f t="shared" si="1"/>
        <v>446.77799999999996</v>
      </c>
      <c r="AD90" s="198"/>
      <c r="AE90" s="198">
        <v>38.779000000000003</v>
      </c>
      <c r="AF90" s="198">
        <v>107.532</v>
      </c>
      <c r="AG90" s="198">
        <v>120.172</v>
      </c>
      <c r="AH90" s="198">
        <v>62.185000000000002</v>
      </c>
      <c r="AI90" s="198"/>
      <c r="AJ90" s="198"/>
      <c r="AK90" s="197"/>
      <c r="AL90" s="198"/>
      <c r="AM90" s="198"/>
      <c r="AN90" s="198"/>
      <c r="AO90" s="198"/>
      <c r="AP90" s="198"/>
      <c r="AQ90" s="199"/>
      <c r="AR90" s="198">
        <v>193123.45552749388</v>
      </c>
      <c r="AS90" s="198">
        <v>44235.555365980224</v>
      </c>
      <c r="AT90" s="198">
        <v>22148.045822567288</v>
      </c>
      <c r="AU90" s="198">
        <v>40747.662847005384</v>
      </c>
      <c r="AV90" s="198">
        <v>16539.456924952137</v>
      </c>
      <c r="AW90" s="198"/>
      <c r="AX90" s="198">
        <v>69452.734566988831</v>
      </c>
      <c r="AY90" s="197"/>
      <c r="AZ90" s="198"/>
      <c r="BA90" s="198"/>
      <c r="BB90" s="198"/>
      <c r="BC90" s="198"/>
      <c r="BD90" s="198"/>
      <c r="BE90" s="198"/>
      <c r="BF90" s="197"/>
      <c r="BG90" s="198"/>
      <c r="BH90" s="198"/>
      <c r="BI90" s="198"/>
      <c r="BJ90" s="198"/>
      <c r="BK90" s="198"/>
      <c r="BL90" s="198"/>
      <c r="BM90" s="197"/>
      <c r="BN90" s="198"/>
      <c r="BO90" s="198"/>
      <c r="BP90" s="198"/>
      <c r="BQ90" s="198"/>
      <c r="BR90" s="198"/>
      <c r="BS90" s="198"/>
      <c r="BT90" s="197"/>
      <c r="BU90" s="198"/>
      <c r="BV90" s="198"/>
      <c r="BW90" s="198"/>
      <c r="BX90" s="198"/>
      <c r="BY90" s="198"/>
      <c r="BZ90" s="198"/>
      <c r="CA90" s="197"/>
      <c r="CB90" s="198"/>
      <c r="CC90" s="198"/>
      <c r="CD90" s="198"/>
      <c r="CE90" s="198"/>
      <c r="CF90" s="198"/>
      <c r="CG90" s="198"/>
      <c r="CH90" s="197"/>
      <c r="CI90" s="198"/>
      <c r="CJ90" s="198"/>
      <c r="CK90" s="198"/>
      <c r="CL90" s="198"/>
      <c r="CM90" s="198"/>
      <c r="CN90" s="198"/>
      <c r="CO90" s="197"/>
      <c r="CP90" s="198"/>
      <c r="CQ90" s="198"/>
      <c r="CR90" s="198"/>
      <c r="CS90" s="198"/>
      <c r="CT90" s="198"/>
      <c r="CU90" s="198"/>
      <c r="CV90" s="197"/>
      <c r="CW90" s="198"/>
      <c r="CX90" s="198"/>
      <c r="CY90" s="198"/>
      <c r="CZ90" s="198"/>
      <c r="DA90" s="198"/>
      <c r="DB90" s="198"/>
      <c r="DC90" s="197"/>
      <c r="DD90" s="198"/>
      <c r="DE90" s="198"/>
      <c r="DF90" s="198"/>
      <c r="DG90" s="198"/>
      <c r="DH90" s="198"/>
      <c r="DI90" s="198"/>
      <c r="DJ90" s="197"/>
      <c r="DK90" s="198"/>
      <c r="DL90" s="198"/>
      <c r="DM90" s="198"/>
      <c r="DN90" s="198"/>
      <c r="DO90" s="198"/>
      <c r="DP90" s="198"/>
      <c r="DQ90" s="197"/>
      <c r="DR90" s="198"/>
      <c r="DS90" s="198"/>
      <c r="DT90" s="198"/>
      <c r="DU90" s="198"/>
      <c r="DV90" s="198"/>
      <c r="DW90" s="198"/>
      <c r="DX90" s="197"/>
      <c r="DY90" s="198"/>
      <c r="DZ90" s="198"/>
      <c r="EA90" s="198"/>
      <c r="EB90" s="198"/>
      <c r="EC90" s="198"/>
      <c r="ED90" s="198"/>
      <c r="EE90" s="197"/>
      <c r="EF90" s="198"/>
      <c r="EG90" s="198"/>
      <c r="EH90" s="198"/>
      <c r="EI90" s="198"/>
      <c r="EJ90" s="198"/>
      <c r="EK90" s="198"/>
      <c r="EL90" s="197"/>
      <c r="EM90" s="198"/>
      <c r="EN90" s="198"/>
      <c r="EO90" s="198"/>
      <c r="EP90" s="198"/>
      <c r="EQ90" s="198"/>
      <c r="ER90" s="198"/>
      <c r="ES90" s="197"/>
      <c r="ET90" s="198"/>
      <c r="EU90" s="198"/>
      <c r="EV90" s="198"/>
      <c r="EW90" s="198"/>
      <c r="EX90" s="198"/>
      <c r="EY90" s="198"/>
      <c r="EZ90" s="197"/>
      <c r="FA90" s="198"/>
      <c r="FB90" s="198"/>
      <c r="FC90" s="198"/>
      <c r="FD90" s="198"/>
      <c r="FE90" s="198"/>
      <c r="FF90" s="198"/>
      <c r="FG90" s="197"/>
      <c r="FH90" s="198"/>
      <c r="FI90" s="198"/>
      <c r="FJ90" s="198"/>
      <c r="FK90" s="198"/>
      <c r="FL90" s="198"/>
      <c r="FM90" s="198"/>
      <c r="FN90" s="197"/>
      <c r="FO90" s="198"/>
      <c r="FP90" s="198"/>
      <c r="FQ90" s="198"/>
      <c r="FR90" s="198"/>
      <c r="FS90" s="198"/>
      <c r="FT90" s="199"/>
      <c r="FU90" s="197"/>
      <c r="FV90" s="198"/>
      <c r="FW90" s="198"/>
      <c r="FX90" s="198"/>
      <c r="FY90" s="198"/>
      <c r="FZ90" s="198"/>
      <c r="GA90" s="199"/>
      <c r="GB90" s="197"/>
      <c r="GC90" s="198"/>
      <c r="GD90" s="198"/>
      <c r="GE90" s="198"/>
      <c r="GF90" s="198"/>
      <c r="GG90" s="198"/>
      <c r="GH90" s="199"/>
      <c r="GI90" s="197"/>
      <c r="GJ90" s="198"/>
      <c r="GK90" s="198"/>
      <c r="GL90" s="198"/>
      <c r="GM90" s="198"/>
      <c r="GN90" s="198"/>
      <c r="GO90" s="199"/>
      <c r="GP90" s="197"/>
      <c r="GQ90" s="198"/>
      <c r="GR90" s="198"/>
      <c r="GS90" s="198"/>
      <c r="GT90" s="198"/>
      <c r="GU90" s="198"/>
      <c r="GV90" s="199"/>
      <c r="GW90" s="197"/>
      <c r="GX90" s="198"/>
      <c r="GY90" s="198"/>
      <c r="GZ90" s="198"/>
      <c r="HA90" s="198"/>
      <c r="HB90" s="198"/>
      <c r="HC90" s="199"/>
      <c r="HD90" s="197"/>
      <c r="HE90" s="198"/>
      <c r="HF90" s="198"/>
      <c r="HG90" s="198"/>
      <c r="HH90" s="198"/>
      <c r="HI90" s="198"/>
      <c r="HJ90" s="199"/>
      <c r="HK90" s="197"/>
      <c r="HL90" s="198"/>
      <c r="HM90" s="198"/>
      <c r="HN90" s="198"/>
      <c r="HO90" s="198"/>
      <c r="HP90" s="198"/>
      <c r="HQ90" s="198"/>
      <c r="HR90" s="197"/>
      <c r="HT90" s="201"/>
      <c r="HU90" s="201"/>
      <c r="HV90" s="201"/>
      <c r="HW90" s="201"/>
      <c r="HX90" s="198"/>
    </row>
    <row r="91" spans="1:233">
      <c r="A91" s="185" t="s">
        <v>490</v>
      </c>
      <c r="B91" s="197"/>
      <c r="C91" s="198"/>
      <c r="D91" s="198"/>
      <c r="E91" s="198"/>
      <c r="F91" s="198"/>
      <c r="G91" s="198"/>
      <c r="H91" s="199"/>
      <c r="I91" s="197"/>
      <c r="J91" s="198"/>
      <c r="K91" s="198"/>
      <c r="L91" s="198"/>
      <c r="M91" s="198"/>
      <c r="N91" s="198"/>
      <c r="O91" s="199"/>
      <c r="P91" s="198"/>
      <c r="Q91" s="198"/>
      <c r="R91" s="198"/>
      <c r="S91" s="198"/>
      <c r="T91" s="198"/>
      <c r="U91" s="198"/>
      <c r="V91" s="199"/>
      <c r="W91" s="198">
        <v>1322.5150000000001</v>
      </c>
      <c r="X91" s="198">
        <v>113.07</v>
      </c>
      <c r="Y91" s="198">
        <v>442.358</v>
      </c>
      <c r="Z91" s="198">
        <v>73.113</v>
      </c>
      <c r="AA91" s="198">
        <v>357.81799999999998</v>
      </c>
      <c r="AB91" s="198"/>
      <c r="AC91" s="199">
        <f t="shared" si="1"/>
        <v>336.15600000000018</v>
      </c>
      <c r="AD91" s="198"/>
      <c r="AE91" s="198">
        <v>40.649000000000001</v>
      </c>
      <c r="AF91" s="198">
        <v>107.062</v>
      </c>
      <c r="AG91" s="198">
        <v>119.852</v>
      </c>
      <c r="AH91" s="198">
        <v>61.722999999999999</v>
      </c>
      <c r="AI91" s="198"/>
      <c r="AJ91" s="198"/>
      <c r="AK91" s="197"/>
      <c r="AL91" s="198"/>
      <c r="AM91" s="198"/>
      <c r="AN91" s="198"/>
      <c r="AO91" s="198"/>
      <c r="AP91" s="198"/>
      <c r="AQ91" s="199"/>
      <c r="AR91" s="198">
        <v>200569.09944378614</v>
      </c>
      <c r="AS91" s="198">
        <v>47400.939984538214</v>
      </c>
      <c r="AT91" s="198">
        <v>23366.065323243456</v>
      </c>
      <c r="AU91" s="198">
        <v>41875.290348619776</v>
      </c>
      <c r="AV91" s="198">
        <v>16030.025800384597</v>
      </c>
      <c r="AW91" s="198"/>
      <c r="AX91" s="198">
        <v>71896.777987000096</v>
      </c>
      <c r="AY91" s="197"/>
      <c r="AZ91" s="198"/>
      <c r="BA91" s="198"/>
      <c r="BB91" s="198"/>
      <c r="BC91" s="198"/>
      <c r="BD91" s="198"/>
      <c r="BE91" s="198"/>
      <c r="BF91" s="197"/>
      <c r="BG91" s="198"/>
      <c r="BH91" s="198"/>
      <c r="BI91" s="198"/>
      <c r="BJ91" s="198"/>
      <c r="BK91" s="198"/>
      <c r="BL91" s="198"/>
      <c r="BM91" s="197"/>
      <c r="BN91" s="198"/>
      <c r="BO91" s="198"/>
      <c r="BP91" s="198"/>
      <c r="BQ91" s="198"/>
      <c r="BR91" s="198"/>
      <c r="BS91" s="198"/>
      <c r="BT91" s="197"/>
      <c r="BU91" s="198"/>
      <c r="BV91" s="198"/>
      <c r="BW91" s="198"/>
      <c r="BX91" s="198"/>
      <c r="BY91" s="198"/>
      <c r="BZ91" s="198"/>
      <c r="CA91" s="197"/>
      <c r="CB91" s="198"/>
      <c r="CC91" s="198"/>
      <c r="CD91" s="198"/>
      <c r="CE91" s="198"/>
      <c r="CF91" s="198"/>
      <c r="CG91" s="198"/>
      <c r="CH91" s="197"/>
      <c r="CI91" s="198"/>
      <c r="CJ91" s="198"/>
      <c r="CK91" s="198"/>
      <c r="CL91" s="198"/>
      <c r="CM91" s="198"/>
      <c r="CN91" s="198"/>
      <c r="CO91" s="197"/>
      <c r="CP91" s="198"/>
      <c r="CQ91" s="198"/>
      <c r="CR91" s="198"/>
      <c r="CS91" s="198"/>
      <c r="CT91" s="198"/>
      <c r="CU91" s="198"/>
      <c r="CV91" s="197"/>
      <c r="CW91" s="198"/>
      <c r="CX91" s="198"/>
      <c r="CY91" s="198"/>
      <c r="CZ91" s="198"/>
      <c r="DA91" s="198"/>
      <c r="DB91" s="198"/>
      <c r="DC91" s="197"/>
      <c r="DD91" s="198"/>
      <c r="DE91" s="198"/>
      <c r="DF91" s="198"/>
      <c r="DG91" s="198"/>
      <c r="DH91" s="198"/>
      <c r="DI91" s="198"/>
      <c r="DJ91" s="197"/>
      <c r="DK91" s="198"/>
      <c r="DL91" s="198"/>
      <c r="DM91" s="198"/>
      <c r="DN91" s="198"/>
      <c r="DO91" s="198"/>
      <c r="DP91" s="198"/>
      <c r="DQ91" s="197"/>
      <c r="DR91" s="198"/>
      <c r="DS91" s="198"/>
      <c r="DT91" s="198"/>
      <c r="DU91" s="198"/>
      <c r="DV91" s="198"/>
      <c r="DW91" s="198"/>
      <c r="DX91" s="197"/>
      <c r="DY91" s="198"/>
      <c r="DZ91" s="198"/>
      <c r="EA91" s="198"/>
      <c r="EB91" s="198"/>
      <c r="EC91" s="198"/>
      <c r="ED91" s="198"/>
      <c r="EE91" s="197"/>
      <c r="EF91" s="198"/>
      <c r="EG91" s="198"/>
      <c r="EH91" s="198"/>
      <c r="EI91" s="198"/>
      <c r="EJ91" s="198"/>
      <c r="EK91" s="198"/>
      <c r="EL91" s="197"/>
      <c r="EM91" s="198"/>
      <c r="EN91" s="198"/>
      <c r="EO91" s="198"/>
      <c r="EP91" s="198"/>
      <c r="EQ91" s="198"/>
      <c r="ER91" s="198"/>
      <c r="ES91" s="197"/>
      <c r="ET91" s="198"/>
      <c r="EU91" s="198"/>
      <c r="EV91" s="198"/>
      <c r="EW91" s="198"/>
      <c r="EX91" s="198"/>
      <c r="EY91" s="198"/>
      <c r="EZ91" s="197"/>
      <c r="FA91" s="198"/>
      <c r="FB91" s="198"/>
      <c r="FC91" s="198"/>
      <c r="FD91" s="198"/>
      <c r="FE91" s="198"/>
      <c r="FF91" s="198"/>
      <c r="FG91" s="197"/>
      <c r="FH91" s="198"/>
      <c r="FI91" s="198"/>
      <c r="FJ91" s="198"/>
      <c r="FK91" s="198"/>
      <c r="FL91" s="198"/>
      <c r="FM91" s="198"/>
      <c r="FN91" s="197"/>
      <c r="FO91" s="198"/>
      <c r="FP91" s="198"/>
      <c r="FQ91" s="198"/>
      <c r="FR91" s="198"/>
      <c r="FS91" s="198"/>
      <c r="FT91" s="199"/>
      <c r="FU91" s="197"/>
      <c r="FV91" s="198"/>
      <c r="FW91" s="198"/>
      <c r="FX91" s="198"/>
      <c r="FY91" s="198"/>
      <c r="FZ91" s="198"/>
      <c r="GA91" s="199"/>
      <c r="GB91" s="197"/>
      <c r="GC91" s="198"/>
      <c r="GD91" s="198"/>
      <c r="GE91" s="198"/>
      <c r="GF91" s="198"/>
      <c r="GG91" s="198"/>
      <c r="GH91" s="199"/>
      <c r="GI91" s="197"/>
      <c r="GJ91" s="198"/>
      <c r="GK91" s="198"/>
      <c r="GL91" s="198"/>
      <c r="GM91" s="198"/>
      <c r="GN91" s="198"/>
      <c r="GO91" s="199"/>
      <c r="GP91" s="197"/>
      <c r="GQ91" s="198"/>
      <c r="GR91" s="198"/>
      <c r="GS91" s="198"/>
      <c r="GT91" s="198"/>
      <c r="GU91" s="198"/>
      <c r="GV91" s="199"/>
      <c r="GW91" s="197"/>
      <c r="GX91" s="198"/>
      <c r="GY91" s="198"/>
      <c r="GZ91" s="198"/>
      <c r="HA91" s="198"/>
      <c r="HB91" s="198"/>
      <c r="HC91" s="199"/>
      <c r="HD91" s="197"/>
      <c r="HE91" s="198"/>
      <c r="HF91" s="198"/>
      <c r="HG91" s="198"/>
      <c r="HH91" s="198"/>
      <c r="HI91" s="198"/>
      <c r="HJ91" s="199"/>
      <c r="HK91" s="197"/>
      <c r="HL91" s="198"/>
      <c r="HM91" s="198"/>
      <c r="HN91" s="198"/>
      <c r="HO91" s="198"/>
      <c r="HP91" s="198"/>
      <c r="HQ91" s="198"/>
      <c r="HR91" s="197"/>
      <c r="HT91" s="198"/>
      <c r="HU91" s="198"/>
      <c r="HV91" s="198"/>
      <c r="HW91" s="198"/>
      <c r="HX91" s="198"/>
    </row>
    <row r="92" spans="1:233">
      <c r="A92" s="185" t="s">
        <v>491</v>
      </c>
      <c r="B92" s="197"/>
      <c r="C92" s="198"/>
      <c r="D92" s="198"/>
      <c r="E92" s="198"/>
      <c r="F92" s="198"/>
      <c r="G92" s="198"/>
      <c r="H92" s="199"/>
      <c r="I92" s="197"/>
      <c r="J92" s="198"/>
      <c r="K92" s="198"/>
      <c r="L92" s="198"/>
      <c r="M92" s="198"/>
      <c r="N92" s="198"/>
      <c r="O92" s="199"/>
      <c r="P92" s="198"/>
      <c r="Q92" s="198"/>
      <c r="R92" s="198"/>
      <c r="S92" s="198"/>
      <c r="T92" s="198"/>
      <c r="U92" s="198"/>
      <c r="V92" s="199"/>
      <c r="W92" s="198">
        <v>1347.9169999999999</v>
      </c>
      <c r="X92" s="198">
        <v>119.136</v>
      </c>
      <c r="Y92" s="198">
        <v>448.12400000000002</v>
      </c>
      <c r="Z92" s="198">
        <v>71.995000000000005</v>
      </c>
      <c r="AA92" s="198">
        <v>366.245</v>
      </c>
      <c r="AB92" s="198"/>
      <c r="AC92" s="199">
        <f t="shared" si="1"/>
        <v>342.41699999999992</v>
      </c>
      <c r="AD92" s="198">
        <f>[1]datos!$S224</f>
        <v>451.79599999999999</v>
      </c>
      <c r="AE92" s="198">
        <v>37.997</v>
      </c>
      <c r="AF92" s="198">
        <v>109.16300000000001</v>
      </c>
      <c r="AG92" s="198">
        <v>120.874</v>
      </c>
      <c r="AH92" s="198">
        <v>62.267000000000003</v>
      </c>
      <c r="AI92" s="198">
        <f>[1]datos!$U224</f>
        <v>45.75</v>
      </c>
      <c r="AJ92" s="198">
        <f>AD92-AE92-AF92-AG92-AH92-AI92</f>
        <v>75.744999999999976</v>
      </c>
      <c r="AK92" s="197"/>
      <c r="AL92" s="198"/>
      <c r="AM92" s="198"/>
      <c r="AN92" s="198"/>
      <c r="AO92" s="198"/>
      <c r="AP92" s="198"/>
      <c r="AQ92" s="199"/>
      <c r="AR92" s="198">
        <v>207983.41225879968</v>
      </c>
      <c r="AS92" s="198">
        <v>48385.917300288478</v>
      </c>
      <c r="AT92" s="198">
        <v>24968.131797603572</v>
      </c>
      <c r="AU92" s="198">
        <v>42418.018514477008</v>
      </c>
      <c r="AV92" s="198">
        <v>16862.289412971419</v>
      </c>
      <c r="AW92" s="198"/>
      <c r="AX92" s="198">
        <v>75349.055233459221</v>
      </c>
      <c r="AY92" s="197"/>
      <c r="AZ92" s="198"/>
      <c r="BA92" s="198"/>
      <c r="BB92" s="198"/>
      <c r="BC92" s="198"/>
      <c r="BD92" s="198"/>
      <c r="BE92" s="198"/>
      <c r="BF92" s="197"/>
      <c r="BG92" s="198"/>
      <c r="BH92" s="198"/>
      <c r="BI92" s="198"/>
      <c r="BJ92" s="198"/>
      <c r="BK92" s="198"/>
      <c r="BL92" s="198"/>
      <c r="BM92" s="197"/>
      <c r="BN92" s="198"/>
      <c r="BO92" s="198"/>
      <c r="BP92" s="198"/>
      <c r="BQ92" s="198"/>
      <c r="BR92" s="198"/>
      <c r="BS92" s="198"/>
      <c r="BT92" s="197"/>
      <c r="BU92" s="198"/>
      <c r="BV92" s="198"/>
      <c r="BW92" s="198"/>
      <c r="BX92" s="198"/>
      <c r="BY92" s="198"/>
      <c r="BZ92" s="198"/>
      <c r="CA92" s="197"/>
      <c r="CB92" s="198"/>
      <c r="CC92" s="198"/>
      <c r="CD92" s="198"/>
      <c r="CE92" s="198"/>
      <c r="CF92" s="198"/>
      <c r="CG92" s="198"/>
      <c r="CH92" s="197"/>
      <c r="CI92" s="198"/>
      <c r="CJ92" s="198"/>
      <c r="CK92" s="198"/>
      <c r="CL92" s="198"/>
      <c r="CM92" s="198"/>
      <c r="CN92" s="198"/>
      <c r="CO92" s="197"/>
      <c r="CP92" s="198"/>
      <c r="CQ92" s="198"/>
      <c r="CR92" s="198"/>
      <c r="CS92" s="198"/>
      <c r="CT92" s="198"/>
      <c r="CU92" s="198"/>
      <c r="CV92" s="197"/>
      <c r="CW92" s="198"/>
      <c r="CX92" s="198"/>
      <c r="CY92" s="198"/>
      <c r="CZ92" s="198"/>
      <c r="DA92" s="198"/>
      <c r="DB92" s="198"/>
      <c r="DC92" s="197"/>
      <c r="DD92" s="198"/>
      <c r="DE92" s="198"/>
      <c r="DF92" s="198"/>
      <c r="DG92" s="198"/>
      <c r="DH92" s="198"/>
      <c r="DI92" s="198"/>
      <c r="DJ92" s="197"/>
      <c r="DK92" s="198"/>
      <c r="DL92" s="198"/>
      <c r="DM92" s="198"/>
      <c r="DN92" s="198"/>
      <c r="DO92" s="198"/>
      <c r="DP92" s="198"/>
      <c r="DQ92" s="197"/>
      <c r="DR92" s="198"/>
      <c r="DS92" s="198"/>
      <c r="DT92" s="198"/>
      <c r="DU92" s="198"/>
      <c r="DV92" s="198"/>
      <c r="DW92" s="198"/>
      <c r="DX92" s="197"/>
      <c r="DY92" s="198"/>
      <c r="DZ92" s="198"/>
      <c r="EA92" s="198"/>
      <c r="EB92" s="198"/>
      <c r="EC92" s="198"/>
      <c r="ED92" s="198"/>
      <c r="EE92" s="197"/>
      <c r="EF92" s="198"/>
      <c r="EG92" s="198"/>
      <c r="EH92" s="198"/>
      <c r="EI92" s="198"/>
      <c r="EJ92" s="198"/>
      <c r="EK92" s="198"/>
      <c r="EL92" s="197"/>
      <c r="EM92" s="198"/>
      <c r="EN92" s="198"/>
      <c r="EO92" s="198"/>
      <c r="EP92" s="198"/>
      <c r="EQ92" s="198"/>
      <c r="ER92" s="198"/>
      <c r="ES92" s="197"/>
      <c r="ET92" s="198"/>
      <c r="EU92" s="198"/>
      <c r="EV92" s="198"/>
      <c r="EW92" s="198"/>
      <c r="EX92" s="198"/>
      <c r="EY92" s="198"/>
      <c r="EZ92" s="197"/>
      <c r="FA92" s="198"/>
      <c r="FB92" s="198"/>
      <c r="FC92" s="198"/>
      <c r="FD92" s="198"/>
      <c r="FE92" s="198"/>
      <c r="FF92" s="198"/>
      <c r="FG92" s="197"/>
      <c r="FH92" s="198"/>
      <c r="FI92" s="198"/>
      <c r="FJ92" s="198"/>
      <c r="FK92" s="198"/>
      <c r="FL92" s="198"/>
      <c r="FM92" s="198"/>
      <c r="FN92" s="197"/>
      <c r="FO92" s="198"/>
      <c r="FP92" s="198"/>
      <c r="FQ92" s="198"/>
      <c r="FR92" s="198"/>
      <c r="FS92" s="198"/>
      <c r="FT92" s="199"/>
      <c r="FU92" s="197"/>
      <c r="FV92" s="198"/>
      <c r="FW92" s="198"/>
      <c r="FX92" s="198"/>
      <c r="FY92" s="198"/>
      <c r="FZ92" s="198"/>
      <c r="GA92" s="199"/>
      <c r="GB92" s="197"/>
      <c r="GC92" s="198"/>
      <c r="GD92" s="198"/>
      <c r="GE92" s="198"/>
      <c r="GF92" s="198"/>
      <c r="GG92" s="198"/>
      <c r="GH92" s="199"/>
      <c r="GI92" s="197"/>
      <c r="GJ92" s="198"/>
      <c r="GK92" s="198"/>
      <c r="GL92" s="198"/>
      <c r="GM92" s="198"/>
      <c r="GN92" s="198"/>
      <c r="GO92" s="199"/>
      <c r="GP92" s="197"/>
      <c r="GQ92" s="198"/>
      <c r="GR92" s="198"/>
      <c r="GS92" s="198"/>
      <c r="GT92" s="198"/>
      <c r="GU92" s="198"/>
      <c r="GV92" s="199"/>
      <c r="GW92" s="197"/>
      <c r="GX92" s="198"/>
      <c r="GY92" s="198"/>
      <c r="GZ92" s="198"/>
      <c r="HA92" s="198"/>
      <c r="HB92" s="198"/>
      <c r="HC92" s="199"/>
      <c r="HD92" s="197"/>
      <c r="HE92" s="198"/>
      <c r="HF92" s="198"/>
      <c r="HG92" s="198"/>
      <c r="HH92" s="198"/>
      <c r="HI92" s="198"/>
      <c r="HJ92" s="199"/>
      <c r="HK92" s="197"/>
      <c r="HL92" s="198"/>
      <c r="HM92" s="198"/>
      <c r="HN92" s="198"/>
      <c r="HO92" s="198"/>
      <c r="HP92" s="198"/>
      <c r="HQ92" s="198"/>
      <c r="HR92" s="197"/>
      <c r="HT92" s="198"/>
      <c r="HU92" s="198"/>
      <c r="HV92" s="198"/>
      <c r="HW92" s="198"/>
      <c r="HX92" s="198"/>
    </row>
    <row r="93" spans="1:233">
      <c r="A93" s="185" t="s">
        <v>492</v>
      </c>
      <c r="B93" s="197"/>
      <c r="C93" s="198"/>
      <c r="D93" s="198"/>
      <c r="E93" s="198"/>
      <c r="F93" s="198"/>
      <c r="G93" s="198"/>
      <c r="H93" s="199"/>
      <c r="I93" s="197"/>
      <c r="J93" s="198"/>
      <c r="K93" s="198"/>
      <c r="L93" s="198"/>
      <c r="M93" s="198"/>
      <c r="N93" s="198"/>
      <c r="O93" s="199"/>
      <c r="P93" s="198"/>
      <c r="Q93" s="198"/>
      <c r="R93" s="198"/>
      <c r="S93" s="198"/>
      <c r="T93" s="198"/>
      <c r="U93" s="198"/>
      <c r="V93" s="199"/>
      <c r="W93" s="198">
        <v>1349.2639999999999</v>
      </c>
      <c r="X93" s="198">
        <v>115.255</v>
      </c>
      <c r="Y93" s="198">
        <v>454.47900000000004</v>
      </c>
      <c r="Z93" s="198">
        <v>74.132999999999996</v>
      </c>
      <c r="AA93" s="198">
        <v>367.81900000000002</v>
      </c>
      <c r="AB93" s="198"/>
      <c r="AC93" s="199">
        <f t="shared" si="1"/>
        <v>337.57799999999992</v>
      </c>
      <c r="AD93" s="198"/>
      <c r="AE93" s="198">
        <v>39.704000000000001</v>
      </c>
      <c r="AF93" s="198">
        <v>108.42500000000001</v>
      </c>
      <c r="AG93" s="198">
        <v>122.078</v>
      </c>
      <c r="AH93" s="198">
        <v>62.003999999999998</v>
      </c>
      <c r="AI93" s="198"/>
      <c r="AJ93" s="198"/>
      <c r="AK93" s="197"/>
      <c r="AL93" s="198"/>
      <c r="AM93" s="198"/>
      <c r="AN93" s="198"/>
      <c r="AO93" s="198"/>
      <c r="AP93" s="198"/>
      <c r="AQ93" s="199"/>
      <c r="AR93" s="198">
        <v>215147.13268132892</v>
      </c>
      <c r="AS93" s="198">
        <v>49931.29452663142</v>
      </c>
      <c r="AT93" s="198">
        <v>26091.707745621683</v>
      </c>
      <c r="AU93" s="198">
        <v>44725.154041005146</v>
      </c>
      <c r="AV93" s="198">
        <v>17055.528216933813</v>
      </c>
      <c r="AW93" s="198"/>
      <c r="AX93" s="198">
        <v>77343.44815113685</v>
      </c>
      <c r="AY93" s="197"/>
      <c r="AZ93" s="198"/>
      <c r="BA93" s="198"/>
      <c r="BB93" s="198"/>
      <c r="BC93" s="198"/>
      <c r="BD93" s="198"/>
      <c r="BE93" s="198"/>
      <c r="BF93" s="197">
        <v>24159514.469999999</v>
      </c>
      <c r="BG93" s="198"/>
      <c r="BH93" s="198">
        <v>12347517.249999998</v>
      </c>
      <c r="BI93" s="198">
        <v>5876418.9800000004</v>
      </c>
      <c r="BJ93" s="198">
        <v>5935578.2399999993</v>
      </c>
      <c r="BK93" s="198">
        <v>0</v>
      </c>
      <c r="BL93" s="198"/>
      <c r="BM93" s="197"/>
      <c r="BN93" s="198"/>
      <c r="BO93" s="198"/>
      <c r="BP93" s="198"/>
      <c r="BQ93" s="198"/>
      <c r="BR93" s="198"/>
      <c r="BS93" s="198"/>
      <c r="BT93" s="197"/>
      <c r="BU93" s="198"/>
      <c r="BV93" s="198"/>
      <c r="BW93" s="198"/>
      <c r="BX93" s="198"/>
      <c r="BY93" s="198"/>
      <c r="BZ93" s="198"/>
      <c r="CA93" s="197"/>
      <c r="CB93" s="198"/>
      <c r="CC93" s="198"/>
      <c r="CD93" s="198"/>
      <c r="CE93" s="198"/>
      <c r="CF93" s="198"/>
      <c r="CG93" s="198"/>
      <c r="CH93" s="197"/>
      <c r="CI93" s="198"/>
      <c r="CJ93" s="198"/>
      <c r="CK93" s="198"/>
      <c r="CL93" s="198"/>
      <c r="CM93" s="198"/>
      <c r="CN93" s="198"/>
      <c r="CO93" s="197"/>
      <c r="CP93" s="198"/>
      <c r="CQ93" s="198"/>
      <c r="CR93" s="198"/>
      <c r="CS93" s="198"/>
      <c r="CT93" s="198"/>
      <c r="CU93" s="198"/>
      <c r="CV93" s="197"/>
      <c r="CW93" s="198"/>
      <c r="CX93" s="198"/>
      <c r="CY93" s="198"/>
      <c r="CZ93" s="198"/>
      <c r="DA93" s="198"/>
      <c r="DB93" s="198"/>
      <c r="DC93" s="197"/>
      <c r="DD93" s="198"/>
      <c r="DE93" s="198"/>
      <c r="DF93" s="198"/>
      <c r="DG93" s="198"/>
      <c r="DH93" s="198"/>
      <c r="DI93" s="198"/>
      <c r="DJ93" s="197"/>
      <c r="DK93" s="198"/>
      <c r="DL93" s="198"/>
      <c r="DM93" s="198"/>
      <c r="DN93" s="198"/>
      <c r="DO93" s="198"/>
      <c r="DP93" s="198"/>
      <c r="DQ93" s="197"/>
      <c r="DR93" s="198"/>
      <c r="DS93" s="198"/>
      <c r="DT93" s="198"/>
      <c r="DU93" s="198"/>
      <c r="DV93" s="198"/>
      <c r="DW93" s="198"/>
      <c r="DX93" s="197"/>
      <c r="DY93" s="198"/>
      <c r="DZ93" s="198"/>
      <c r="EA93" s="198"/>
      <c r="EB93" s="198"/>
      <c r="EC93" s="198"/>
      <c r="ED93" s="198"/>
      <c r="EE93" s="197"/>
      <c r="EF93" s="198"/>
      <c r="EG93" s="198"/>
      <c r="EH93" s="198"/>
      <c r="EI93" s="198"/>
      <c r="EJ93" s="198"/>
      <c r="EK93" s="198"/>
      <c r="EL93" s="197"/>
      <c r="EM93" s="198"/>
      <c r="EN93" s="198"/>
      <c r="EO93" s="198"/>
      <c r="EP93" s="198"/>
      <c r="EQ93" s="198"/>
      <c r="ER93" s="198"/>
      <c r="ES93" s="197"/>
      <c r="ET93" s="198"/>
      <c r="EU93" s="198"/>
      <c r="EV93" s="198"/>
      <c r="EW93" s="198"/>
      <c r="EX93" s="198"/>
      <c r="EY93" s="198"/>
      <c r="EZ93" s="197"/>
      <c r="FA93" s="198"/>
      <c r="FB93" s="198"/>
      <c r="FC93" s="198"/>
      <c r="FD93" s="198"/>
      <c r="FE93" s="198"/>
      <c r="FF93" s="198"/>
      <c r="FG93" s="197"/>
      <c r="FH93" s="198"/>
      <c r="FI93" s="198"/>
      <c r="FJ93" s="198"/>
      <c r="FK93" s="198"/>
      <c r="FL93" s="198"/>
      <c r="FM93" s="198"/>
      <c r="FN93" s="197"/>
      <c r="FO93" s="198"/>
      <c r="FP93" s="198"/>
      <c r="FQ93" s="198"/>
      <c r="FR93" s="198"/>
      <c r="FS93" s="198"/>
      <c r="FT93" s="199"/>
      <c r="FU93" s="197"/>
      <c r="FV93" s="198"/>
      <c r="FW93" s="198"/>
      <c r="FX93" s="198"/>
      <c r="FY93" s="198"/>
      <c r="FZ93" s="198"/>
      <c r="GA93" s="199"/>
      <c r="GB93" s="197"/>
      <c r="GC93" s="198"/>
      <c r="GD93" s="198"/>
      <c r="GE93" s="198"/>
      <c r="GF93" s="198"/>
      <c r="GG93" s="198"/>
      <c r="GH93" s="199"/>
      <c r="GI93" s="197"/>
      <c r="GJ93" s="198"/>
      <c r="GK93" s="198"/>
      <c r="GL93" s="198"/>
      <c r="GM93" s="198"/>
      <c r="GN93" s="198"/>
      <c r="GO93" s="199"/>
      <c r="GP93" s="197"/>
      <c r="GQ93" s="198"/>
      <c r="GR93" s="198"/>
      <c r="GS93" s="198"/>
      <c r="GT93" s="198"/>
      <c r="GU93" s="198"/>
      <c r="GV93" s="199"/>
      <c r="GW93" s="197"/>
      <c r="GX93" s="198"/>
      <c r="GY93" s="198"/>
      <c r="GZ93" s="198"/>
      <c r="HA93" s="198"/>
      <c r="HB93" s="198"/>
      <c r="HC93" s="199"/>
      <c r="HD93" s="197"/>
      <c r="HE93" s="198"/>
      <c r="HF93" s="198"/>
      <c r="HG93" s="198"/>
      <c r="HH93" s="198"/>
      <c r="HI93" s="198"/>
      <c r="HJ93" s="199"/>
      <c r="HK93" s="197"/>
      <c r="HL93" s="198"/>
      <c r="HM93" s="198"/>
      <c r="HN93" s="198"/>
      <c r="HO93" s="198"/>
      <c r="HP93" s="198"/>
      <c r="HQ93" s="198"/>
      <c r="HR93" s="197"/>
      <c r="HT93" s="198"/>
      <c r="HU93" s="198"/>
      <c r="HV93" s="198"/>
      <c r="HW93" s="198"/>
      <c r="HX93" s="198"/>
    </row>
    <row r="94" spans="1:233">
      <c r="A94" s="185" t="s">
        <v>493</v>
      </c>
      <c r="B94" s="197"/>
      <c r="C94" s="198"/>
      <c r="D94" s="198"/>
      <c r="E94" s="198"/>
      <c r="F94" s="198"/>
      <c r="G94" s="198"/>
      <c r="H94" s="199"/>
      <c r="I94" s="197"/>
      <c r="J94" s="198"/>
      <c r="K94" s="198"/>
      <c r="L94" s="198"/>
      <c r="M94" s="198"/>
      <c r="N94" s="198"/>
      <c r="O94" s="199"/>
      <c r="P94" s="198"/>
      <c r="Q94" s="198"/>
      <c r="R94" s="198"/>
      <c r="S94" s="198"/>
      <c r="T94" s="198"/>
      <c r="U94" s="198"/>
      <c r="V94" s="199"/>
      <c r="W94" s="198">
        <v>1329.077</v>
      </c>
      <c r="X94" s="198">
        <v>116.73</v>
      </c>
      <c r="Y94" s="198">
        <v>453.38900000000001</v>
      </c>
      <c r="Z94" s="198">
        <v>73.745000000000005</v>
      </c>
      <c r="AA94" s="198">
        <v>377.94</v>
      </c>
      <c r="AB94" s="198"/>
      <c r="AC94" s="199">
        <f t="shared" si="1"/>
        <v>307.27299999999997</v>
      </c>
      <c r="AD94" s="198"/>
      <c r="AE94" s="198">
        <v>37.316000000000003</v>
      </c>
      <c r="AF94" s="198">
        <v>108.55999999999999</v>
      </c>
      <c r="AG94" s="198">
        <v>124.00700000000001</v>
      </c>
      <c r="AH94" s="198">
        <v>62.183999999999997</v>
      </c>
      <c r="AI94" s="198"/>
      <c r="AJ94" s="198"/>
      <c r="AK94" s="197"/>
      <c r="AL94" s="198"/>
      <c r="AM94" s="198"/>
      <c r="AN94" s="198"/>
      <c r="AO94" s="198"/>
      <c r="AP94" s="198"/>
      <c r="AQ94" s="199"/>
      <c r="AR94" s="198">
        <v>221881.65593326246</v>
      </c>
      <c r="AS94" s="198">
        <v>51038.049288305207</v>
      </c>
      <c r="AT94" s="198">
        <v>26950.646379153011</v>
      </c>
      <c r="AU94" s="198">
        <v>46221.303542982285</v>
      </c>
      <c r="AV94" s="198">
        <v>17364.909241799833</v>
      </c>
      <c r="AW94" s="198"/>
      <c r="AX94" s="198">
        <v>80306.747481022132</v>
      </c>
      <c r="AY94" s="197"/>
      <c r="AZ94" s="198"/>
      <c r="BA94" s="198"/>
      <c r="BB94" s="198"/>
      <c r="BC94" s="198"/>
      <c r="BD94" s="198"/>
      <c r="BE94" s="198"/>
      <c r="BF94" s="197">
        <v>24860331.59</v>
      </c>
      <c r="BG94" s="198"/>
      <c r="BH94" s="198">
        <v>12763542.23</v>
      </c>
      <c r="BI94" s="198">
        <v>6056118.040000001</v>
      </c>
      <c r="BJ94" s="198">
        <v>6040671.3200000003</v>
      </c>
      <c r="BK94" s="198">
        <v>0</v>
      </c>
      <c r="BL94" s="198"/>
      <c r="BM94" s="197"/>
      <c r="BN94" s="198"/>
      <c r="BO94" s="198"/>
      <c r="BP94" s="198"/>
      <c r="BQ94" s="198"/>
      <c r="BR94" s="198"/>
      <c r="BS94" s="198"/>
      <c r="BT94" s="197"/>
      <c r="BU94" s="198"/>
      <c r="BV94" s="198"/>
      <c r="BW94" s="198"/>
      <c r="BX94" s="198"/>
      <c r="BY94" s="198"/>
      <c r="BZ94" s="198"/>
      <c r="CA94" s="197"/>
      <c r="CB94" s="198"/>
      <c r="CC94" s="198"/>
      <c r="CD94" s="198"/>
      <c r="CE94" s="198"/>
      <c r="CF94" s="198"/>
      <c r="CG94" s="198"/>
      <c r="CH94" s="197"/>
      <c r="CI94" s="198"/>
      <c r="CJ94" s="198"/>
      <c r="CK94" s="198"/>
      <c r="CL94" s="198"/>
      <c r="CM94" s="198"/>
      <c r="CN94" s="198"/>
      <c r="CO94" s="197"/>
      <c r="CP94" s="198"/>
      <c r="CQ94" s="198"/>
      <c r="CR94" s="198"/>
      <c r="CS94" s="198"/>
      <c r="CT94" s="198"/>
      <c r="CU94" s="198"/>
      <c r="CV94" s="197"/>
      <c r="CW94" s="198"/>
      <c r="CX94" s="198"/>
      <c r="CY94" s="198"/>
      <c r="CZ94" s="198"/>
      <c r="DA94" s="198"/>
      <c r="DB94" s="198"/>
      <c r="DC94" s="197"/>
      <c r="DD94" s="198"/>
      <c r="DE94" s="198"/>
      <c r="DF94" s="198"/>
      <c r="DG94" s="198"/>
      <c r="DH94" s="198"/>
      <c r="DI94" s="198"/>
      <c r="DJ94" s="197"/>
      <c r="DK94" s="198"/>
      <c r="DL94" s="198"/>
      <c r="DM94" s="198"/>
      <c r="DN94" s="198"/>
      <c r="DO94" s="198"/>
      <c r="DP94" s="198"/>
      <c r="DQ94" s="197"/>
      <c r="DR94" s="198"/>
      <c r="DS94" s="198"/>
      <c r="DT94" s="198"/>
      <c r="DU94" s="198"/>
      <c r="DV94" s="198"/>
      <c r="DW94" s="198"/>
      <c r="DX94" s="197"/>
      <c r="DY94" s="198"/>
      <c r="DZ94" s="198"/>
      <c r="EA94" s="198"/>
      <c r="EB94" s="198"/>
      <c r="EC94" s="198"/>
      <c r="ED94" s="198"/>
      <c r="EE94" s="197"/>
      <c r="EF94" s="198"/>
      <c r="EG94" s="198"/>
      <c r="EH94" s="198"/>
      <c r="EI94" s="198"/>
      <c r="EJ94" s="198"/>
      <c r="EK94" s="198"/>
      <c r="EL94" s="197"/>
      <c r="EM94" s="198"/>
      <c r="EN94" s="198"/>
      <c r="EO94" s="198"/>
      <c r="EP94" s="198"/>
      <c r="EQ94" s="198"/>
      <c r="ER94" s="198"/>
      <c r="ES94" s="197"/>
      <c r="ET94" s="198"/>
      <c r="EU94" s="198"/>
      <c r="EV94" s="198"/>
      <c r="EW94" s="198"/>
      <c r="EX94" s="198"/>
      <c r="EY94" s="198"/>
      <c r="EZ94" s="197"/>
      <c r="FA94" s="198"/>
      <c r="FB94" s="198"/>
      <c r="FC94" s="198"/>
      <c r="FD94" s="198"/>
      <c r="FE94" s="198"/>
      <c r="FF94" s="198"/>
      <c r="FG94" s="197"/>
      <c r="FH94" s="198"/>
      <c r="FI94" s="198"/>
      <c r="FJ94" s="198"/>
      <c r="FK94" s="198"/>
      <c r="FL94" s="198"/>
      <c r="FM94" s="198"/>
      <c r="FN94" s="197"/>
      <c r="FO94" s="198"/>
      <c r="FP94" s="198"/>
      <c r="FQ94" s="198"/>
      <c r="FR94" s="198"/>
      <c r="FS94" s="198"/>
      <c r="FT94" s="199"/>
      <c r="FU94" s="197"/>
      <c r="FV94" s="198"/>
      <c r="FW94" s="198"/>
      <c r="FX94" s="198"/>
      <c r="FY94" s="198"/>
      <c r="FZ94" s="198"/>
      <c r="GA94" s="199"/>
      <c r="GB94" s="197"/>
      <c r="GC94" s="198"/>
      <c r="GD94" s="198"/>
      <c r="GE94" s="198"/>
      <c r="GF94" s="198"/>
      <c r="GG94" s="198"/>
      <c r="GH94" s="199"/>
      <c r="GI94" s="197"/>
      <c r="GJ94" s="198"/>
      <c r="GK94" s="198"/>
      <c r="GL94" s="198"/>
      <c r="GM94" s="198"/>
      <c r="GN94" s="198"/>
      <c r="GO94" s="199"/>
      <c r="GP94" s="197"/>
      <c r="GQ94" s="198"/>
      <c r="GR94" s="198"/>
      <c r="GS94" s="198"/>
      <c r="GT94" s="198"/>
      <c r="GU94" s="198"/>
      <c r="GV94" s="199"/>
      <c r="GW94" s="197"/>
      <c r="GX94" s="198"/>
      <c r="GY94" s="198"/>
      <c r="GZ94" s="198"/>
      <c r="HA94" s="198"/>
      <c r="HB94" s="198"/>
      <c r="HC94" s="199"/>
      <c r="HD94" s="197"/>
      <c r="HE94" s="198"/>
      <c r="HF94" s="198"/>
      <c r="HG94" s="198"/>
      <c r="HH94" s="198"/>
      <c r="HI94" s="198"/>
      <c r="HJ94" s="199"/>
      <c r="HK94" s="197"/>
      <c r="HL94" s="198"/>
      <c r="HM94" s="198"/>
      <c r="HN94" s="198"/>
      <c r="HO94" s="198"/>
      <c r="HP94" s="198"/>
      <c r="HQ94" s="198"/>
      <c r="HR94" s="197"/>
      <c r="HT94" s="198"/>
      <c r="HU94" s="198"/>
      <c r="HV94" s="198"/>
      <c r="HW94" s="198"/>
      <c r="HX94" s="198"/>
    </row>
    <row r="95" spans="1:233">
      <c r="A95" s="185" t="s">
        <v>494</v>
      </c>
      <c r="B95" s="197"/>
      <c r="C95" s="198"/>
      <c r="D95" s="198"/>
      <c r="E95" s="198"/>
      <c r="F95" s="198"/>
      <c r="G95" s="198"/>
      <c r="H95" s="199"/>
      <c r="I95" s="197"/>
      <c r="J95" s="198"/>
      <c r="K95" s="198"/>
      <c r="L95" s="198"/>
      <c r="M95" s="198"/>
      <c r="N95" s="198"/>
      <c r="O95" s="199"/>
      <c r="P95" s="198"/>
      <c r="Q95" s="198"/>
      <c r="R95" s="198"/>
      <c r="S95" s="198"/>
      <c r="T95" s="198"/>
      <c r="U95" s="198"/>
      <c r="V95" s="199"/>
      <c r="W95" s="198">
        <v>1384.088</v>
      </c>
      <c r="X95" s="198">
        <v>117.887</v>
      </c>
      <c r="Y95" s="198">
        <v>467.43000000000006</v>
      </c>
      <c r="Z95" s="198">
        <v>72.108999999999995</v>
      </c>
      <c r="AA95" s="198">
        <v>387.88499999999999</v>
      </c>
      <c r="AB95" s="198"/>
      <c r="AC95" s="199">
        <f t="shared" si="1"/>
        <v>338.77699999999993</v>
      </c>
      <c r="AD95" s="198">
        <f>[1]datos!$S227</f>
        <v>461.00400000000002</v>
      </c>
      <c r="AE95" s="198">
        <v>39.180999999999997</v>
      </c>
      <c r="AF95" s="198">
        <v>111.179</v>
      </c>
      <c r="AG95" s="198">
        <v>123.65300000000001</v>
      </c>
      <c r="AH95" s="198">
        <v>63.008000000000003</v>
      </c>
      <c r="AI95" s="198">
        <f>[1]datos!$U227</f>
        <v>46.146999999999998</v>
      </c>
      <c r="AJ95" s="198">
        <f>AD95-AE95-AF95-AG95-AH95-AI95</f>
        <v>77.835999999999984</v>
      </c>
      <c r="AK95" s="197"/>
      <c r="AL95" s="198"/>
      <c r="AM95" s="198"/>
      <c r="AN95" s="198"/>
      <c r="AO95" s="198"/>
      <c r="AP95" s="198"/>
      <c r="AQ95" s="199"/>
      <c r="AR95" s="198">
        <v>226147.51809926215</v>
      </c>
      <c r="AS95" s="198">
        <v>51055.643040373878</v>
      </c>
      <c r="AT95" s="198">
        <v>28169.425400458549</v>
      </c>
      <c r="AU95" s="198">
        <v>48533.620894162596</v>
      </c>
      <c r="AV95" s="198">
        <v>17128.715456833863</v>
      </c>
      <c r="AW95" s="198"/>
      <c r="AX95" s="198">
        <v>81260.11330743329</v>
      </c>
      <c r="AY95" s="197"/>
      <c r="AZ95" s="198"/>
      <c r="BA95" s="198"/>
      <c r="BB95" s="198"/>
      <c r="BC95" s="198"/>
      <c r="BD95" s="198"/>
      <c r="BE95" s="198"/>
      <c r="BF95" s="197">
        <v>25541155.250000004</v>
      </c>
      <c r="BG95" s="198"/>
      <c r="BH95" s="198">
        <v>13220936.879999999</v>
      </c>
      <c r="BI95" s="198">
        <v>6216167.0000000009</v>
      </c>
      <c r="BJ95" s="198">
        <v>6104051.3700000001</v>
      </c>
      <c r="BK95" s="198">
        <v>0</v>
      </c>
      <c r="BL95" s="198"/>
      <c r="BM95" s="197"/>
      <c r="BN95" s="198"/>
      <c r="BO95" s="198"/>
      <c r="BP95" s="198"/>
      <c r="BQ95" s="198"/>
      <c r="BR95" s="198"/>
      <c r="BS95" s="198"/>
      <c r="BT95" s="197"/>
      <c r="BU95" s="198"/>
      <c r="BV95" s="198"/>
      <c r="BW95" s="198"/>
      <c r="BX95" s="198"/>
      <c r="BY95" s="198"/>
      <c r="BZ95" s="198"/>
      <c r="CA95" s="197"/>
      <c r="CB95" s="198"/>
      <c r="CC95" s="198"/>
      <c r="CD95" s="198"/>
      <c r="CE95" s="198"/>
      <c r="CF95" s="198"/>
      <c r="CG95" s="198"/>
      <c r="CH95" s="197"/>
      <c r="CI95" s="198"/>
      <c r="CJ95" s="198"/>
      <c r="CK95" s="198"/>
      <c r="CL95" s="198"/>
      <c r="CM95" s="198"/>
      <c r="CN95" s="198"/>
      <c r="CO95" s="197"/>
      <c r="CP95" s="198"/>
      <c r="CQ95" s="198"/>
      <c r="CR95" s="198"/>
      <c r="CS95" s="198"/>
      <c r="CT95" s="198"/>
      <c r="CU95" s="198"/>
      <c r="CV95" s="197"/>
      <c r="CW95" s="198"/>
      <c r="CX95" s="198"/>
      <c r="CY95" s="198"/>
      <c r="CZ95" s="198"/>
      <c r="DA95" s="198"/>
      <c r="DB95" s="198"/>
      <c r="DC95" s="197"/>
      <c r="DD95" s="198"/>
      <c r="DE95" s="198"/>
      <c r="DF95" s="198"/>
      <c r="DG95" s="198"/>
      <c r="DH95" s="198"/>
      <c r="DI95" s="198"/>
      <c r="DJ95" s="197"/>
      <c r="DK95" s="198"/>
      <c r="DL95" s="198"/>
      <c r="DM95" s="198"/>
      <c r="DN95" s="198"/>
      <c r="DO95" s="198"/>
      <c r="DP95" s="198"/>
      <c r="DQ95" s="197"/>
      <c r="DR95" s="198"/>
      <c r="DS95" s="198"/>
      <c r="DT95" s="198"/>
      <c r="DU95" s="198"/>
      <c r="DV95" s="198"/>
      <c r="DW95" s="198"/>
      <c r="DX95" s="197"/>
      <c r="DY95" s="198"/>
      <c r="DZ95" s="198"/>
      <c r="EA95" s="198"/>
      <c r="EB95" s="198"/>
      <c r="EC95" s="198"/>
      <c r="ED95" s="198"/>
      <c r="EE95" s="197"/>
      <c r="EF95" s="198"/>
      <c r="EG95" s="198"/>
      <c r="EH95" s="198"/>
      <c r="EI95" s="198"/>
      <c r="EJ95" s="198"/>
      <c r="EK95" s="198"/>
      <c r="EL95" s="197"/>
      <c r="EM95" s="198"/>
      <c r="EN95" s="198"/>
      <c r="EO95" s="198"/>
      <c r="EP95" s="198"/>
      <c r="EQ95" s="198"/>
      <c r="ER95" s="198"/>
      <c r="ES95" s="197"/>
      <c r="ET95" s="198"/>
      <c r="EU95" s="198"/>
      <c r="EV95" s="198"/>
      <c r="EW95" s="198"/>
      <c r="EX95" s="198"/>
      <c r="EY95" s="198"/>
      <c r="EZ95" s="197"/>
      <c r="FA95" s="198"/>
      <c r="FB95" s="198"/>
      <c r="FC95" s="198"/>
      <c r="FD95" s="198"/>
      <c r="FE95" s="198"/>
      <c r="FF95" s="198"/>
      <c r="FG95" s="197"/>
      <c r="FH95" s="198"/>
      <c r="FI95" s="198"/>
      <c r="FJ95" s="198"/>
      <c r="FK95" s="198"/>
      <c r="FL95" s="198"/>
      <c r="FM95" s="198"/>
      <c r="FN95" s="197"/>
      <c r="FO95" s="198"/>
      <c r="FP95" s="198"/>
      <c r="FQ95" s="198"/>
      <c r="FR95" s="198"/>
      <c r="FS95" s="198"/>
      <c r="FT95" s="199"/>
      <c r="FU95" s="197"/>
      <c r="FV95" s="198"/>
      <c r="FW95" s="198"/>
      <c r="FX95" s="198"/>
      <c r="FY95" s="198"/>
      <c r="FZ95" s="198"/>
      <c r="GA95" s="199"/>
      <c r="GB95" s="197"/>
      <c r="GC95" s="198"/>
      <c r="GD95" s="198"/>
      <c r="GE95" s="198"/>
      <c r="GF95" s="198"/>
      <c r="GG95" s="198"/>
      <c r="GH95" s="199"/>
      <c r="GI95" s="197"/>
      <c r="GJ95" s="198"/>
      <c r="GK95" s="198"/>
      <c r="GL95" s="198"/>
      <c r="GM95" s="198"/>
      <c r="GN95" s="198"/>
      <c r="GO95" s="199"/>
      <c r="GP95" s="197"/>
      <c r="GQ95" s="198"/>
      <c r="GR95" s="198"/>
      <c r="GS95" s="198"/>
      <c r="GT95" s="198"/>
      <c r="GU95" s="198"/>
      <c r="GV95" s="199"/>
      <c r="GW95" s="197"/>
      <c r="GX95" s="198"/>
      <c r="GY95" s="198"/>
      <c r="GZ95" s="198"/>
      <c r="HA95" s="198"/>
      <c r="HB95" s="198"/>
      <c r="HC95" s="199"/>
      <c r="HD95" s="197">
        <f>'[2]t&amp;t'!W227</f>
        <v>7862.7</v>
      </c>
      <c r="HE95" s="198">
        <f>'[2]t&amp;t'!X227</f>
        <v>1200.7</v>
      </c>
      <c r="HF95" s="198">
        <f>'[2]t&amp;t'!Y227</f>
        <v>867.8</v>
      </c>
      <c r="HG95" s="198">
        <f>'[2]t&amp;t'!Z227</f>
        <v>605.1</v>
      </c>
      <c r="HH95" s="198">
        <f>'[2]t&amp;t'!AA227</f>
        <v>2488.8000000000002</v>
      </c>
      <c r="HI95" s="198"/>
      <c r="HJ95" s="199">
        <f>'[2]t&amp;t'!AC227</f>
        <v>2700.3</v>
      </c>
      <c r="HK95" s="197"/>
      <c r="HL95" s="198"/>
      <c r="HM95" s="198"/>
      <c r="HN95" s="198"/>
      <c r="HO95" s="198"/>
      <c r="HP95" s="198"/>
      <c r="HQ95" s="198"/>
      <c r="HR95" s="197"/>
      <c r="HT95" s="198"/>
      <c r="HU95" s="198"/>
      <c r="HV95" s="198"/>
      <c r="HW95" s="198"/>
      <c r="HX95" s="198"/>
    </row>
    <row r="96" spans="1:233">
      <c r="A96" s="185" t="s">
        <v>495</v>
      </c>
      <c r="B96" s="197"/>
      <c r="C96" s="198"/>
      <c r="D96" s="198"/>
      <c r="E96" s="198"/>
      <c r="F96" s="198"/>
      <c r="G96" s="198"/>
      <c r="H96" s="199"/>
      <c r="I96" s="197"/>
      <c r="J96" s="198"/>
      <c r="K96" s="198"/>
      <c r="L96" s="198"/>
      <c r="M96" s="198"/>
      <c r="N96" s="198"/>
      <c r="O96" s="199"/>
      <c r="P96" s="198"/>
      <c r="Q96" s="198"/>
      <c r="R96" s="198"/>
      <c r="S96" s="198"/>
      <c r="T96" s="198"/>
      <c r="U96" s="198"/>
      <c r="V96" s="199"/>
      <c r="W96" s="198">
        <v>1399.9659999999999</v>
      </c>
      <c r="X96" s="198">
        <v>118.664</v>
      </c>
      <c r="Y96" s="198">
        <v>458.96500000000003</v>
      </c>
      <c r="Z96" s="198">
        <v>73.352000000000004</v>
      </c>
      <c r="AA96" s="198">
        <v>397.18400000000003</v>
      </c>
      <c r="AB96" s="198"/>
      <c r="AC96" s="199">
        <f t="shared" si="1"/>
        <v>351.80099999999987</v>
      </c>
      <c r="AD96" s="198"/>
      <c r="AE96" s="198">
        <v>38.207000000000001</v>
      </c>
      <c r="AF96" s="198">
        <v>114.31700000000001</v>
      </c>
      <c r="AG96" s="198">
        <v>125.26300000000001</v>
      </c>
      <c r="AH96" s="198">
        <v>64.992999999999995</v>
      </c>
      <c r="AI96" s="198"/>
      <c r="AJ96" s="198"/>
      <c r="AK96" s="197"/>
      <c r="AL96" s="198"/>
      <c r="AM96" s="198"/>
      <c r="AN96" s="198"/>
      <c r="AO96" s="198"/>
      <c r="AP96" s="198"/>
      <c r="AQ96" s="199"/>
      <c r="AR96" s="198">
        <v>223164.64469913946</v>
      </c>
      <c r="AS96" s="198">
        <v>52441.904713997152</v>
      </c>
      <c r="AT96" s="198">
        <v>29178.390886890051</v>
      </c>
      <c r="AU96" s="198">
        <v>42740.250158422532</v>
      </c>
      <c r="AV96" s="198">
        <v>17294.080872616167</v>
      </c>
      <c r="AW96" s="198"/>
      <c r="AX96" s="198">
        <v>81510.018067213547</v>
      </c>
      <c r="AY96" s="197"/>
      <c r="AZ96" s="198"/>
      <c r="BA96" s="198"/>
      <c r="BB96" s="198"/>
      <c r="BC96" s="198"/>
      <c r="BD96" s="198"/>
      <c r="BE96" s="198"/>
      <c r="BF96" s="197">
        <v>26177032.879999999</v>
      </c>
      <c r="BG96" s="198"/>
      <c r="BH96" s="198">
        <v>13715255.279999999</v>
      </c>
      <c r="BI96" s="198">
        <v>6270435.8899999987</v>
      </c>
      <c r="BJ96" s="198">
        <v>6191341.7100000009</v>
      </c>
      <c r="BK96" s="198">
        <v>0</v>
      </c>
      <c r="BL96" s="198"/>
      <c r="BM96" s="197"/>
      <c r="BN96" s="198"/>
      <c r="BO96" s="198"/>
      <c r="BP96" s="198"/>
      <c r="BQ96" s="198"/>
      <c r="BR96" s="198"/>
      <c r="BS96" s="198"/>
      <c r="BT96" s="197"/>
      <c r="BU96" s="198"/>
      <c r="BV96" s="198"/>
      <c r="BW96" s="198"/>
      <c r="BX96" s="198"/>
      <c r="BY96" s="198"/>
      <c r="BZ96" s="198"/>
      <c r="CA96" s="197"/>
      <c r="CB96" s="198"/>
      <c r="CC96" s="198"/>
      <c r="CD96" s="198"/>
      <c r="CE96" s="198"/>
      <c r="CF96" s="198"/>
      <c r="CG96" s="198"/>
      <c r="CH96" s="197"/>
      <c r="CI96" s="198"/>
      <c r="CJ96" s="198"/>
      <c r="CK96" s="198"/>
      <c r="CL96" s="198"/>
      <c r="CM96" s="198"/>
      <c r="CN96" s="198"/>
      <c r="CO96" s="197"/>
      <c r="CP96" s="198"/>
      <c r="CQ96" s="198"/>
      <c r="CR96" s="198"/>
      <c r="CS96" s="198"/>
      <c r="CT96" s="198"/>
      <c r="CU96" s="198"/>
      <c r="CV96" s="197"/>
      <c r="CW96" s="198"/>
      <c r="CX96" s="198"/>
      <c r="CY96" s="198"/>
      <c r="CZ96" s="198"/>
      <c r="DA96" s="198"/>
      <c r="DB96" s="198"/>
      <c r="DC96" s="197"/>
      <c r="DD96" s="198"/>
      <c r="DE96" s="198"/>
      <c r="DF96" s="198"/>
      <c r="DG96" s="198"/>
      <c r="DH96" s="198"/>
      <c r="DI96" s="198"/>
      <c r="DJ96" s="197"/>
      <c r="DK96" s="198"/>
      <c r="DL96" s="198"/>
      <c r="DM96" s="198"/>
      <c r="DN96" s="198"/>
      <c r="DO96" s="198"/>
      <c r="DP96" s="198"/>
      <c r="DQ96" s="197"/>
      <c r="DR96" s="198"/>
      <c r="DS96" s="198"/>
      <c r="DT96" s="198"/>
      <c r="DU96" s="198"/>
      <c r="DV96" s="198"/>
      <c r="DW96" s="198"/>
      <c r="DX96" s="197"/>
      <c r="DY96" s="198"/>
      <c r="DZ96" s="198"/>
      <c r="EA96" s="198"/>
      <c r="EB96" s="198"/>
      <c r="EC96" s="198"/>
      <c r="ED96" s="198"/>
      <c r="EE96" s="197"/>
      <c r="EF96" s="198"/>
      <c r="EG96" s="198"/>
      <c r="EH96" s="198"/>
      <c r="EI96" s="198"/>
      <c r="EJ96" s="198"/>
      <c r="EK96" s="198"/>
      <c r="EL96" s="197"/>
      <c r="EM96" s="198"/>
      <c r="EN96" s="198"/>
      <c r="EO96" s="198"/>
      <c r="EP96" s="198"/>
      <c r="EQ96" s="198"/>
      <c r="ER96" s="198"/>
      <c r="ES96" s="197"/>
      <c r="ET96" s="198"/>
      <c r="EU96" s="198"/>
      <c r="EV96" s="198"/>
      <c r="EW96" s="198"/>
      <c r="EX96" s="198"/>
      <c r="EY96" s="198"/>
      <c r="EZ96" s="197"/>
      <c r="FA96" s="198"/>
      <c r="FB96" s="198"/>
      <c r="FC96" s="198"/>
      <c r="FD96" s="198"/>
      <c r="FE96" s="198"/>
      <c r="FF96" s="198"/>
      <c r="FG96" s="197"/>
      <c r="FH96" s="198"/>
      <c r="FI96" s="198"/>
      <c r="FJ96" s="198"/>
      <c r="FK96" s="198"/>
      <c r="FL96" s="198"/>
      <c r="FM96" s="198"/>
      <c r="FN96" s="197"/>
      <c r="FO96" s="198"/>
      <c r="FP96" s="198"/>
      <c r="FQ96" s="198"/>
      <c r="FR96" s="198"/>
      <c r="FS96" s="198"/>
      <c r="FT96" s="199"/>
      <c r="FU96" s="197"/>
      <c r="FV96" s="198"/>
      <c r="FW96" s="198"/>
      <c r="FX96" s="198"/>
      <c r="FY96" s="198"/>
      <c r="FZ96" s="198"/>
      <c r="GA96" s="199"/>
      <c r="GB96" s="197"/>
      <c r="GC96" s="198"/>
      <c r="GD96" s="198"/>
      <c r="GE96" s="198"/>
      <c r="GF96" s="198"/>
      <c r="GG96" s="198"/>
      <c r="GH96" s="199"/>
      <c r="GI96" s="197"/>
      <c r="GJ96" s="198"/>
      <c r="GK96" s="198"/>
      <c r="GL96" s="198"/>
      <c r="GM96" s="198"/>
      <c r="GN96" s="198"/>
      <c r="GO96" s="199"/>
      <c r="GP96" s="197"/>
      <c r="GQ96" s="198"/>
      <c r="GR96" s="198"/>
      <c r="GS96" s="198"/>
      <c r="GT96" s="198"/>
      <c r="GU96" s="198"/>
      <c r="GV96" s="199"/>
      <c r="GW96" s="197"/>
      <c r="GX96" s="198"/>
      <c r="GY96" s="198"/>
      <c r="GZ96" s="198"/>
      <c r="HA96" s="198"/>
      <c r="HB96" s="198"/>
      <c r="HC96" s="199"/>
      <c r="HD96" s="197"/>
      <c r="HE96" s="198"/>
      <c r="HF96" s="198"/>
      <c r="HG96" s="198"/>
      <c r="HH96" s="198"/>
      <c r="HI96" s="198"/>
      <c r="HJ96" s="199"/>
      <c r="HK96" s="197"/>
      <c r="HL96" s="198"/>
      <c r="HM96" s="198"/>
      <c r="HN96" s="198"/>
      <c r="HO96" s="198"/>
      <c r="HP96" s="198"/>
      <c r="HQ96" s="198"/>
      <c r="HR96" s="197"/>
      <c r="HT96" s="198"/>
      <c r="HU96" s="198"/>
      <c r="HV96" s="198"/>
      <c r="HW96" s="198"/>
      <c r="HX96" s="198"/>
    </row>
    <row r="97" spans="1:233">
      <c r="A97" s="185" t="s">
        <v>496</v>
      </c>
      <c r="B97" s="197"/>
      <c r="C97" s="198"/>
      <c r="D97" s="198"/>
      <c r="E97" s="198"/>
      <c r="F97" s="198"/>
      <c r="G97" s="198"/>
      <c r="H97" s="199"/>
      <c r="I97" s="197"/>
      <c r="J97" s="198"/>
      <c r="K97" s="198"/>
      <c r="L97" s="198"/>
      <c r="M97" s="198"/>
      <c r="N97" s="198"/>
      <c r="O97" s="199"/>
      <c r="P97" s="198"/>
      <c r="Q97" s="198"/>
      <c r="R97" s="198"/>
      <c r="S97" s="198"/>
      <c r="T97" s="198"/>
      <c r="U97" s="198"/>
      <c r="V97" s="199"/>
      <c r="W97" s="198">
        <v>1415.6310000000001</v>
      </c>
      <c r="X97" s="198">
        <v>117.473</v>
      </c>
      <c r="Y97" s="198">
        <v>468.48099999999999</v>
      </c>
      <c r="Z97" s="198">
        <v>72.55</v>
      </c>
      <c r="AA97" s="198">
        <v>406.01600000000002</v>
      </c>
      <c r="AB97" s="198"/>
      <c r="AC97" s="199">
        <f t="shared" si="1"/>
        <v>351.11100000000016</v>
      </c>
      <c r="AD97" s="198"/>
      <c r="AE97" s="198">
        <v>35.380000000000003</v>
      </c>
      <c r="AF97" s="198">
        <v>116.827</v>
      </c>
      <c r="AG97" s="198">
        <v>125.77000000000001</v>
      </c>
      <c r="AH97" s="198">
        <v>67.518000000000001</v>
      </c>
      <c r="AI97" s="198"/>
      <c r="AJ97" s="198"/>
      <c r="AK97" s="197"/>
      <c r="AL97" s="198"/>
      <c r="AM97" s="198"/>
      <c r="AN97" s="198"/>
      <c r="AO97" s="198"/>
      <c r="AP97" s="198"/>
      <c r="AQ97" s="199"/>
      <c r="AR97" s="198">
        <v>224534.20604580245</v>
      </c>
      <c r="AS97" s="198">
        <v>53111.075314902009</v>
      </c>
      <c r="AT97" s="198">
        <v>29733.170918063868</v>
      </c>
      <c r="AU97" s="198">
        <v>44002.506926298585</v>
      </c>
      <c r="AV97" s="198">
        <v>16844.311030978522</v>
      </c>
      <c r="AW97" s="198"/>
      <c r="AX97" s="198">
        <v>80843.141855559472</v>
      </c>
      <c r="AY97" s="197"/>
      <c r="AZ97" s="198"/>
      <c r="BA97" s="198"/>
      <c r="BB97" s="198"/>
      <c r="BC97" s="198"/>
      <c r="BD97" s="198"/>
      <c r="BE97" s="198"/>
      <c r="BF97" s="197">
        <v>27007862.110000003</v>
      </c>
      <c r="BG97" s="198"/>
      <c r="BH97" s="198">
        <v>14223036.58</v>
      </c>
      <c r="BI97" s="198">
        <v>6495687.7200000007</v>
      </c>
      <c r="BJ97" s="198">
        <v>6289137.8099999996</v>
      </c>
      <c r="BK97" s="198">
        <v>0</v>
      </c>
      <c r="BL97" s="198"/>
      <c r="BM97" s="197"/>
      <c r="BN97" s="198"/>
      <c r="BO97" s="198"/>
      <c r="BP97" s="198"/>
      <c r="BQ97" s="198"/>
      <c r="BR97" s="198"/>
      <c r="BS97" s="198"/>
      <c r="BT97" s="197"/>
      <c r="BU97" s="198"/>
      <c r="BV97" s="198"/>
      <c r="BW97" s="198"/>
      <c r="BX97" s="198"/>
      <c r="BY97" s="198"/>
      <c r="BZ97" s="198"/>
      <c r="CA97" s="197"/>
      <c r="CB97" s="198"/>
      <c r="CC97" s="198"/>
      <c r="CD97" s="198"/>
      <c r="CE97" s="198"/>
      <c r="CF97" s="198"/>
      <c r="CG97" s="198"/>
      <c r="CH97" s="197"/>
      <c r="CI97" s="198"/>
      <c r="CJ97" s="198"/>
      <c r="CK97" s="198"/>
      <c r="CL97" s="198"/>
      <c r="CM97" s="198"/>
      <c r="CN97" s="198"/>
      <c r="CO97" s="197"/>
      <c r="CP97" s="198"/>
      <c r="CQ97" s="198"/>
      <c r="CR97" s="198"/>
      <c r="CS97" s="198"/>
      <c r="CT97" s="198"/>
      <c r="CU97" s="198"/>
      <c r="CV97" s="197"/>
      <c r="CW97" s="198"/>
      <c r="CX97" s="198"/>
      <c r="CY97" s="198"/>
      <c r="CZ97" s="198"/>
      <c r="DA97" s="198"/>
      <c r="DB97" s="198"/>
      <c r="DC97" s="197"/>
      <c r="DD97" s="198"/>
      <c r="DE97" s="198"/>
      <c r="DF97" s="198"/>
      <c r="DG97" s="198"/>
      <c r="DH97" s="198"/>
      <c r="DI97" s="198"/>
      <c r="DJ97" s="197"/>
      <c r="DK97" s="198"/>
      <c r="DL97" s="198"/>
      <c r="DM97" s="198"/>
      <c r="DN97" s="198"/>
      <c r="DO97" s="198"/>
      <c r="DP97" s="198"/>
      <c r="DQ97" s="197"/>
      <c r="DR97" s="198"/>
      <c r="DS97" s="198"/>
      <c r="DT97" s="198"/>
      <c r="DU97" s="198"/>
      <c r="DV97" s="198"/>
      <c r="DW97" s="198"/>
      <c r="DX97" s="197"/>
      <c r="DY97" s="198"/>
      <c r="DZ97" s="198"/>
      <c r="EA97" s="198"/>
      <c r="EB97" s="198"/>
      <c r="EC97" s="198"/>
      <c r="ED97" s="198"/>
      <c r="EE97" s="197"/>
      <c r="EF97" s="198"/>
      <c r="EG97" s="198"/>
      <c r="EH97" s="198"/>
      <c r="EI97" s="198"/>
      <c r="EJ97" s="198"/>
      <c r="EK97" s="198"/>
      <c r="EL97" s="197"/>
      <c r="EM97" s="198"/>
      <c r="EN97" s="198"/>
      <c r="EO97" s="198"/>
      <c r="EP97" s="198"/>
      <c r="EQ97" s="198"/>
      <c r="ER97" s="198"/>
      <c r="ES97" s="197"/>
      <c r="ET97" s="198"/>
      <c r="EU97" s="198"/>
      <c r="EV97" s="198"/>
      <c r="EW97" s="198"/>
      <c r="EX97" s="198"/>
      <c r="EY97" s="198"/>
      <c r="EZ97" s="197"/>
      <c r="FA97" s="198"/>
      <c r="FB97" s="198"/>
      <c r="FC97" s="198"/>
      <c r="FD97" s="198"/>
      <c r="FE97" s="198"/>
      <c r="FF97" s="198"/>
      <c r="FG97" s="197"/>
      <c r="FH97" s="198"/>
      <c r="FI97" s="198"/>
      <c r="FJ97" s="198"/>
      <c r="FK97" s="198"/>
      <c r="FL97" s="198"/>
      <c r="FM97" s="198"/>
      <c r="FN97" s="197"/>
      <c r="FO97" s="198"/>
      <c r="FP97" s="198"/>
      <c r="FQ97" s="198"/>
      <c r="FR97" s="198"/>
      <c r="FS97" s="198"/>
      <c r="FT97" s="199"/>
      <c r="FU97" s="197"/>
      <c r="FV97" s="198"/>
      <c r="FW97" s="198"/>
      <c r="FX97" s="198"/>
      <c r="FY97" s="198"/>
      <c r="FZ97" s="198"/>
      <c r="GA97" s="199"/>
      <c r="GB97" s="197"/>
      <c r="GC97" s="198"/>
      <c r="GD97" s="198"/>
      <c r="GE97" s="198"/>
      <c r="GF97" s="198"/>
      <c r="GG97" s="198"/>
      <c r="GH97" s="199"/>
      <c r="GI97" s="197"/>
      <c r="GJ97" s="198"/>
      <c r="GK97" s="198"/>
      <c r="GL97" s="198"/>
      <c r="GM97" s="198"/>
      <c r="GN97" s="198"/>
      <c r="GO97" s="199"/>
      <c r="GP97" s="197"/>
      <c r="GQ97" s="198"/>
      <c r="GR97" s="198"/>
      <c r="GS97" s="198"/>
      <c r="GT97" s="198"/>
      <c r="GU97" s="198"/>
      <c r="GV97" s="199"/>
      <c r="GW97" s="197"/>
      <c r="GX97" s="198"/>
      <c r="GY97" s="198"/>
      <c r="GZ97" s="198"/>
      <c r="HA97" s="198"/>
      <c r="HB97" s="198"/>
      <c r="HC97" s="199"/>
      <c r="HD97" s="197"/>
      <c r="HE97" s="198"/>
      <c r="HF97" s="198"/>
      <c r="HG97" s="198"/>
      <c r="HH97" s="198"/>
      <c r="HI97" s="198"/>
      <c r="HJ97" s="199"/>
      <c r="HK97" s="197"/>
      <c r="HL97" s="198"/>
      <c r="HM97" s="198"/>
      <c r="HN97" s="198"/>
      <c r="HO97" s="198"/>
      <c r="HP97" s="198"/>
      <c r="HQ97" s="198"/>
      <c r="HR97" s="197"/>
      <c r="HT97" s="198"/>
      <c r="HU97" s="198"/>
      <c r="HV97" s="198"/>
      <c r="HW97" s="198"/>
      <c r="HX97" s="198"/>
    </row>
    <row r="98" spans="1:233">
      <c r="A98" s="185" t="s">
        <v>497</v>
      </c>
      <c r="B98" s="197"/>
      <c r="C98" s="198"/>
      <c r="D98" s="198"/>
      <c r="E98" s="198"/>
      <c r="F98" s="198"/>
      <c r="G98" s="198"/>
      <c r="H98" s="199"/>
      <c r="I98" s="197"/>
      <c r="J98" s="198"/>
      <c r="K98" s="198"/>
      <c r="L98" s="198"/>
      <c r="M98" s="198"/>
      <c r="N98" s="198"/>
      <c r="O98" s="199"/>
      <c r="P98" s="198"/>
      <c r="Q98" s="198"/>
      <c r="R98" s="198"/>
      <c r="S98" s="198"/>
      <c r="T98" s="198"/>
      <c r="U98" s="198"/>
      <c r="V98" s="199"/>
      <c r="W98" s="198">
        <v>1446.818</v>
      </c>
      <c r="X98" s="198">
        <v>120.03100000000001</v>
      </c>
      <c r="Y98" s="198">
        <v>477.06</v>
      </c>
      <c r="Z98" s="198">
        <v>75.706000000000003</v>
      </c>
      <c r="AA98" s="198">
        <v>413.09699999999998</v>
      </c>
      <c r="AB98" s="198"/>
      <c r="AC98" s="199">
        <f t="shared" si="1"/>
        <v>360.92400000000009</v>
      </c>
      <c r="AD98" s="198">
        <f>[1]datos!$S230</f>
        <v>475.77300000000002</v>
      </c>
      <c r="AE98" s="198">
        <v>37.887</v>
      </c>
      <c r="AF98" s="198">
        <v>113.657</v>
      </c>
      <c r="AG98" s="198">
        <v>125.89999999999999</v>
      </c>
      <c r="AH98" s="198">
        <v>68.099999999999994</v>
      </c>
      <c r="AI98" s="198">
        <f>[1]datos!$U230</f>
        <v>47.116999999999997</v>
      </c>
      <c r="AJ98" s="198">
        <f>AD98-AE98-AF98-AG98-AH98-AI98</f>
        <v>83.11200000000008</v>
      </c>
      <c r="AK98" s="197"/>
      <c r="AL98" s="198"/>
      <c r="AM98" s="198"/>
      <c r="AN98" s="198"/>
      <c r="AO98" s="198"/>
      <c r="AP98" s="198"/>
      <c r="AQ98" s="199"/>
      <c r="AR98" s="198">
        <v>229352.4416880607</v>
      </c>
      <c r="AS98" s="198">
        <v>53914.910134988881</v>
      </c>
      <c r="AT98" s="198">
        <v>30758.168972605512</v>
      </c>
      <c r="AU98" s="198">
        <v>45112.394306825779</v>
      </c>
      <c r="AV98" s="198">
        <v>16836.231358240664</v>
      </c>
      <c r="AW98" s="198"/>
      <c r="AX98" s="198">
        <v>82730.736915399844</v>
      </c>
      <c r="AY98" s="197"/>
      <c r="AZ98" s="198"/>
      <c r="BA98" s="198"/>
      <c r="BB98" s="198"/>
      <c r="BC98" s="198"/>
      <c r="BD98" s="198"/>
      <c r="BE98" s="198"/>
      <c r="BF98" s="197">
        <v>27860189.52</v>
      </c>
      <c r="BG98" s="198"/>
      <c r="BH98" s="198">
        <v>14739387.860000001</v>
      </c>
      <c r="BI98" s="198">
        <v>6686091.0900000008</v>
      </c>
      <c r="BJ98" s="198">
        <v>6434710.5700000003</v>
      </c>
      <c r="BK98" s="198">
        <v>0</v>
      </c>
      <c r="BL98" s="198"/>
      <c r="BM98" s="197"/>
      <c r="BN98" s="198"/>
      <c r="BO98" s="198"/>
      <c r="BP98" s="198"/>
      <c r="BQ98" s="198"/>
      <c r="BR98" s="198"/>
      <c r="BS98" s="198"/>
      <c r="BT98" s="197"/>
      <c r="BU98" s="198"/>
      <c r="BV98" s="198"/>
      <c r="BW98" s="198"/>
      <c r="BX98" s="198"/>
      <c r="BY98" s="198"/>
      <c r="BZ98" s="198"/>
      <c r="CA98" s="197"/>
      <c r="CB98" s="198"/>
      <c r="CC98" s="198"/>
      <c r="CD98" s="198"/>
      <c r="CE98" s="198"/>
      <c r="CF98" s="198"/>
      <c r="CG98" s="198"/>
      <c r="CH98" s="197"/>
      <c r="CI98" s="198"/>
      <c r="CJ98" s="198"/>
      <c r="CK98" s="198"/>
      <c r="CL98" s="198"/>
      <c r="CM98" s="198"/>
      <c r="CN98" s="198"/>
      <c r="CO98" s="197"/>
      <c r="CP98" s="198"/>
      <c r="CQ98" s="198"/>
      <c r="CR98" s="198"/>
      <c r="CS98" s="198"/>
      <c r="CT98" s="198"/>
      <c r="CU98" s="198"/>
      <c r="CV98" s="197"/>
      <c r="CW98" s="198"/>
      <c r="CX98" s="198"/>
      <c r="CY98" s="198"/>
      <c r="CZ98" s="198"/>
      <c r="DA98" s="198"/>
      <c r="DB98" s="198"/>
      <c r="DC98" s="197"/>
      <c r="DD98" s="198"/>
      <c r="DE98" s="198"/>
      <c r="DF98" s="198"/>
      <c r="DG98" s="198"/>
      <c r="DH98" s="198"/>
      <c r="DI98" s="198"/>
      <c r="DJ98" s="197"/>
      <c r="DK98" s="198"/>
      <c r="DL98" s="198"/>
      <c r="DM98" s="198"/>
      <c r="DN98" s="198"/>
      <c r="DO98" s="198"/>
      <c r="DP98" s="198"/>
      <c r="DQ98" s="197"/>
      <c r="DR98" s="198"/>
      <c r="DS98" s="198"/>
      <c r="DT98" s="198"/>
      <c r="DU98" s="198"/>
      <c r="DV98" s="198"/>
      <c r="DW98" s="198"/>
      <c r="DX98" s="197"/>
      <c r="DY98" s="198"/>
      <c r="DZ98" s="198"/>
      <c r="EA98" s="198"/>
      <c r="EB98" s="198"/>
      <c r="EC98" s="198"/>
      <c r="ED98" s="198"/>
      <c r="EE98" s="197"/>
      <c r="EF98" s="198"/>
      <c r="EG98" s="198"/>
      <c r="EH98" s="198"/>
      <c r="EI98" s="198"/>
      <c r="EJ98" s="198"/>
      <c r="EK98" s="198"/>
      <c r="EL98" s="197"/>
      <c r="EM98" s="198"/>
      <c r="EN98" s="198"/>
      <c r="EO98" s="198"/>
      <c r="EP98" s="198"/>
      <c r="EQ98" s="198"/>
      <c r="ER98" s="198"/>
      <c r="ES98" s="197"/>
      <c r="ET98" s="198"/>
      <c r="EU98" s="198"/>
      <c r="EV98" s="198"/>
      <c r="EW98" s="198"/>
      <c r="EX98" s="198"/>
      <c r="EY98" s="198"/>
      <c r="EZ98" s="197"/>
      <c r="FA98" s="198"/>
      <c r="FB98" s="198"/>
      <c r="FC98" s="198"/>
      <c r="FD98" s="198"/>
      <c r="FE98" s="198"/>
      <c r="FF98" s="198"/>
      <c r="FG98" s="197"/>
      <c r="FH98" s="198"/>
      <c r="FI98" s="198"/>
      <c r="FJ98" s="198"/>
      <c r="FK98" s="198"/>
      <c r="FL98" s="198"/>
      <c r="FM98" s="198"/>
      <c r="FN98" s="197"/>
      <c r="FO98" s="198"/>
      <c r="FP98" s="198"/>
      <c r="FQ98" s="198"/>
      <c r="FR98" s="198"/>
      <c r="FS98" s="198"/>
      <c r="FT98" s="199"/>
      <c r="FU98" s="197"/>
      <c r="FV98" s="198"/>
      <c r="FW98" s="198"/>
      <c r="FX98" s="198"/>
      <c r="FY98" s="198"/>
      <c r="FZ98" s="198"/>
      <c r="GA98" s="199"/>
      <c r="GB98" s="197"/>
      <c r="GC98" s="198"/>
      <c r="GD98" s="198"/>
      <c r="GE98" s="198"/>
      <c r="GF98" s="198"/>
      <c r="GG98" s="198"/>
      <c r="GH98" s="199"/>
      <c r="GI98" s="197"/>
      <c r="GJ98" s="198"/>
      <c r="GK98" s="198"/>
      <c r="GL98" s="198"/>
      <c r="GM98" s="198"/>
      <c r="GN98" s="198"/>
      <c r="GO98" s="199"/>
      <c r="GP98" s="197"/>
      <c r="GQ98" s="198"/>
      <c r="GR98" s="198"/>
      <c r="GS98" s="198"/>
      <c r="GT98" s="198"/>
      <c r="GU98" s="198"/>
      <c r="GV98" s="199"/>
      <c r="GW98" s="197"/>
      <c r="GX98" s="198"/>
      <c r="GY98" s="198"/>
      <c r="GZ98" s="198"/>
      <c r="HA98" s="198"/>
      <c r="HB98" s="198"/>
      <c r="HC98" s="199"/>
      <c r="HD98" s="197">
        <f>'[2]t&amp;t'!W230</f>
        <v>7649.2</v>
      </c>
      <c r="HE98" s="198">
        <f>'[2]t&amp;t'!X230</f>
        <v>1133.2</v>
      </c>
      <c r="HF98" s="198">
        <f>'[2]t&amp;t'!Y230</f>
        <v>819.40000000000009</v>
      </c>
      <c r="HG98" s="198">
        <f>'[2]t&amp;t'!Z230</f>
        <v>1033</v>
      </c>
      <c r="HH98" s="198">
        <f>'[2]t&amp;t'!AA230</f>
        <v>2156.4</v>
      </c>
      <c r="HI98" s="198"/>
      <c r="HJ98" s="199">
        <f>'[2]t&amp;t'!AC230</f>
        <v>2507.1999999999998</v>
      </c>
      <c r="HK98" s="197"/>
      <c r="HL98" s="198"/>
      <c r="HM98" s="198"/>
      <c r="HN98" s="198"/>
      <c r="HO98" s="198"/>
      <c r="HP98" s="198"/>
      <c r="HQ98" s="198"/>
      <c r="HR98" s="197"/>
      <c r="HT98" s="198"/>
      <c r="HU98" s="198"/>
      <c r="HV98" s="198"/>
      <c r="HW98" s="198"/>
      <c r="HX98" s="198"/>
    </row>
    <row r="99" spans="1:233">
      <c r="A99" s="185" t="s">
        <v>498</v>
      </c>
      <c r="B99" s="197"/>
      <c r="C99" s="198"/>
      <c r="D99" s="198"/>
      <c r="E99" s="198"/>
      <c r="F99" s="198"/>
      <c r="G99" s="198"/>
      <c r="H99" s="199"/>
      <c r="I99" s="197"/>
      <c r="J99" s="198"/>
      <c r="K99" s="198"/>
      <c r="L99" s="198"/>
      <c r="M99" s="198"/>
      <c r="N99" s="198"/>
      <c r="O99" s="199"/>
      <c r="P99" s="198"/>
      <c r="Q99" s="198"/>
      <c r="R99" s="198"/>
      <c r="S99" s="198"/>
      <c r="T99" s="198"/>
      <c r="U99" s="198"/>
      <c r="V99" s="199"/>
      <c r="W99" s="198">
        <v>1480.934</v>
      </c>
      <c r="X99" s="198">
        <v>124.142</v>
      </c>
      <c r="Y99" s="198">
        <v>494.18200000000002</v>
      </c>
      <c r="Z99" s="198">
        <v>75.299000000000007</v>
      </c>
      <c r="AA99" s="198">
        <v>423.161</v>
      </c>
      <c r="AB99" s="198"/>
      <c r="AC99" s="199">
        <f t="shared" si="1"/>
        <v>364.14999999999992</v>
      </c>
      <c r="AD99" s="198"/>
      <c r="AE99" s="198">
        <v>38.435000000000002</v>
      </c>
      <c r="AF99" s="198">
        <v>115.10899999999999</v>
      </c>
      <c r="AG99" s="198">
        <v>127.29400000000001</v>
      </c>
      <c r="AH99" s="198">
        <v>68.216999999999999</v>
      </c>
      <c r="AI99" s="198"/>
      <c r="AJ99" s="198"/>
      <c r="AK99" s="197"/>
      <c r="AL99" s="198"/>
      <c r="AM99" s="198"/>
      <c r="AN99" s="198"/>
      <c r="AO99" s="198"/>
      <c r="AP99" s="198"/>
      <c r="AQ99" s="199"/>
      <c r="AR99" s="198">
        <v>233028.97034261446</v>
      </c>
      <c r="AS99" s="198">
        <v>54810.359323811674</v>
      </c>
      <c r="AT99" s="198">
        <v>31029.717558637898</v>
      </c>
      <c r="AU99" s="198">
        <v>45828.302981038389</v>
      </c>
      <c r="AV99" s="198">
        <v>16848.864902885492</v>
      </c>
      <c r="AW99" s="198"/>
      <c r="AX99" s="198">
        <v>84511.725576241006</v>
      </c>
      <c r="AY99" s="197"/>
      <c r="AZ99" s="198"/>
      <c r="BA99" s="198"/>
      <c r="BB99" s="198"/>
      <c r="BC99" s="198"/>
      <c r="BD99" s="198"/>
      <c r="BE99" s="198"/>
      <c r="BF99" s="197">
        <v>28585846.109999999</v>
      </c>
      <c r="BG99" s="198"/>
      <c r="BH99" s="198">
        <v>15138615.58</v>
      </c>
      <c r="BI99" s="198">
        <v>6894202.7299999995</v>
      </c>
      <c r="BJ99" s="198">
        <v>6553027.7999999998</v>
      </c>
      <c r="BK99" s="198">
        <v>0</v>
      </c>
      <c r="BL99" s="198"/>
      <c r="BM99" s="197"/>
      <c r="BN99" s="198"/>
      <c r="BO99" s="198"/>
      <c r="BP99" s="198"/>
      <c r="BQ99" s="198"/>
      <c r="BR99" s="198"/>
      <c r="BS99" s="198"/>
      <c r="BT99" s="197"/>
      <c r="BU99" s="198"/>
      <c r="BV99" s="198"/>
      <c r="BW99" s="198"/>
      <c r="BX99" s="198"/>
      <c r="BY99" s="198"/>
      <c r="BZ99" s="198"/>
      <c r="CA99" s="197"/>
      <c r="CB99" s="198"/>
      <c r="CC99" s="198"/>
      <c r="CD99" s="198"/>
      <c r="CE99" s="198"/>
      <c r="CF99" s="198"/>
      <c r="CG99" s="198"/>
      <c r="CH99" s="197"/>
      <c r="CI99" s="198"/>
      <c r="CJ99" s="198"/>
      <c r="CK99" s="198"/>
      <c r="CL99" s="198"/>
      <c r="CM99" s="198"/>
      <c r="CN99" s="198"/>
      <c r="CO99" s="197"/>
      <c r="CP99" s="198"/>
      <c r="CQ99" s="198"/>
      <c r="CR99" s="198"/>
      <c r="CS99" s="198"/>
      <c r="CT99" s="198"/>
      <c r="CU99" s="198"/>
      <c r="CV99" s="197"/>
      <c r="CW99" s="198"/>
      <c r="CX99" s="198"/>
      <c r="CY99" s="198"/>
      <c r="CZ99" s="198"/>
      <c r="DA99" s="198"/>
      <c r="DB99" s="198"/>
      <c r="DC99" s="197"/>
      <c r="DD99" s="198"/>
      <c r="DE99" s="198"/>
      <c r="DF99" s="198"/>
      <c r="DG99" s="198"/>
      <c r="DH99" s="198"/>
      <c r="DI99" s="198"/>
      <c r="DJ99" s="197"/>
      <c r="DK99" s="198"/>
      <c r="DL99" s="198"/>
      <c r="DM99" s="198"/>
      <c r="DN99" s="198"/>
      <c r="DO99" s="198"/>
      <c r="DP99" s="198"/>
      <c r="DQ99" s="197"/>
      <c r="DR99" s="198"/>
      <c r="DS99" s="198"/>
      <c r="DT99" s="198"/>
      <c r="DU99" s="198"/>
      <c r="DV99" s="198"/>
      <c r="DW99" s="198"/>
      <c r="DX99" s="197"/>
      <c r="DY99" s="198"/>
      <c r="DZ99" s="198"/>
      <c r="EA99" s="198"/>
      <c r="EB99" s="198"/>
      <c r="EC99" s="198"/>
      <c r="ED99" s="198"/>
      <c r="EE99" s="197"/>
      <c r="EF99" s="198"/>
      <c r="EG99" s="198"/>
      <c r="EH99" s="198"/>
      <c r="EI99" s="198"/>
      <c r="EJ99" s="198"/>
      <c r="EK99" s="198"/>
      <c r="EL99" s="197"/>
      <c r="EM99" s="198"/>
      <c r="EN99" s="198"/>
      <c r="EO99" s="198"/>
      <c r="EP99" s="198"/>
      <c r="EQ99" s="198"/>
      <c r="ER99" s="198"/>
      <c r="ES99" s="197"/>
      <c r="ET99" s="198"/>
      <c r="EU99" s="198"/>
      <c r="EV99" s="198"/>
      <c r="EW99" s="198"/>
      <c r="EX99" s="198"/>
      <c r="EY99" s="198"/>
      <c r="EZ99" s="197"/>
      <c r="FA99" s="198"/>
      <c r="FB99" s="198"/>
      <c r="FC99" s="198"/>
      <c r="FD99" s="198"/>
      <c r="FE99" s="198"/>
      <c r="FF99" s="198"/>
      <c r="FG99" s="197"/>
      <c r="FH99" s="198"/>
      <c r="FI99" s="198"/>
      <c r="FJ99" s="198"/>
      <c r="FK99" s="198"/>
      <c r="FL99" s="198"/>
      <c r="FM99" s="198"/>
      <c r="FN99" s="197"/>
      <c r="FO99" s="198"/>
      <c r="FP99" s="198"/>
      <c r="FQ99" s="198"/>
      <c r="FR99" s="198"/>
      <c r="FS99" s="198"/>
      <c r="FT99" s="199"/>
      <c r="FU99" s="197"/>
      <c r="FV99" s="198"/>
      <c r="FW99" s="198"/>
      <c r="FX99" s="198"/>
      <c r="FY99" s="198"/>
      <c r="FZ99" s="198"/>
      <c r="GA99" s="199"/>
      <c r="GB99" s="197"/>
      <c r="GC99" s="198"/>
      <c r="GD99" s="198"/>
      <c r="GE99" s="198"/>
      <c r="GF99" s="198"/>
      <c r="GG99" s="198"/>
      <c r="GH99" s="199"/>
      <c r="GI99" s="197"/>
      <c r="GJ99" s="198"/>
      <c r="GK99" s="198"/>
      <c r="GL99" s="198"/>
      <c r="GM99" s="198"/>
      <c r="GN99" s="198"/>
      <c r="GO99" s="199"/>
      <c r="GP99" s="197"/>
      <c r="GQ99" s="198"/>
      <c r="GR99" s="198"/>
      <c r="GS99" s="198"/>
      <c r="GT99" s="198"/>
      <c r="GU99" s="198"/>
      <c r="GV99" s="199"/>
      <c r="GW99" s="197"/>
      <c r="GX99" s="198"/>
      <c r="GY99" s="198"/>
      <c r="GZ99" s="198"/>
      <c r="HA99" s="198"/>
      <c r="HB99" s="198"/>
      <c r="HC99" s="199"/>
      <c r="HD99" s="197"/>
      <c r="HE99" s="198"/>
      <c r="HF99" s="198"/>
      <c r="HG99" s="198"/>
      <c r="HH99" s="198"/>
      <c r="HI99" s="198"/>
      <c r="HJ99" s="199"/>
      <c r="HK99" s="197"/>
      <c r="HL99" s="198"/>
      <c r="HM99" s="198"/>
      <c r="HN99" s="198"/>
      <c r="HO99" s="198"/>
      <c r="HP99" s="198"/>
      <c r="HQ99" s="198"/>
      <c r="HR99" s="197"/>
      <c r="HT99" s="198"/>
      <c r="HU99" s="198"/>
      <c r="HV99" s="198"/>
      <c r="HW99" s="198"/>
      <c r="HX99" s="198"/>
    </row>
    <row r="100" spans="1:233">
      <c r="A100" s="185" t="s">
        <v>499</v>
      </c>
      <c r="B100" s="197"/>
      <c r="C100" s="198"/>
      <c r="D100" s="198"/>
      <c r="E100" s="198"/>
      <c r="F100" s="198"/>
      <c r="G100" s="198"/>
      <c r="H100" s="199"/>
      <c r="I100" s="197"/>
      <c r="J100" s="198"/>
      <c r="K100" s="198"/>
      <c r="L100" s="198"/>
      <c r="M100" s="198"/>
      <c r="N100" s="198"/>
      <c r="O100" s="199"/>
      <c r="P100" s="198"/>
      <c r="Q100" s="198"/>
      <c r="R100" s="198"/>
      <c r="S100" s="198"/>
      <c r="T100" s="198"/>
      <c r="U100" s="198"/>
      <c r="V100" s="199"/>
      <c r="W100" s="198">
        <v>1502.9059999999999</v>
      </c>
      <c r="X100" s="198">
        <v>124.49</v>
      </c>
      <c r="Y100" s="198">
        <v>501.23399999999998</v>
      </c>
      <c r="Z100" s="198">
        <v>75.525999999999996</v>
      </c>
      <c r="AA100" s="198">
        <v>429.005</v>
      </c>
      <c r="AB100" s="198"/>
      <c r="AC100" s="199">
        <f t="shared" si="1"/>
        <v>372.65100000000007</v>
      </c>
      <c r="AD100" s="198"/>
      <c r="AE100" s="198">
        <v>40.865000000000002</v>
      </c>
      <c r="AF100" s="198">
        <v>116.87200000000001</v>
      </c>
      <c r="AG100" s="198">
        <v>127.43300000000001</v>
      </c>
      <c r="AH100" s="198">
        <v>69.876999999999995</v>
      </c>
      <c r="AI100" s="198"/>
      <c r="AJ100" s="198"/>
      <c r="AK100" s="197"/>
      <c r="AL100" s="198"/>
      <c r="AM100" s="198"/>
      <c r="AN100" s="198"/>
      <c r="AO100" s="198"/>
      <c r="AP100" s="198"/>
      <c r="AQ100" s="199"/>
      <c r="AR100" s="198">
        <v>237909.26911575283</v>
      </c>
      <c r="AS100" s="198">
        <v>56066.490287234046</v>
      </c>
      <c r="AT100" s="198">
        <v>31861.336147793088</v>
      </c>
      <c r="AU100" s="198">
        <v>46226.600447113349</v>
      </c>
      <c r="AV100" s="198">
        <v>16678.158213941002</v>
      </c>
      <c r="AW100" s="198"/>
      <c r="AX100" s="198">
        <v>87076.68401967136</v>
      </c>
      <c r="AY100" s="197"/>
      <c r="AZ100" s="198"/>
      <c r="BA100" s="198"/>
      <c r="BB100" s="198"/>
      <c r="BC100" s="198"/>
      <c r="BD100" s="198"/>
      <c r="BE100" s="198"/>
      <c r="BF100" s="197">
        <v>29320530.279999997</v>
      </c>
      <c r="BG100" s="198"/>
      <c r="BH100" s="198">
        <v>15619282.060000002</v>
      </c>
      <c r="BI100" s="198">
        <v>7049748.669999999</v>
      </c>
      <c r="BJ100" s="198">
        <v>6651499.5499999998</v>
      </c>
      <c r="BK100" s="198">
        <v>0</v>
      </c>
      <c r="BL100" s="198"/>
      <c r="BM100" s="197"/>
      <c r="BN100" s="198"/>
      <c r="BO100" s="198"/>
      <c r="BP100" s="198"/>
      <c r="BQ100" s="198"/>
      <c r="BR100" s="198"/>
      <c r="BS100" s="198"/>
      <c r="BT100" s="197"/>
      <c r="BU100" s="198"/>
      <c r="BV100" s="198"/>
      <c r="BW100" s="198"/>
      <c r="BX100" s="198"/>
      <c r="BY100" s="198"/>
      <c r="BZ100" s="198"/>
      <c r="CA100" s="197"/>
      <c r="CB100" s="198"/>
      <c r="CC100" s="198"/>
      <c r="CD100" s="198"/>
      <c r="CE100" s="198"/>
      <c r="CF100" s="198"/>
      <c r="CG100" s="198"/>
      <c r="CH100" s="197"/>
      <c r="CI100" s="198"/>
      <c r="CJ100" s="198"/>
      <c r="CK100" s="198"/>
      <c r="CL100" s="198"/>
      <c r="CM100" s="198"/>
      <c r="CN100" s="198"/>
      <c r="CO100" s="197"/>
      <c r="CP100" s="198"/>
      <c r="CQ100" s="198"/>
      <c r="CR100" s="198"/>
      <c r="CS100" s="198"/>
      <c r="CT100" s="198"/>
      <c r="CU100" s="198"/>
      <c r="CV100" s="197"/>
      <c r="CW100" s="198"/>
      <c r="CX100" s="198"/>
      <c r="CY100" s="198"/>
      <c r="CZ100" s="198"/>
      <c r="DA100" s="198"/>
      <c r="DB100" s="198"/>
      <c r="DC100" s="197"/>
      <c r="DD100" s="198"/>
      <c r="DE100" s="198"/>
      <c r="DF100" s="198"/>
      <c r="DG100" s="198"/>
      <c r="DH100" s="198"/>
      <c r="DI100" s="198"/>
      <c r="DJ100" s="197"/>
      <c r="DK100" s="198"/>
      <c r="DL100" s="198"/>
      <c r="DM100" s="198"/>
      <c r="DN100" s="198"/>
      <c r="DO100" s="198"/>
      <c r="DP100" s="198"/>
      <c r="DQ100" s="197"/>
      <c r="DR100" s="198"/>
      <c r="DS100" s="198"/>
      <c r="DT100" s="198"/>
      <c r="DU100" s="198"/>
      <c r="DV100" s="198"/>
      <c r="DW100" s="198"/>
      <c r="DX100" s="197"/>
      <c r="DY100" s="198"/>
      <c r="DZ100" s="198"/>
      <c r="EA100" s="198"/>
      <c r="EB100" s="198"/>
      <c r="EC100" s="198"/>
      <c r="ED100" s="198"/>
      <c r="EE100" s="197"/>
      <c r="EF100" s="198"/>
      <c r="EG100" s="198"/>
      <c r="EH100" s="198"/>
      <c r="EI100" s="198"/>
      <c r="EJ100" s="198"/>
      <c r="EK100" s="198"/>
      <c r="EL100" s="197"/>
      <c r="EM100" s="198"/>
      <c r="EN100" s="198"/>
      <c r="EO100" s="198"/>
      <c r="EP100" s="198"/>
      <c r="EQ100" s="198"/>
      <c r="ER100" s="198"/>
      <c r="ES100" s="197"/>
      <c r="ET100" s="198"/>
      <c r="EU100" s="198"/>
      <c r="EV100" s="198"/>
      <c r="EW100" s="198"/>
      <c r="EX100" s="198"/>
      <c r="EY100" s="198"/>
      <c r="EZ100" s="197"/>
      <c r="FA100" s="198"/>
      <c r="FB100" s="198"/>
      <c r="FC100" s="198"/>
      <c r="FD100" s="198"/>
      <c r="FE100" s="198"/>
      <c r="FF100" s="198"/>
      <c r="FG100" s="197"/>
      <c r="FH100" s="198"/>
      <c r="FI100" s="198"/>
      <c r="FJ100" s="198"/>
      <c r="FK100" s="198"/>
      <c r="FL100" s="198"/>
      <c r="FM100" s="198"/>
      <c r="FN100" s="197"/>
      <c r="FO100" s="198"/>
      <c r="FP100" s="198"/>
      <c r="FQ100" s="198"/>
      <c r="FR100" s="198"/>
      <c r="FS100" s="198"/>
      <c r="FT100" s="199"/>
      <c r="FU100" s="197"/>
      <c r="FV100" s="198"/>
      <c r="FW100" s="198"/>
      <c r="FX100" s="198"/>
      <c r="FY100" s="198"/>
      <c r="FZ100" s="198"/>
      <c r="GA100" s="199"/>
      <c r="GB100" s="197"/>
      <c r="GC100" s="198"/>
      <c r="GD100" s="198"/>
      <c r="GE100" s="198"/>
      <c r="GF100" s="198"/>
      <c r="GG100" s="198"/>
      <c r="GH100" s="199"/>
      <c r="GI100" s="197"/>
      <c r="GJ100" s="198"/>
      <c r="GK100" s="198"/>
      <c r="GL100" s="198"/>
      <c r="GM100" s="198"/>
      <c r="GN100" s="198"/>
      <c r="GO100" s="199"/>
      <c r="GP100" s="197"/>
      <c r="GQ100" s="198"/>
      <c r="GR100" s="198"/>
      <c r="GS100" s="198"/>
      <c r="GT100" s="198"/>
      <c r="GU100" s="198"/>
      <c r="GV100" s="199"/>
      <c r="GW100" s="197"/>
      <c r="GX100" s="198"/>
      <c r="GY100" s="198"/>
      <c r="GZ100" s="198"/>
      <c r="HA100" s="198"/>
      <c r="HB100" s="198"/>
      <c r="HC100" s="199"/>
      <c r="HD100" s="197"/>
      <c r="HE100" s="198"/>
      <c r="HF100" s="198"/>
      <c r="HG100" s="198"/>
      <c r="HH100" s="198"/>
      <c r="HI100" s="198"/>
      <c r="HJ100" s="199"/>
      <c r="HK100" s="197"/>
      <c r="HL100" s="198"/>
      <c r="HM100" s="198"/>
      <c r="HN100" s="198"/>
      <c r="HO100" s="198"/>
      <c r="HP100" s="198"/>
      <c r="HQ100" s="198"/>
      <c r="HR100" s="197"/>
      <c r="HT100" s="198"/>
      <c r="HU100" s="198"/>
      <c r="HV100" s="198"/>
      <c r="HW100" s="198"/>
      <c r="HX100" s="198"/>
    </row>
    <row r="101" spans="1:233">
      <c r="A101" s="202" t="s">
        <v>500</v>
      </c>
      <c r="B101" s="203">
        <v>893.61900000000003</v>
      </c>
      <c r="C101" s="204">
        <v>29.222999999999999</v>
      </c>
      <c r="D101" s="204">
        <f>128.692+73.168+21.073</f>
        <v>222.93300000000002</v>
      </c>
      <c r="E101" s="204">
        <v>173.38</v>
      </c>
      <c r="F101" s="204">
        <f>384.53-E101</f>
        <v>211.14999999999998</v>
      </c>
      <c r="G101" s="204"/>
      <c r="H101" s="205">
        <f>B101-C101-D101-E101-F101</f>
        <v>256.93300000000011</v>
      </c>
      <c r="I101" s="203"/>
      <c r="J101" s="204"/>
      <c r="K101" s="204"/>
      <c r="L101" s="204"/>
      <c r="M101" s="204"/>
      <c r="N101" s="204"/>
      <c r="O101" s="205"/>
      <c r="P101" s="204">
        <v>2224.527</v>
      </c>
      <c r="Q101" s="204">
        <v>51.966000000000001</v>
      </c>
      <c r="R101" s="204">
        <v>330.48699999999997</v>
      </c>
      <c r="S101" s="204">
        <v>111.687</v>
      </c>
      <c r="T101" s="204">
        <v>1340.8330000000001</v>
      </c>
      <c r="U101" s="204"/>
      <c r="V101" s="205">
        <f>P101-Q101-R101-S101-T101</f>
        <v>389.55400000000009</v>
      </c>
      <c r="W101" s="204">
        <v>1522.461</v>
      </c>
      <c r="X101" s="204">
        <v>123.26300000000001</v>
      </c>
      <c r="Y101" s="204">
        <v>509.09500000000003</v>
      </c>
      <c r="Z101" s="204">
        <v>75.956999999999994</v>
      </c>
      <c r="AA101" s="204">
        <v>435.55399999999997</v>
      </c>
      <c r="AB101" s="204"/>
      <c r="AC101" s="205">
        <f t="shared" si="1"/>
        <v>378.5920000000001</v>
      </c>
      <c r="AD101" s="204">
        <f>[1]datos!$S233</f>
        <v>487.803</v>
      </c>
      <c r="AE101" s="204">
        <v>36.752000000000002</v>
      </c>
      <c r="AF101" s="204">
        <v>112.86799999999999</v>
      </c>
      <c r="AG101" s="204">
        <v>131.39500000000001</v>
      </c>
      <c r="AH101" s="204">
        <v>70.850999999999999</v>
      </c>
      <c r="AI101" s="204">
        <f>[1]datos!$U233</f>
        <v>47.055999999999997</v>
      </c>
      <c r="AJ101" s="204">
        <f>AD101-AE101-AF101-AG101-AH101-AI101</f>
        <v>88.880999999999986</v>
      </c>
      <c r="AK101" s="203"/>
      <c r="AL101" s="204"/>
      <c r="AM101" s="204"/>
      <c r="AN101" s="204"/>
      <c r="AO101" s="204"/>
      <c r="AP101" s="204"/>
      <c r="AQ101" s="205"/>
      <c r="AR101" s="204">
        <v>238643.93642183091</v>
      </c>
      <c r="AS101" s="204">
        <v>56850.421389705632</v>
      </c>
      <c r="AT101" s="204">
        <v>31176.553165859848</v>
      </c>
      <c r="AU101" s="204">
        <v>47094.662345604345</v>
      </c>
      <c r="AV101" s="204">
        <v>16287.886220742914</v>
      </c>
      <c r="AW101" s="204"/>
      <c r="AX101" s="204">
        <v>87234.413299918189</v>
      </c>
      <c r="AY101" s="203"/>
      <c r="AZ101" s="204"/>
      <c r="BA101" s="204"/>
      <c r="BB101" s="204"/>
      <c r="BC101" s="204"/>
      <c r="BD101" s="204"/>
      <c r="BE101" s="204"/>
      <c r="BF101" s="203">
        <v>30024568.07</v>
      </c>
      <c r="BG101" s="204"/>
      <c r="BH101" s="204">
        <v>16059138.819999998</v>
      </c>
      <c r="BI101" s="204">
        <v>7265181.0600000005</v>
      </c>
      <c r="BJ101" s="204">
        <v>6700248.1899999995</v>
      </c>
      <c r="BK101" s="204">
        <v>0</v>
      </c>
      <c r="BL101" s="204"/>
      <c r="BM101" s="203"/>
      <c r="BN101" s="204"/>
      <c r="BO101" s="204"/>
      <c r="BP101" s="204"/>
      <c r="BQ101" s="204"/>
      <c r="BR101" s="204"/>
      <c r="BS101" s="204"/>
      <c r="BT101" s="203"/>
      <c r="BU101" s="204"/>
      <c r="BV101" s="204"/>
      <c r="BW101" s="204"/>
      <c r="BX101" s="204"/>
      <c r="BY101" s="204"/>
      <c r="BZ101" s="204"/>
      <c r="CA101" s="203">
        <v>445.274</v>
      </c>
      <c r="CB101" s="204">
        <v>38.539000000000001</v>
      </c>
      <c r="CC101" s="204">
        <f>77.895+15.758+3.583</f>
        <v>97.23599999999999</v>
      </c>
      <c r="CD101" s="204">
        <v>104.69499999999999</v>
      </c>
      <c r="CE101" s="204">
        <f>153.815-CD101</f>
        <v>49.120000000000005</v>
      </c>
      <c r="CF101" s="204"/>
      <c r="CG101" s="204">
        <f>CA101-CB101-CC101-CD101-CE101</f>
        <v>155.68400000000003</v>
      </c>
      <c r="CH101" s="203"/>
      <c r="CI101" s="204"/>
      <c r="CJ101" s="204"/>
      <c r="CK101" s="204"/>
      <c r="CL101" s="204"/>
      <c r="CM101" s="204"/>
      <c r="CN101" s="204"/>
      <c r="CO101" s="203"/>
      <c r="CP101" s="204"/>
      <c r="CQ101" s="204"/>
      <c r="CR101" s="204"/>
      <c r="CS101" s="204"/>
      <c r="CT101" s="204"/>
      <c r="CU101" s="204"/>
      <c r="CV101" s="203">
        <v>488.28300000000002</v>
      </c>
      <c r="CW101" s="204">
        <v>26.728999999999999</v>
      </c>
      <c r="CX101" s="204">
        <f>85.556+55.551+2.963</f>
        <v>144.07</v>
      </c>
      <c r="CY101" s="204">
        <v>127.09</v>
      </c>
      <c r="CZ101" s="204">
        <f>208.488-CY101</f>
        <v>81.397999999999996</v>
      </c>
      <c r="DA101" s="204"/>
      <c r="DB101" s="204">
        <f>CV101-CW101-CX101-CY101-CZ101</f>
        <v>108.99600000000004</v>
      </c>
      <c r="DC101" s="203"/>
      <c r="DD101" s="204"/>
      <c r="DE101" s="204"/>
      <c r="DF101" s="204"/>
      <c r="DG101" s="204"/>
      <c r="DH101" s="204"/>
      <c r="DI101" s="204"/>
      <c r="DJ101" s="203">
        <f>478.5+20729.9</f>
        <v>21208.400000000001</v>
      </c>
      <c r="DK101" s="204">
        <f>60.5+3194.9</f>
        <v>3255.4</v>
      </c>
      <c r="DL101" s="204">
        <f>4712.6+678.3</f>
        <v>5390.9000000000005</v>
      </c>
      <c r="DM101" s="204">
        <v>1376.8</v>
      </c>
      <c r="DN101" s="204">
        <f>5284.3-DM101</f>
        <v>3907.5</v>
      </c>
      <c r="DO101" s="204"/>
      <c r="DP101" s="204">
        <f>DJ101-DK101-DL101-DM101</f>
        <v>11185.3</v>
      </c>
      <c r="DQ101" s="203"/>
      <c r="DR101" s="204"/>
      <c r="DS101" s="204"/>
      <c r="DT101" s="204"/>
      <c r="DU101" s="204"/>
      <c r="DV101" s="204"/>
      <c r="DW101" s="204"/>
      <c r="DX101" s="203"/>
      <c r="DY101" s="204"/>
      <c r="DZ101" s="204"/>
      <c r="EA101" s="204"/>
      <c r="EB101" s="204"/>
      <c r="EC101" s="204"/>
      <c r="ED101" s="204"/>
      <c r="EE101" s="203">
        <v>45864.182999999997</v>
      </c>
      <c r="EF101" s="204">
        <v>6092.5789999999997</v>
      </c>
      <c r="EG101" s="204">
        <v>7632.2620000000006</v>
      </c>
      <c r="EH101" s="204">
        <v>5587.2669999999998</v>
      </c>
      <c r="EI101" s="204">
        <v>8918.4680000000008</v>
      </c>
      <c r="EJ101" s="204"/>
      <c r="EK101" s="204">
        <f>EE101-EF101-EG101-EH101-EI101</f>
        <v>17633.606999999996</v>
      </c>
      <c r="EL101" s="203"/>
      <c r="EM101" s="204"/>
      <c r="EN101" s="204"/>
      <c r="EO101" s="204"/>
      <c r="EP101" s="204"/>
      <c r="EQ101" s="204"/>
      <c r="ER101" s="204"/>
      <c r="ES101" s="203">
        <v>5531.2103147099997</v>
      </c>
      <c r="ET101" s="204">
        <v>1090.7956654699999</v>
      </c>
      <c r="EU101" s="204">
        <v>948.45584052000004</v>
      </c>
      <c r="EV101" s="204">
        <v>10.86890352</v>
      </c>
      <c r="EW101" s="204">
        <v>369.93166682999998</v>
      </c>
      <c r="EX101" s="204"/>
      <c r="EY101" s="204">
        <f>ES101-ET101-EU101-EV101-EW101</f>
        <v>3111.1582383699997</v>
      </c>
      <c r="EZ101" s="203"/>
      <c r="FA101" s="204"/>
      <c r="FB101" s="204"/>
      <c r="FC101" s="204"/>
      <c r="FD101" s="204"/>
      <c r="FE101" s="204"/>
      <c r="FF101" s="204"/>
      <c r="FG101" s="203"/>
      <c r="FH101" s="204"/>
      <c r="FI101" s="204"/>
      <c r="FJ101" s="204"/>
      <c r="FK101" s="204"/>
      <c r="FL101" s="204"/>
      <c r="FM101" s="204"/>
      <c r="FN101" s="203">
        <v>18074925</v>
      </c>
      <c r="FO101" s="204">
        <v>5049547</v>
      </c>
      <c r="FP101" s="204">
        <v>3681324</v>
      </c>
      <c r="FQ101" s="204"/>
      <c r="FR101" s="204"/>
      <c r="FS101" s="204"/>
      <c r="FT101" s="205"/>
      <c r="FU101" s="203"/>
      <c r="FV101" s="204"/>
      <c r="FW101" s="204"/>
      <c r="FX101" s="204"/>
      <c r="FY101" s="204"/>
      <c r="FZ101" s="204"/>
      <c r="GA101" s="205"/>
      <c r="GB101" s="203">
        <v>611.995</v>
      </c>
      <c r="GC101" s="204">
        <v>22.291</v>
      </c>
      <c r="GD101" s="204">
        <f>77.903+33.737+4.919</f>
        <v>116.55900000000001</v>
      </c>
      <c r="GE101" s="204">
        <v>140.15799999999999</v>
      </c>
      <c r="GF101" s="204">
        <f>217.142-GE101</f>
        <v>76.984000000000009</v>
      </c>
      <c r="GG101" s="204"/>
      <c r="GH101" s="205">
        <f>GB101-GC101-GD101-GE101-GF101</f>
        <v>256.00299999999993</v>
      </c>
      <c r="GI101" s="203">
        <v>439.88</v>
      </c>
      <c r="GJ101" s="204">
        <v>29.506</v>
      </c>
      <c r="GK101" s="204">
        <f>53.498+28.398+3.291</f>
        <v>85.186999999999998</v>
      </c>
      <c r="GL101" s="204">
        <v>127.923</v>
      </c>
      <c r="GM101" s="204">
        <f>184.137-GL101</f>
        <v>56.213999999999999</v>
      </c>
      <c r="GN101" s="204"/>
      <c r="GO101" s="205">
        <f>GI101-GJ101-GK101-GL101-GM101</f>
        <v>141.05000000000001</v>
      </c>
      <c r="GP101" s="203">
        <v>1065.1210000000001</v>
      </c>
      <c r="GQ101" s="204">
        <v>33.305</v>
      </c>
      <c r="GR101" s="204">
        <f>167.113+130.348+9.675</f>
        <v>307.13600000000002</v>
      </c>
      <c r="GS101" s="204">
        <v>260.07</v>
      </c>
      <c r="GT101" s="204">
        <f>432.787-GS101</f>
        <v>172.71699999999998</v>
      </c>
      <c r="GU101" s="204"/>
      <c r="GV101" s="205">
        <f>GP101-GQ101-GR101-GS101-GT101</f>
        <v>291.89300000000009</v>
      </c>
      <c r="GW101" s="203"/>
      <c r="GX101" s="204"/>
      <c r="GY101" s="204"/>
      <c r="GZ101" s="204"/>
      <c r="HA101" s="204"/>
      <c r="HB101" s="204"/>
      <c r="HC101" s="205"/>
      <c r="HD101" s="203">
        <f>'[2]t&amp;t'!W233</f>
        <v>7629</v>
      </c>
      <c r="HE101" s="204">
        <f>'[2]t&amp;t'!X233</f>
        <v>1167.8</v>
      </c>
      <c r="HF101" s="204">
        <f>'[2]t&amp;t'!Y233</f>
        <v>789.69999999999993</v>
      </c>
      <c r="HG101" s="204">
        <f>'[2]t&amp;t'!Z233</f>
        <v>921.5</v>
      </c>
      <c r="HH101" s="204">
        <f>'[2]t&amp;t'!AA233</f>
        <v>2211.5</v>
      </c>
      <c r="HI101" s="204"/>
      <c r="HJ101" s="205">
        <f>'[2]t&amp;t'!AC233</f>
        <v>2538.5</v>
      </c>
      <c r="HK101" s="203"/>
      <c r="HL101" s="204"/>
      <c r="HM101" s="204"/>
      <c r="HN101" s="204"/>
      <c r="HO101" s="204"/>
      <c r="HP101" s="204"/>
      <c r="HQ101" s="204"/>
      <c r="HR101" s="197"/>
      <c r="HS101" s="206"/>
      <c r="HT101" s="204"/>
      <c r="HU101" s="204"/>
      <c r="HV101" s="204"/>
      <c r="HW101" s="204"/>
      <c r="HX101" s="204"/>
      <c r="HY101" s="198"/>
    </row>
    <row r="102" spans="1:233">
      <c r="A102" s="185" t="s">
        <v>663</v>
      </c>
      <c r="B102" s="197"/>
      <c r="C102" s="198"/>
      <c r="D102" s="198"/>
      <c r="E102" s="198"/>
      <c r="F102" s="198"/>
      <c r="G102" s="198"/>
      <c r="H102" s="199"/>
      <c r="I102" s="197"/>
      <c r="J102" s="198"/>
      <c r="K102" s="198"/>
      <c r="L102" s="198"/>
      <c r="M102" s="198"/>
      <c r="N102" s="198"/>
      <c r="O102" s="199"/>
      <c r="P102" s="198"/>
      <c r="Q102" s="198"/>
      <c r="R102" s="198"/>
      <c r="S102" s="198"/>
      <c r="T102" s="198"/>
      <c r="U102" s="198"/>
      <c r="V102" s="199"/>
      <c r="W102" s="198">
        <v>1523.36</v>
      </c>
      <c r="X102" s="198">
        <v>126.661</v>
      </c>
      <c r="Y102" s="198">
        <v>508.76400000000001</v>
      </c>
      <c r="Z102" s="198">
        <v>76.884</v>
      </c>
      <c r="AA102" s="198">
        <v>435.11500000000001</v>
      </c>
      <c r="AB102" s="198"/>
      <c r="AC102" s="199">
        <f t="shared" si="1"/>
        <v>375.93599999999981</v>
      </c>
      <c r="AD102" s="198"/>
      <c r="AE102" s="198">
        <v>40.872</v>
      </c>
      <c r="AF102" s="198">
        <v>114.854</v>
      </c>
      <c r="AG102" s="198">
        <v>133.54599999999999</v>
      </c>
      <c r="AH102" s="198">
        <v>64.879000000000005</v>
      </c>
      <c r="AI102" s="198"/>
      <c r="AJ102" s="198"/>
      <c r="AK102" s="197"/>
      <c r="AL102" s="198"/>
      <c r="AM102" s="198"/>
      <c r="AN102" s="198"/>
      <c r="AO102" s="198"/>
      <c r="AP102" s="198"/>
      <c r="AQ102" s="199"/>
      <c r="AR102" s="198">
        <v>237355.09762804839</v>
      </c>
      <c r="AS102" s="198">
        <v>55411.07185268325</v>
      </c>
      <c r="AT102" s="198">
        <v>31586.557022704194</v>
      </c>
      <c r="AU102" s="198">
        <v>47328.122079241395</v>
      </c>
      <c r="AV102" s="198">
        <v>16739.53701362502</v>
      </c>
      <c r="AW102" s="198"/>
      <c r="AX102" s="198">
        <v>86289.809659794526</v>
      </c>
      <c r="AY102" s="197"/>
      <c r="AZ102" s="198"/>
      <c r="BA102" s="198"/>
      <c r="BB102" s="198"/>
      <c r="BC102" s="198"/>
      <c r="BD102" s="198"/>
      <c r="BE102" s="198"/>
      <c r="BF102" s="197">
        <v>30674609.620000005</v>
      </c>
      <c r="BG102" s="198"/>
      <c r="BH102" s="198">
        <v>16348014.020000003</v>
      </c>
      <c r="BI102" s="198">
        <v>7469316.0200000005</v>
      </c>
      <c r="BJ102" s="198">
        <v>6857279.5800000001</v>
      </c>
      <c r="BK102" s="198">
        <v>0</v>
      </c>
      <c r="BL102" s="198"/>
      <c r="BM102" s="197"/>
      <c r="BN102" s="198"/>
      <c r="BO102" s="198"/>
      <c r="BP102" s="198"/>
      <c r="BQ102" s="198"/>
      <c r="BR102" s="198"/>
      <c r="BS102" s="198"/>
      <c r="BT102" s="197"/>
      <c r="BU102" s="198"/>
      <c r="BV102" s="198"/>
      <c r="BW102" s="198"/>
      <c r="BX102" s="198"/>
      <c r="BY102" s="198"/>
      <c r="BZ102" s="198"/>
      <c r="CA102" s="197"/>
      <c r="CB102" s="198"/>
      <c r="CC102" s="198"/>
      <c r="CD102" s="198"/>
      <c r="CE102" s="198"/>
      <c r="CF102" s="198"/>
      <c r="CG102" s="198"/>
      <c r="CH102" s="197"/>
      <c r="CI102" s="198"/>
      <c r="CJ102" s="198"/>
      <c r="CK102" s="198"/>
      <c r="CL102" s="198"/>
      <c r="CM102" s="198"/>
      <c r="CN102" s="198"/>
      <c r="CO102" s="197"/>
      <c r="CP102" s="198"/>
      <c r="CQ102" s="198"/>
      <c r="CR102" s="198"/>
      <c r="CS102" s="198"/>
      <c r="CT102" s="198"/>
      <c r="CU102" s="198"/>
      <c r="CV102" s="197"/>
      <c r="CW102" s="198"/>
      <c r="CX102" s="198"/>
      <c r="CY102" s="198"/>
      <c r="CZ102" s="198"/>
      <c r="DA102" s="198"/>
      <c r="DB102" s="198"/>
      <c r="DC102" s="197"/>
      <c r="DD102" s="198"/>
      <c r="DE102" s="198"/>
      <c r="DF102" s="198"/>
      <c r="DG102" s="198"/>
      <c r="DH102" s="198"/>
      <c r="DI102" s="198"/>
      <c r="DJ102" s="197"/>
      <c r="DK102" s="198"/>
      <c r="DL102" s="198"/>
      <c r="DM102" s="198"/>
      <c r="DN102" s="198"/>
      <c r="DO102" s="198"/>
      <c r="DP102" s="198"/>
      <c r="DQ102" s="197"/>
      <c r="DR102" s="198"/>
      <c r="DS102" s="198"/>
      <c r="DT102" s="198"/>
      <c r="DU102" s="198"/>
      <c r="DV102" s="198"/>
      <c r="DW102" s="198"/>
      <c r="DX102" s="197"/>
      <c r="DY102" s="198"/>
      <c r="DZ102" s="198"/>
      <c r="EA102" s="198"/>
      <c r="EB102" s="198"/>
      <c r="EC102" s="198"/>
      <c r="ED102" s="198"/>
      <c r="EE102" s="207"/>
      <c r="EL102" s="207"/>
      <c r="ES102" s="207"/>
      <c r="EZ102" s="197"/>
      <c r="FA102" s="198"/>
      <c r="FB102" s="198"/>
      <c r="FC102" s="198"/>
      <c r="FD102" s="198"/>
      <c r="FE102" s="198"/>
      <c r="FF102" s="198"/>
      <c r="FG102" s="197"/>
      <c r="FH102" s="198"/>
      <c r="FI102" s="198"/>
      <c r="FJ102" s="198"/>
      <c r="FK102" s="198"/>
      <c r="FL102" s="198"/>
      <c r="FM102" s="198"/>
      <c r="FN102" s="197"/>
      <c r="FO102" s="198"/>
      <c r="FP102" s="198"/>
      <c r="FQ102" s="198"/>
      <c r="FR102" s="198"/>
      <c r="FS102" s="198"/>
      <c r="FT102" s="199"/>
      <c r="FU102" s="197"/>
      <c r="FV102" s="198"/>
      <c r="FW102" s="198"/>
      <c r="FX102" s="198"/>
      <c r="FY102" s="198"/>
      <c r="FZ102" s="198"/>
      <c r="GA102" s="199"/>
      <c r="GB102" s="197"/>
      <c r="GC102" s="198"/>
      <c r="GD102" s="198"/>
      <c r="GE102" s="198"/>
      <c r="GF102" s="198"/>
      <c r="GG102" s="198"/>
      <c r="GH102" s="199"/>
      <c r="GI102" s="197"/>
      <c r="GJ102" s="198"/>
      <c r="GK102" s="198"/>
      <c r="GL102" s="198"/>
      <c r="GM102" s="198"/>
      <c r="GN102" s="198"/>
      <c r="GO102" s="199"/>
      <c r="GP102" s="197"/>
      <c r="GQ102" s="198"/>
      <c r="GR102" s="198"/>
      <c r="GS102" s="198"/>
      <c r="GT102" s="198"/>
      <c r="GU102" s="198"/>
      <c r="GV102" s="199"/>
      <c r="GW102" s="197"/>
      <c r="GX102" s="198"/>
      <c r="GY102" s="198"/>
      <c r="GZ102" s="198"/>
      <c r="HA102" s="198"/>
      <c r="HB102" s="198"/>
      <c r="HC102" s="199"/>
      <c r="HD102" s="197"/>
      <c r="HE102" s="198"/>
      <c r="HF102" s="198"/>
      <c r="HG102" s="198"/>
      <c r="HH102" s="198"/>
      <c r="HI102" s="198"/>
      <c r="HJ102" s="199"/>
      <c r="HK102" s="197"/>
      <c r="HL102" s="198"/>
      <c r="HM102" s="198"/>
      <c r="HN102" s="198"/>
      <c r="HO102" s="198"/>
      <c r="HP102" s="198"/>
      <c r="HQ102" s="198"/>
      <c r="HR102" s="197"/>
      <c r="HT102" s="201"/>
      <c r="HU102" s="201"/>
      <c r="HV102" s="201"/>
      <c r="HW102" s="201"/>
      <c r="HX102" s="198"/>
    </row>
    <row r="103" spans="1:233">
      <c r="A103" s="185" t="s">
        <v>490</v>
      </c>
      <c r="B103" s="197"/>
      <c r="C103" s="198"/>
      <c r="D103" s="198"/>
      <c r="E103" s="198"/>
      <c r="F103" s="198"/>
      <c r="G103" s="198"/>
      <c r="H103" s="199"/>
      <c r="I103" s="197"/>
      <c r="J103" s="198"/>
      <c r="K103" s="198"/>
      <c r="L103" s="198"/>
      <c r="M103" s="198"/>
      <c r="N103" s="198"/>
      <c r="O103" s="199"/>
      <c r="P103" s="198"/>
      <c r="Q103" s="198"/>
      <c r="R103" s="198"/>
      <c r="S103" s="198"/>
      <c r="T103" s="198"/>
      <c r="U103" s="198"/>
      <c r="V103" s="199"/>
      <c r="W103" s="198">
        <v>1506.2239999999999</v>
      </c>
      <c r="X103" s="198">
        <v>122.33</v>
      </c>
      <c r="Y103" s="198">
        <v>495.29500000000002</v>
      </c>
      <c r="Z103" s="198">
        <v>76.182000000000002</v>
      </c>
      <c r="AA103" s="198">
        <v>436.678</v>
      </c>
      <c r="AB103" s="198"/>
      <c r="AC103" s="199">
        <f t="shared" si="1"/>
        <v>375.73899999999992</v>
      </c>
      <c r="AD103" s="198"/>
      <c r="AE103" s="198">
        <v>45.814999999999998</v>
      </c>
      <c r="AF103" s="198">
        <v>115.241</v>
      </c>
      <c r="AG103" s="198">
        <v>133.785</v>
      </c>
      <c r="AH103" s="198">
        <v>65.055000000000007</v>
      </c>
      <c r="AI103" s="198"/>
      <c r="AJ103" s="198"/>
      <c r="AK103" s="197"/>
      <c r="AL103" s="198"/>
      <c r="AM103" s="198"/>
      <c r="AN103" s="198"/>
      <c r="AO103" s="198"/>
      <c r="AP103" s="198"/>
      <c r="AQ103" s="199"/>
      <c r="AR103" s="198">
        <v>240545.34086459657</v>
      </c>
      <c r="AS103" s="198">
        <v>55093.272251307899</v>
      </c>
      <c r="AT103" s="198">
        <v>32007.238693852818</v>
      </c>
      <c r="AU103" s="198">
        <v>47482.205059125154</v>
      </c>
      <c r="AV103" s="198">
        <v>17367.507033895599</v>
      </c>
      <c r="AW103" s="198"/>
      <c r="AX103" s="198">
        <v>88595.117826415095</v>
      </c>
      <c r="AY103" s="197"/>
      <c r="AZ103" s="198"/>
      <c r="BA103" s="198"/>
      <c r="BB103" s="198"/>
      <c r="BC103" s="198"/>
      <c r="BD103" s="198"/>
      <c r="BE103" s="198"/>
      <c r="BF103" s="197">
        <v>31205592.52</v>
      </c>
      <c r="BG103" s="198"/>
      <c r="BH103" s="198">
        <v>16607231.17</v>
      </c>
      <c r="BI103" s="198">
        <v>7650068.9800000004</v>
      </c>
      <c r="BJ103" s="198">
        <v>6948292.3700000001</v>
      </c>
      <c r="BK103" s="198">
        <v>0</v>
      </c>
      <c r="BL103" s="198"/>
      <c r="BM103" s="197"/>
      <c r="BN103" s="198"/>
      <c r="BO103" s="198"/>
      <c r="BP103" s="198"/>
      <c r="BQ103" s="198"/>
      <c r="BR103" s="198"/>
      <c r="BS103" s="198"/>
      <c r="BT103" s="197"/>
      <c r="BU103" s="198"/>
      <c r="BV103" s="198"/>
      <c r="BW103" s="198"/>
      <c r="BX103" s="198"/>
      <c r="BY103" s="198"/>
      <c r="BZ103" s="198"/>
      <c r="CA103" s="197"/>
      <c r="CB103" s="198"/>
      <c r="CC103" s="198"/>
      <c r="CD103" s="198"/>
      <c r="CE103" s="198"/>
      <c r="CF103" s="198"/>
      <c r="CG103" s="198"/>
      <c r="CH103" s="197"/>
      <c r="CI103" s="198"/>
      <c r="CJ103" s="198"/>
      <c r="CK103" s="198"/>
      <c r="CL103" s="198"/>
      <c r="CM103" s="198"/>
      <c r="CN103" s="198"/>
      <c r="CO103" s="197"/>
      <c r="CP103" s="198"/>
      <c r="CQ103" s="198"/>
      <c r="CR103" s="198"/>
      <c r="CS103" s="198"/>
      <c r="CT103" s="198"/>
      <c r="CU103" s="198"/>
      <c r="CV103" s="197"/>
      <c r="CW103" s="198"/>
      <c r="CX103" s="198"/>
      <c r="CY103" s="198"/>
      <c r="CZ103" s="198"/>
      <c r="DA103" s="198"/>
      <c r="DB103" s="198"/>
      <c r="DC103" s="197"/>
      <c r="DD103" s="198"/>
      <c r="DE103" s="198"/>
      <c r="DF103" s="198"/>
      <c r="DG103" s="198"/>
      <c r="DH103" s="198"/>
      <c r="DI103" s="198"/>
      <c r="DJ103" s="197"/>
      <c r="DK103" s="198"/>
      <c r="DL103" s="198"/>
      <c r="DM103" s="198"/>
      <c r="DN103" s="198"/>
      <c r="DO103" s="198"/>
      <c r="DP103" s="198"/>
      <c r="DQ103" s="197"/>
      <c r="DR103" s="198"/>
      <c r="DS103" s="198"/>
      <c r="DT103" s="198"/>
      <c r="DU103" s="198"/>
      <c r="DV103" s="198"/>
      <c r="DW103" s="198"/>
      <c r="DX103" s="197"/>
      <c r="DY103" s="198"/>
      <c r="DZ103" s="198"/>
      <c r="EA103" s="198"/>
      <c r="EB103" s="198"/>
      <c r="EC103" s="198"/>
      <c r="ED103" s="198"/>
      <c r="EE103" s="207"/>
      <c r="EL103" s="207"/>
      <c r="ES103" s="207"/>
      <c r="EZ103" s="197"/>
      <c r="FA103" s="198"/>
      <c r="FB103" s="198"/>
      <c r="FC103" s="198"/>
      <c r="FD103" s="198"/>
      <c r="FE103" s="198"/>
      <c r="FF103" s="198"/>
      <c r="FG103" s="197"/>
      <c r="FH103" s="198"/>
      <c r="FI103" s="198"/>
      <c r="FJ103" s="198"/>
      <c r="FK103" s="198"/>
      <c r="FL103" s="198"/>
      <c r="FM103" s="198"/>
      <c r="FN103" s="197"/>
      <c r="FO103" s="198"/>
      <c r="FP103" s="198"/>
      <c r="FQ103" s="198"/>
      <c r="FR103" s="198"/>
      <c r="FS103" s="198"/>
      <c r="FT103" s="199"/>
      <c r="FU103" s="197"/>
      <c r="FV103" s="198"/>
      <c r="FW103" s="198"/>
      <c r="FX103" s="198"/>
      <c r="FY103" s="198"/>
      <c r="FZ103" s="198"/>
      <c r="GA103" s="199"/>
      <c r="GB103" s="197"/>
      <c r="GC103" s="198"/>
      <c r="GD103" s="198"/>
      <c r="GE103" s="198"/>
      <c r="GF103" s="198"/>
      <c r="GG103" s="198"/>
      <c r="GH103" s="199"/>
      <c r="GI103" s="197"/>
      <c r="GJ103" s="198"/>
      <c r="GK103" s="198"/>
      <c r="GL103" s="198"/>
      <c r="GM103" s="198"/>
      <c r="GN103" s="198"/>
      <c r="GO103" s="199"/>
      <c r="GP103" s="197"/>
      <c r="GQ103" s="198"/>
      <c r="GR103" s="198"/>
      <c r="GS103" s="198"/>
      <c r="GT103" s="198"/>
      <c r="GU103" s="198"/>
      <c r="GV103" s="199"/>
      <c r="GW103" s="197"/>
      <c r="GX103" s="198"/>
      <c r="GY103" s="198"/>
      <c r="GZ103" s="198"/>
      <c r="HA103" s="198"/>
      <c r="HB103" s="198"/>
      <c r="HC103" s="199"/>
      <c r="HD103" s="197"/>
      <c r="HE103" s="198"/>
      <c r="HF103" s="198"/>
      <c r="HG103" s="198"/>
      <c r="HH103" s="198"/>
      <c r="HI103" s="198"/>
      <c r="HJ103" s="199"/>
      <c r="HK103" s="197"/>
      <c r="HL103" s="198"/>
      <c r="HM103" s="198"/>
      <c r="HN103" s="198"/>
      <c r="HO103" s="198"/>
      <c r="HP103" s="198"/>
      <c r="HQ103" s="198"/>
      <c r="HR103" s="197"/>
      <c r="HT103" s="198"/>
      <c r="HU103" s="198"/>
      <c r="HV103" s="198"/>
      <c r="HW103" s="198"/>
      <c r="HX103" s="198"/>
    </row>
    <row r="104" spans="1:233">
      <c r="A104" s="185" t="s">
        <v>491</v>
      </c>
      <c r="B104" s="197"/>
      <c r="C104" s="198"/>
      <c r="D104" s="198"/>
      <c r="E104" s="198"/>
      <c r="F104" s="198"/>
      <c r="G104" s="198"/>
      <c r="H104" s="199"/>
      <c r="I104" s="197"/>
      <c r="J104" s="198"/>
      <c r="K104" s="198"/>
      <c r="L104" s="198"/>
      <c r="M104" s="198"/>
      <c r="N104" s="198"/>
      <c r="O104" s="199"/>
      <c r="P104" s="198"/>
      <c r="Q104" s="198"/>
      <c r="R104" s="198"/>
      <c r="S104" s="198"/>
      <c r="T104" s="198"/>
      <c r="U104" s="198"/>
      <c r="V104" s="199"/>
      <c r="W104" s="198">
        <v>1513.759</v>
      </c>
      <c r="X104" s="198">
        <v>125.837</v>
      </c>
      <c r="Y104" s="198">
        <v>504.44</v>
      </c>
      <c r="Z104" s="198">
        <v>73.671999999999997</v>
      </c>
      <c r="AA104" s="198">
        <v>442.21600000000001</v>
      </c>
      <c r="AB104" s="198"/>
      <c r="AC104" s="199">
        <f t="shared" si="1"/>
        <v>367.59399999999994</v>
      </c>
      <c r="AD104" s="198">
        <f>[1]datos!$S236</f>
        <v>483.959</v>
      </c>
      <c r="AE104" s="198">
        <v>34.365000000000002</v>
      </c>
      <c r="AF104" s="198">
        <v>115.90899999999999</v>
      </c>
      <c r="AG104" s="198">
        <v>135.16800000000001</v>
      </c>
      <c r="AH104" s="198">
        <v>63.442999999999998</v>
      </c>
      <c r="AI104" s="198">
        <f>[1]datos!$U236</f>
        <v>50.488999999999997</v>
      </c>
      <c r="AJ104" s="198">
        <f>AD104-AE104-AF104-AG104-AH104-AI104</f>
        <v>84.585000000000008</v>
      </c>
      <c r="AK104" s="197"/>
      <c r="AL104" s="198"/>
      <c r="AM104" s="198"/>
      <c r="AN104" s="198"/>
      <c r="AO104" s="198"/>
      <c r="AP104" s="198"/>
      <c r="AQ104" s="199"/>
      <c r="AR104" s="198">
        <v>244549.91650017351</v>
      </c>
      <c r="AS104" s="198">
        <v>57408.402093029501</v>
      </c>
      <c r="AT104" s="198">
        <v>32157.900245287405</v>
      </c>
      <c r="AU104" s="198">
        <v>48228.154579533439</v>
      </c>
      <c r="AV104" s="198">
        <v>16717.768108143897</v>
      </c>
      <c r="AW104" s="198"/>
      <c r="AX104" s="198">
        <v>90037.691474179286</v>
      </c>
      <c r="AY104" s="197"/>
      <c r="AZ104" s="198"/>
      <c r="BA104" s="198"/>
      <c r="BB104" s="198"/>
      <c r="BC104" s="198"/>
      <c r="BD104" s="198"/>
      <c r="BE104" s="198"/>
      <c r="BF104" s="197">
        <v>31933725.700000003</v>
      </c>
      <c r="BG104" s="198"/>
      <c r="BH104" s="198">
        <v>17046187.16</v>
      </c>
      <c r="BI104" s="198">
        <v>7854823.7600000016</v>
      </c>
      <c r="BJ104" s="198">
        <v>7032714.7799999993</v>
      </c>
      <c r="BK104" s="198">
        <v>0</v>
      </c>
      <c r="BL104" s="198"/>
      <c r="BM104" s="197"/>
      <c r="BN104" s="198"/>
      <c r="BO104" s="198"/>
      <c r="BP104" s="198"/>
      <c r="BQ104" s="198"/>
      <c r="BR104" s="198"/>
      <c r="BS104" s="198"/>
      <c r="BT104" s="197"/>
      <c r="BU104" s="198"/>
      <c r="BV104" s="198"/>
      <c r="BW104" s="198"/>
      <c r="BX104" s="198"/>
      <c r="BY104" s="198"/>
      <c r="BZ104" s="198"/>
      <c r="CA104" s="197"/>
      <c r="CB104" s="198"/>
      <c r="CC104" s="198"/>
      <c r="CD104" s="198"/>
      <c r="CE104" s="198"/>
      <c r="CF104" s="198"/>
      <c r="CG104" s="198"/>
      <c r="CH104" s="197"/>
      <c r="CI104" s="198"/>
      <c r="CJ104" s="198"/>
      <c r="CK104" s="198"/>
      <c r="CL104" s="198"/>
      <c r="CM104" s="198"/>
      <c r="CN104" s="198"/>
      <c r="CO104" s="197"/>
      <c r="CP104" s="198"/>
      <c r="CQ104" s="198"/>
      <c r="CR104" s="198"/>
      <c r="CS104" s="198"/>
      <c r="CT104" s="198"/>
      <c r="CU104" s="198"/>
      <c r="CV104" s="197"/>
      <c r="CW104" s="198"/>
      <c r="CX104" s="198"/>
      <c r="CY104" s="198"/>
      <c r="CZ104" s="198"/>
      <c r="DA104" s="198"/>
      <c r="DB104" s="198"/>
      <c r="DC104" s="197"/>
      <c r="DD104" s="198"/>
      <c r="DE104" s="198"/>
      <c r="DF104" s="198"/>
      <c r="DG104" s="198"/>
      <c r="DH104" s="198"/>
      <c r="DI104" s="198"/>
      <c r="DJ104" s="197"/>
      <c r="DK104" s="198"/>
      <c r="DL104" s="198"/>
      <c r="DM104" s="198"/>
      <c r="DN104" s="198"/>
      <c r="DO104" s="198"/>
      <c r="DP104" s="198"/>
      <c r="DQ104" s="197"/>
      <c r="DR104" s="198"/>
      <c r="DS104" s="198"/>
      <c r="DT104" s="198"/>
      <c r="DU104" s="198"/>
      <c r="DV104" s="198"/>
      <c r="DW104" s="198"/>
      <c r="DX104" s="197"/>
      <c r="DY104" s="198"/>
      <c r="DZ104" s="198"/>
      <c r="EA104" s="198"/>
      <c r="EB104" s="198"/>
      <c r="EC104" s="198"/>
      <c r="ED104" s="198"/>
      <c r="EE104" s="207"/>
      <c r="EL104" s="207"/>
      <c r="ES104" s="207"/>
      <c r="EZ104" s="197"/>
      <c r="FA104" s="198"/>
      <c r="FB104" s="198"/>
      <c r="FC104" s="198"/>
      <c r="FD104" s="198"/>
      <c r="FE104" s="198"/>
      <c r="FF104" s="198"/>
      <c r="FG104" s="197"/>
      <c r="FH104" s="198"/>
      <c r="FI104" s="198"/>
      <c r="FJ104" s="198"/>
      <c r="FK104" s="198"/>
      <c r="FL104" s="198"/>
      <c r="FM104" s="198"/>
      <c r="FN104" s="197">
        <v>20204026</v>
      </c>
      <c r="FO104" s="198">
        <v>5687713</v>
      </c>
      <c r="FP104" s="198">
        <v>3897762</v>
      </c>
      <c r="FQ104" s="198"/>
      <c r="FR104" s="198"/>
      <c r="FS104" s="198"/>
      <c r="FT104" s="199"/>
      <c r="FU104" s="197"/>
      <c r="FV104" s="198"/>
      <c r="FW104" s="198"/>
      <c r="FX104" s="198"/>
      <c r="FY104" s="198"/>
      <c r="FZ104" s="198"/>
      <c r="GA104" s="199"/>
      <c r="GB104" s="197"/>
      <c r="GC104" s="198"/>
      <c r="GD104" s="198"/>
      <c r="GE104" s="198"/>
      <c r="GF104" s="198"/>
      <c r="GG104" s="198"/>
      <c r="GH104" s="199"/>
      <c r="GI104" s="197"/>
      <c r="GJ104" s="198"/>
      <c r="GK104" s="198"/>
      <c r="GL104" s="198"/>
      <c r="GM104" s="198"/>
      <c r="GN104" s="198"/>
      <c r="GO104" s="199"/>
      <c r="GP104" s="197"/>
      <c r="GQ104" s="198"/>
      <c r="GR104" s="198"/>
      <c r="GS104" s="198"/>
      <c r="GT104" s="198"/>
      <c r="GU104" s="198"/>
      <c r="GV104" s="199"/>
      <c r="GW104" s="197"/>
      <c r="GX104" s="198"/>
      <c r="GY104" s="198"/>
      <c r="GZ104" s="198"/>
      <c r="HA104" s="198"/>
      <c r="HB104" s="198"/>
      <c r="HC104" s="199"/>
      <c r="HD104" s="197">
        <f>'[2]t&amp;t'!W236</f>
        <v>7849.7999999999993</v>
      </c>
      <c r="HE104" s="198">
        <f>'[2]t&amp;t'!X236</f>
        <v>1137.0999999999999</v>
      </c>
      <c r="HF104" s="198">
        <f>'[2]t&amp;t'!Y236</f>
        <v>798.4</v>
      </c>
      <c r="HG104" s="198">
        <f>'[2]t&amp;t'!Z236</f>
        <v>943.6</v>
      </c>
      <c r="HH104" s="198">
        <f>'[2]t&amp;t'!AA236</f>
        <v>2236.1999999999998</v>
      </c>
      <c r="HI104" s="198"/>
      <c r="HJ104" s="199">
        <f>'[2]t&amp;t'!AC236</f>
        <v>2734.5</v>
      </c>
      <c r="HK104" s="197"/>
      <c r="HL104" s="198"/>
      <c r="HM104" s="198"/>
      <c r="HN104" s="198"/>
      <c r="HO104" s="198"/>
      <c r="HP104" s="198"/>
      <c r="HQ104" s="198"/>
      <c r="HR104" s="197"/>
      <c r="HT104" s="198"/>
      <c r="HU104" s="198"/>
      <c r="HV104" s="198"/>
      <c r="HW104" s="198"/>
      <c r="HX104" s="198"/>
    </row>
    <row r="105" spans="1:233">
      <c r="A105" s="185" t="s">
        <v>492</v>
      </c>
      <c r="B105" s="197"/>
      <c r="C105" s="198"/>
      <c r="D105" s="198"/>
      <c r="E105" s="198"/>
      <c r="F105" s="198"/>
      <c r="G105" s="198"/>
      <c r="H105" s="199"/>
      <c r="I105" s="197"/>
      <c r="J105" s="198"/>
      <c r="K105" s="198"/>
      <c r="L105" s="198"/>
      <c r="M105" s="198"/>
      <c r="N105" s="198"/>
      <c r="O105" s="199"/>
      <c r="P105" s="198"/>
      <c r="Q105" s="198"/>
      <c r="R105" s="198"/>
      <c r="S105" s="198"/>
      <c r="T105" s="198"/>
      <c r="U105" s="198"/>
      <c r="V105" s="199"/>
      <c r="W105" s="198">
        <v>1518.3920000000001</v>
      </c>
      <c r="X105" s="198">
        <v>122.37</v>
      </c>
      <c r="Y105" s="198">
        <v>511.11200000000002</v>
      </c>
      <c r="Z105" s="198">
        <v>75.147999999999996</v>
      </c>
      <c r="AA105" s="198">
        <v>446.20600000000002</v>
      </c>
      <c r="AB105" s="198"/>
      <c r="AC105" s="199">
        <f t="shared" si="1"/>
        <v>363.55599999999981</v>
      </c>
      <c r="AD105" s="198"/>
      <c r="AE105" s="198">
        <v>38.741999999999997</v>
      </c>
      <c r="AF105" s="198">
        <v>113.51300000000001</v>
      </c>
      <c r="AG105" s="198">
        <v>136.20400000000001</v>
      </c>
      <c r="AH105" s="198">
        <v>67.02</v>
      </c>
      <c r="AI105" s="198"/>
      <c r="AJ105" s="198"/>
      <c r="AK105" s="197"/>
      <c r="AL105" s="198"/>
      <c r="AM105" s="198"/>
      <c r="AN105" s="198"/>
      <c r="AO105" s="198"/>
      <c r="AP105" s="198"/>
      <c r="AQ105" s="199"/>
      <c r="AR105" s="198">
        <v>245388.85114944819</v>
      </c>
      <c r="AS105" s="198">
        <v>56901.386034069015</v>
      </c>
      <c r="AT105" s="198">
        <v>32490.469396705485</v>
      </c>
      <c r="AU105" s="198">
        <v>48074.64627560354</v>
      </c>
      <c r="AV105" s="198">
        <v>16777.964794472835</v>
      </c>
      <c r="AW105" s="198"/>
      <c r="AX105" s="198">
        <v>91144.384648597348</v>
      </c>
      <c r="AY105" s="197"/>
      <c r="AZ105" s="198"/>
      <c r="BA105" s="198"/>
      <c r="BB105" s="198"/>
      <c r="BC105" s="198"/>
      <c r="BD105" s="198"/>
      <c r="BE105" s="198"/>
      <c r="BF105" s="197">
        <v>32440640.040000003</v>
      </c>
      <c r="BG105" s="198"/>
      <c r="BH105" s="198">
        <v>17282718.27</v>
      </c>
      <c r="BI105" s="198">
        <v>8027546.5299999993</v>
      </c>
      <c r="BJ105" s="198">
        <v>7130375.2400000002</v>
      </c>
      <c r="BK105" s="198">
        <v>0</v>
      </c>
      <c r="BL105" s="198"/>
      <c r="BM105" s="197"/>
      <c r="BN105" s="198"/>
      <c r="BO105" s="198"/>
      <c r="BP105" s="198"/>
      <c r="BQ105" s="198"/>
      <c r="BR105" s="198"/>
      <c r="BS105" s="198"/>
      <c r="BT105" s="197"/>
      <c r="BU105" s="198"/>
      <c r="BV105" s="198"/>
      <c r="BW105" s="198"/>
      <c r="BX105" s="198"/>
      <c r="BY105" s="198"/>
      <c r="BZ105" s="198"/>
      <c r="CA105" s="197"/>
      <c r="CB105" s="198"/>
      <c r="CC105" s="198"/>
      <c r="CD105" s="198"/>
      <c r="CE105" s="198"/>
      <c r="CF105" s="198"/>
      <c r="CG105" s="198"/>
      <c r="CH105" s="197"/>
      <c r="CI105" s="198"/>
      <c r="CJ105" s="198"/>
      <c r="CK105" s="198"/>
      <c r="CL105" s="198"/>
      <c r="CM105" s="198"/>
      <c r="CN105" s="198"/>
      <c r="CO105" s="197"/>
      <c r="CP105" s="198"/>
      <c r="CQ105" s="198"/>
      <c r="CR105" s="198"/>
      <c r="CS105" s="198"/>
      <c r="CT105" s="198"/>
      <c r="CU105" s="198"/>
      <c r="CV105" s="197"/>
      <c r="CW105" s="198"/>
      <c r="CX105" s="198"/>
      <c r="CY105" s="198"/>
      <c r="CZ105" s="198"/>
      <c r="DA105" s="198"/>
      <c r="DB105" s="198"/>
      <c r="DC105" s="197"/>
      <c r="DD105" s="198"/>
      <c r="DE105" s="198"/>
      <c r="DF105" s="198"/>
      <c r="DG105" s="198"/>
      <c r="DH105" s="198"/>
      <c r="DI105" s="198"/>
      <c r="DJ105" s="197"/>
      <c r="DK105" s="198"/>
      <c r="DL105" s="198"/>
      <c r="DM105" s="198"/>
      <c r="DN105" s="198"/>
      <c r="DO105" s="198"/>
      <c r="DP105" s="198"/>
      <c r="DQ105" s="197"/>
      <c r="DR105" s="198"/>
      <c r="DS105" s="198"/>
      <c r="DT105" s="198"/>
      <c r="DU105" s="198"/>
      <c r="DV105" s="198"/>
      <c r="DW105" s="198"/>
      <c r="DX105" s="197"/>
      <c r="DY105" s="198"/>
      <c r="DZ105" s="198"/>
      <c r="EA105" s="198"/>
      <c r="EB105" s="198"/>
      <c r="EC105" s="198"/>
      <c r="ED105" s="198"/>
      <c r="EE105" s="207"/>
      <c r="EL105" s="207"/>
      <c r="ES105" s="207"/>
      <c r="EZ105" s="197"/>
      <c r="FA105" s="198"/>
      <c r="FB105" s="198"/>
      <c r="FC105" s="198"/>
      <c r="FD105" s="198"/>
      <c r="FE105" s="198"/>
      <c r="FF105" s="198"/>
      <c r="FG105" s="197"/>
      <c r="FH105" s="198"/>
      <c r="FI105" s="198"/>
      <c r="FJ105" s="198"/>
      <c r="FK105" s="198"/>
      <c r="FL105" s="198"/>
      <c r="FM105" s="198"/>
      <c r="FN105" s="197"/>
      <c r="FO105" s="198"/>
      <c r="FP105" s="198"/>
      <c r="FQ105" s="198"/>
      <c r="FR105" s="198"/>
      <c r="FS105" s="198"/>
      <c r="FT105" s="199"/>
      <c r="FU105" s="197"/>
      <c r="FV105" s="198"/>
      <c r="FW105" s="198"/>
      <c r="FX105" s="198"/>
      <c r="FY105" s="198"/>
      <c r="FZ105" s="198"/>
      <c r="GA105" s="199"/>
      <c r="GB105" s="197"/>
      <c r="GC105" s="198"/>
      <c r="GD105" s="198"/>
      <c r="GE105" s="198"/>
      <c r="GF105" s="198"/>
      <c r="GG105" s="198"/>
      <c r="GH105" s="199"/>
      <c r="GI105" s="197"/>
      <c r="GJ105" s="198"/>
      <c r="GK105" s="198"/>
      <c r="GL105" s="198"/>
      <c r="GM105" s="198"/>
      <c r="GN105" s="198"/>
      <c r="GO105" s="199"/>
      <c r="GP105" s="197"/>
      <c r="GQ105" s="198"/>
      <c r="GR105" s="198"/>
      <c r="GS105" s="198"/>
      <c r="GT105" s="198"/>
      <c r="GU105" s="198"/>
      <c r="GV105" s="199"/>
      <c r="GW105" s="197"/>
      <c r="GX105" s="198"/>
      <c r="GY105" s="198"/>
      <c r="GZ105" s="198"/>
      <c r="HA105" s="198"/>
      <c r="HB105" s="198"/>
      <c r="HC105" s="199"/>
      <c r="HD105" s="197"/>
      <c r="HE105" s="198"/>
      <c r="HF105" s="198"/>
      <c r="HG105" s="198"/>
      <c r="HH105" s="198"/>
      <c r="HI105" s="198"/>
      <c r="HJ105" s="199"/>
      <c r="HK105" s="197"/>
      <c r="HL105" s="198"/>
      <c r="HM105" s="198"/>
      <c r="HN105" s="198"/>
      <c r="HO105" s="198"/>
      <c r="HP105" s="198"/>
      <c r="HQ105" s="198"/>
      <c r="HR105" s="197"/>
      <c r="HT105" s="198"/>
      <c r="HU105" s="198"/>
      <c r="HV105" s="198"/>
      <c r="HW105" s="198"/>
      <c r="HX105" s="198"/>
    </row>
    <row r="106" spans="1:233">
      <c r="A106" s="185" t="s">
        <v>493</v>
      </c>
      <c r="B106" s="197"/>
      <c r="C106" s="198"/>
      <c r="D106" s="198"/>
      <c r="E106" s="198"/>
      <c r="F106" s="198"/>
      <c r="G106" s="198"/>
      <c r="H106" s="199"/>
      <c r="I106" s="197"/>
      <c r="J106" s="198"/>
      <c r="K106" s="198"/>
      <c r="L106" s="198"/>
      <c r="M106" s="198"/>
      <c r="N106" s="198"/>
      <c r="O106" s="199"/>
      <c r="P106" s="198"/>
      <c r="Q106" s="198"/>
      <c r="R106" s="198"/>
      <c r="S106" s="198"/>
      <c r="T106" s="198"/>
      <c r="U106" s="198"/>
      <c r="V106" s="199"/>
      <c r="W106" s="198">
        <v>1512.423</v>
      </c>
      <c r="X106" s="198">
        <v>127.544</v>
      </c>
      <c r="Y106" s="198">
        <v>499.42700000000002</v>
      </c>
      <c r="Z106" s="198">
        <v>75.408000000000001</v>
      </c>
      <c r="AA106" s="198">
        <v>450.29399999999998</v>
      </c>
      <c r="AB106" s="198"/>
      <c r="AC106" s="199">
        <f t="shared" si="1"/>
        <v>359.74999999999989</v>
      </c>
      <c r="AD106" s="198"/>
      <c r="AE106" s="198">
        <v>39.267000000000003</v>
      </c>
      <c r="AF106" s="198">
        <v>117.02</v>
      </c>
      <c r="AG106" s="198">
        <v>138.625</v>
      </c>
      <c r="AH106" s="198">
        <v>68.39</v>
      </c>
      <c r="AI106" s="198"/>
      <c r="AJ106" s="198"/>
      <c r="AK106" s="197"/>
      <c r="AL106" s="198"/>
      <c r="AM106" s="198"/>
      <c r="AN106" s="198"/>
      <c r="AO106" s="198"/>
      <c r="AP106" s="198"/>
      <c r="AQ106" s="199"/>
      <c r="AR106" s="198">
        <v>246296.44247883311</v>
      </c>
      <c r="AS106" s="198">
        <v>57737.103579995826</v>
      </c>
      <c r="AT106" s="198">
        <v>32301.276839422884</v>
      </c>
      <c r="AU106" s="198">
        <v>47249.285380576235</v>
      </c>
      <c r="AV106" s="198">
        <v>17214.446745934281</v>
      </c>
      <c r="AW106" s="198"/>
      <c r="AX106" s="198">
        <v>91794.329932903871</v>
      </c>
      <c r="AY106" s="197"/>
      <c r="AZ106" s="198"/>
      <c r="BA106" s="198"/>
      <c r="BB106" s="198"/>
      <c r="BC106" s="198"/>
      <c r="BD106" s="198"/>
      <c r="BE106" s="198"/>
      <c r="BF106" s="197">
        <v>33128693.240000002</v>
      </c>
      <c r="BG106" s="198"/>
      <c r="BH106" s="198">
        <v>17675529.410000004</v>
      </c>
      <c r="BI106" s="198">
        <v>8290726.919999999</v>
      </c>
      <c r="BJ106" s="198">
        <v>7162436.9100000001</v>
      </c>
      <c r="BK106" s="198">
        <v>0</v>
      </c>
      <c r="BL106" s="198"/>
      <c r="BM106" s="197"/>
      <c r="BN106" s="198"/>
      <c r="BO106" s="198"/>
      <c r="BP106" s="198"/>
      <c r="BQ106" s="198"/>
      <c r="BR106" s="198"/>
      <c r="BS106" s="198"/>
      <c r="BT106" s="197"/>
      <c r="BU106" s="198"/>
      <c r="BV106" s="198"/>
      <c r="BW106" s="198"/>
      <c r="BX106" s="198"/>
      <c r="BY106" s="198"/>
      <c r="BZ106" s="198"/>
      <c r="CA106" s="197"/>
      <c r="CB106" s="198"/>
      <c r="CC106" s="198"/>
      <c r="CD106" s="198"/>
      <c r="CE106" s="198"/>
      <c r="CF106" s="198"/>
      <c r="CG106" s="198"/>
      <c r="CH106" s="197"/>
      <c r="CI106" s="198"/>
      <c r="CJ106" s="198"/>
      <c r="CK106" s="198"/>
      <c r="CL106" s="198"/>
      <c r="CM106" s="198"/>
      <c r="CN106" s="198"/>
      <c r="CO106" s="197"/>
      <c r="CP106" s="198"/>
      <c r="CQ106" s="198"/>
      <c r="CR106" s="198"/>
      <c r="CS106" s="198"/>
      <c r="CT106" s="198"/>
      <c r="CU106" s="198"/>
      <c r="CV106" s="197"/>
      <c r="CW106" s="198"/>
      <c r="CX106" s="198"/>
      <c r="CY106" s="198"/>
      <c r="CZ106" s="198"/>
      <c r="DA106" s="198"/>
      <c r="DB106" s="198"/>
      <c r="DC106" s="197"/>
      <c r="DD106" s="198"/>
      <c r="DE106" s="198"/>
      <c r="DF106" s="198"/>
      <c r="DG106" s="198"/>
      <c r="DH106" s="198"/>
      <c r="DI106" s="198"/>
      <c r="DJ106" s="197"/>
      <c r="DK106" s="198"/>
      <c r="DL106" s="198"/>
      <c r="DM106" s="198"/>
      <c r="DN106" s="198"/>
      <c r="DO106" s="198"/>
      <c r="DP106" s="198"/>
      <c r="DQ106" s="197"/>
      <c r="DR106" s="198"/>
      <c r="DS106" s="198"/>
      <c r="DT106" s="198"/>
      <c r="DU106" s="198"/>
      <c r="DV106" s="198"/>
      <c r="DW106" s="198"/>
      <c r="DX106" s="197"/>
      <c r="DY106" s="198"/>
      <c r="DZ106" s="198"/>
      <c r="EA106" s="198"/>
      <c r="EB106" s="198"/>
      <c r="EC106" s="198"/>
      <c r="ED106" s="198"/>
      <c r="EE106" s="207"/>
      <c r="EL106" s="207"/>
      <c r="ES106" s="207"/>
      <c r="EZ106" s="197"/>
      <c r="FA106" s="198"/>
      <c r="FB106" s="198"/>
      <c r="FC106" s="198"/>
      <c r="FD106" s="198"/>
      <c r="FE106" s="198"/>
      <c r="FF106" s="198"/>
      <c r="FG106" s="197"/>
      <c r="FH106" s="198"/>
      <c r="FI106" s="198"/>
      <c r="FJ106" s="198"/>
      <c r="FK106" s="198"/>
      <c r="FL106" s="198"/>
      <c r="FM106" s="198"/>
      <c r="FN106" s="197"/>
      <c r="FO106" s="198"/>
      <c r="FP106" s="198"/>
      <c r="FQ106" s="198"/>
      <c r="FR106" s="198"/>
      <c r="FS106" s="198"/>
      <c r="FT106" s="199"/>
      <c r="FU106" s="197"/>
      <c r="FV106" s="198"/>
      <c r="FW106" s="198"/>
      <c r="FX106" s="198"/>
      <c r="FY106" s="198"/>
      <c r="FZ106" s="198"/>
      <c r="GA106" s="199"/>
      <c r="GB106" s="197"/>
      <c r="GC106" s="198"/>
      <c r="GD106" s="198"/>
      <c r="GE106" s="198"/>
      <c r="GF106" s="198"/>
      <c r="GG106" s="198"/>
      <c r="GH106" s="199"/>
      <c r="GI106" s="197"/>
      <c r="GJ106" s="198"/>
      <c r="GK106" s="198"/>
      <c r="GL106" s="198"/>
      <c r="GM106" s="198"/>
      <c r="GN106" s="198"/>
      <c r="GO106" s="199"/>
      <c r="GP106" s="197"/>
      <c r="GQ106" s="198"/>
      <c r="GR106" s="198"/>
      <c r="GS106" s="198"/>
      <c r="GT106" s="198"/>
      <c r="GU106" s="198"/>
      <c r="GV106" s="199"/>
      <c r="GW106" s="197"/>
      <c r="GX106" s="198"/>
      <c r="GY106" s="198"/>
      <c r="GZ106" s="198"/>
      <c r="HA106" s="198"/>
      <c r="HB106" s="198"/>
      <c r="HC106" s="199"/>
      <c r="HD106" s="197"/>
      <c r="HE106" s="198"/>
      <c r="HF106" s="198"/>
      <c r="HG106" s="198"/>
      <c r="HH106" s="198"/>
      <c r="HI106" s="198"/>
      <c r="HJ106" s="199"/>
      <c r="HK106" s="197"/>
      <c r="HL106" s="198"/>
      <c r="HM106" s="198"/>
      <c r="HN106" s="198"/>
      <c r="HO106" s="198"/>
      <c r="HP106" s="198"/>
      <c r="HQ106" s="198"/>
      <c r="HR106" s="197"/>
      <c r="HT106" s="198"/>
      <c r="HU106" s="198"/>
      <c r="HV106" s="198"/>
      <c r="HW106" s="198"/>
      <c r="HX106" s="198"/>
    </row>
    <row r="107" spans="1:233">
      <c r="A107" s="185" t="s">
        <v>494</v>
      </c>
      <c r="B107" s="197"/>
      <c r="C107" s="198"/>
      <c r="D107" s="198"/>
      <c r="E107" s="198"/>
      <c r="F107" s="198"/>
      <c r="G107" s="198"/>
      <c r="H107" s="199"/>
      <c r="I107" s="197"/>
      <c r="J107" s="198"/>
      <c r="K107" s="198"/>
      <c r="L107" s="198"/>
      <c r="M107" s="198"/>
      <c r="N107" s="198"/>
      <c r="O107" s="199"/>
      <c r="P107" s="198"/>
      <c r="Q107" s="198"/>
      <c r="R107" s="198"/>
      <c r="S107" s="198"/>
      <c r="T107" s="198"/>
      <c r="U107" s="198"/>
      <c r="V107" s="199"/>
      <c r="W107" s="198">
        <v>1525.8489999999999</v>
      </c>
      <c r="X107" s="198">
        <v>124.343</v>
      </c>
      <c r="Y107" s="198">
        <v>496.61699999999996</v>
      </c>
      <c r="Z107" s="198">
        <v>76.298000000000002</v>
      </c>
      <c r="AA107" s="198">
        <v>461.15300000000002</v>
      </c>
      <c r="AB107" s="198"/>
      <c r="AC107" s="199">
        <f t="shared" si="1"/>
        <v>367.43799999999987</v>
      </c>
      <c r="AD107" s="198">
        <f>[1]datos!$S239</f>
        <v>498.77500000000003</v>
      </c>
      <c r="AE107" s="198">
        <v>40.183</v>
      </c>
      <c r="AF107" s="198">
        <v>119.556</v>
      </c>
      <c r="AG107" s="198">
        <v>135.99299999999999</v>
      </c>
      <c r="AH107" s="198">
        <v>71.816999999999993</v>
      </c>
      <c r="AI107" s="198">
        <f>[1]datos!$U239</f>
        <v>50.905999999999999</v>
      </c>
      <c r="AJ107" s="198">
        <f>AD107-AE107-AF107-AG107-AH107-AI107</f>
        <v>80.32000000000005</v>
      </c>
      <c r="AK107" s="197"/>
      <c r="AL107" s="198"/>
      <c r="AM107" s="198"/>
      <c r="AN107" s="198"/>
      <c r="AO107" s="198"/>
      <c r="AP107" s="198"/>
      <c r="AQ107" s="199"/>
      <c r="AR107" s="198">
        <v>247997.87106935843</v>
      </c>
      <c r="AS107" s="198">
        <v>58090.06174472921</v>
      </c>
      <c r="AT107" s="198">
        <v>31456.104344275089</v>
      </c>
      <c r="AU107" s="198">
        <v>48171.663088054302</v>
      </c>
      <c r="AV107" s="198">
        <v>17001.501454667326</v>
      </c>
      <c r="AW107" s="198"/>
      <c r="AX107" s="198">
        <v>93278.540437632502</v>
      </c>
      <c r="AY107" s="197"/>
      <c r="AZ107" s="198"/>
      <c r="BA107" s="198"/>
      <c r="BB107" s="198"/>
      <c r="BC107" s="198"/>
      <c r="BD107" s="198"/>
      <c r="BE107" s="198"/>
      <c r="BF107" s="197">
        <v>33682937.190000013</v>
      </c>
      <c r="BG107" s="198"/>
      <c r="BH107" s="198">
        <v>17963078.460000005</v>
      </c>
      <c r="BI107" s="198">
        <v>8528109.1400000025</v>
      </c>
      <c r="BJ107" s="198">
        <v>7191749.5900000017</v>
      </c>
      <c r="BK107" s="198">
        <v>0</v>
      </c>
      <c r="BL107" s="198"/>
      <c r="BM107" s="197"/>
      <c r="BN107" s="198"/>
      <c r="BO107" s="198"/>
      <c r="BP107" s="198"/>
      <c r="BQ107" s="198"/>
      <c r="BR107" s="198"/>
      <c r="BS107" s="198"/>
      <c r="BT107" s="197"/>
      <c r="BU107" s="198"/>
      <c r="BV107" s="198"/>
      <c r="BW107" s="198"/>
      <c r="BX107" s="198"/>
      <c r="BY107" s="198"/>
      <c r="BZ107" s="198"/>
      <c r="CA107" s="197"/>
      <c r="CB107" s="198"/>
      <c r="CC107" s="198"/>
      <c r="CD107" s="198"/>
      <c r="CE107" s="198"/>
      <c r="CF107" s="198"/>
      <c r="CG107" s="198"/>
      <c r="CH107" s="197"/>
      <c r="CI107" s="198"/>
      <c r="CJ107" s="198"/>
      <c r="CK107" s="198"/>
      <c r="CL107" s="198"/>
      <c r="CM107" s="198"/>
      <c r="CN107" s="198"/>
      <c r="CO107" s="197"/>
      <c r="CP107" s="198"/>
      <c r="CQ107" s="198"/>
      <c r="CR107" s="198"/>
      <c r="CS107" s="198"/>
      <c r="CT107" s="198"/>
      <c r="CU107" s="198"/>
      <c r="CV107" s="197"/>
      <c r="CW107" s="198"/>
      <c r="CX107" s="198"/>
      <c r="CY107" s="198"/>
      <c r="CZ107" s="198"/>
      <c r="DA107" s="198"/>
      <c r="DB107" s="198"/>
      <c r="DC107" s="197"/>
      <c r="DD107" s="198"/>
      <c r="DE107" s="198"/>
      <c r="DF107" s="198"/>
      <c r="DG107" s="198"/>
      <c r="DH107" s="198"/>
      <c r="DI107" s="198"/>
      <c r="DJ107" s="197"/>
      <c r="DK107" s="198"/>
      <c r="DL107" s="198"/>
      <c r="DM107" s="198"/>
      <c r="DN107" s="198"/>
      <c r="DO107" s="198"/>
      <c r="DP107" s="198"/>
      <c r="DQ107" s="197"/>
      <c r="DR107" s="198"/>
      <c r="DS107" s="198"/>
      <c r="DT107" s="198"/>
      <c r="DU107" s="198"/>
      <c r="DV107" s="198"/>
      <c r="DW107" s="198"/>
      <c r="DX107" s="197"/>
      <c r="DY107" s="198"/>
      <c r="DZ107" s="198"/>
      <c r="EA107" s="198"/>
      <c r="EB107" s="198"/>
      <c r="EC107" s="198"/>
      <c r="ED107" s="198"/>
      <c r="EE107" s="207"/>
      <c r="EL107" s="207"/>
      <c r="ES107" s="207"/>
      <c r="EZ107" s="197"/>
      <c r="FA107" s="198"/>
      <c r="FB107" s="198"/>
      <c r="FC107" s="198"/>
      <c r="FD107" s="198"/>
      <c r="FE107" s="198"/>
      <c r="FF107" s="198"/>
      <c r="FG107" s="197"/>
      <c r="FH107" s="198"/>
      <c r="FI107" s="198"/>
      <c r="FJ107" s="198"/>
      <c r="FK107" s="198"/>
      <c r="FL107" s="198"/>
      <c r="FM107" s="198"/>
      <c r="FN107" s="197">
        <v>22803054</v>
      </c>
      <c r="FO107" s="198">
        <v>6556737</v>
      </c>
      <c r="FP107" s="198">
        <v>4415405</v>
      </c>
      <c r="FQ107" s="198"/>
      <c r="FR107" s="198"/>
      <c r="FS107" s="198"/>
      <c r="FT107" s="199"/>
      <c r="FU107" s="197"/>
      <c r="FV107" s="198"/>
      <c r="FW107" s="198"/>
      <c r="FX107" s="198"/>
      <c r="FY107" s="198"/>
      <c r="FZ107" s="198"/>
      <c r="GA107" s="199"/>
      <c r="GB107" s="197"/>
      <c r="GC107" s="198"/>
      <c r="GD107" s="198"/>
      <c r="GE107" s="198"/>
      <c r="GF107" s="198"/>
      <c r="GG107" s="198"/>
      <c r="GH107" s="199"/>
      <c r="GI107" s="197"/>
      <c r="GJ107" s="198"/>
      <c r="GK107" s="198"/>
      <c r="GL107" s="198"/>
      <c r="GM107" s="198"/>
      <c r="GN107" s="198"/>
      <c r="GO107" s="199"/>
      <c r="GP107" s="197"/>
      <c r="GQ107" s="198"/>
      <c r="GR107" s="198"/>
      <c r="GS107" s="198"/>
      <c r="GT107" s="198"/>
      <c r="GU107" s="198"/>
      <c r="GV107" s="199"/>
      <c r="GW107" s="197"/>
      <c r="GX107" s="198"/>
      <c r="GY107" s="198"/>
      <c r="GZ107" s="198"/>
      <c r="HA107" s="198"/>
      <c r="HB107" s="198"/>
      <c r="HC107" s="199"/>
      <c r="HD107" s="197">
        <f>'[2]t&amp;t'!W239</f>
        <v>8070.5000000000009</v>
      </c>
      <c r="HE107" s="198">
        <f>'[2]t&amp;t'!X239</f>
        <v>1191.3999999999999</v>
      </c>
      <c r="HF107" s="198">
        <f>'[2]t&amp;t'!Y239</f>
        <v>836.1</v>
      </c>
      <c r="HG107" s="198">
        <f>'[2]t&amp;t'!Z239</f>
        <v>946.30000000000007</v>
      </c>
      <c r="HH107" s="198">
        <f>'[2]t&amp;t'!AA239</f>
        <v>2207.6000000000004</v>
      </c>
      <c r="HI107" s="198"/>
      <c r="HJ107" s="199">
        <f>'[2]t&amp;t'!AC239</f>
        <v>2889.1000000000004</v>
      </c>
      <c r="HK107" s="197"/>
      <c r="HL107" s="198"/>
      <c r="HM107" s="198"/>
      <c r="HN107" s="198"/>
      <c r="HO107" s="198"/>
      <c r="HP107" s="198"/>
      <c r="HQ107" s="198"/>
      <c r="HR107" s="197"/>
      <c r="HT107" s="198"/>
      <c r="HU107" s="198"/>
      <c r="HV107" s="198"/>
      <c r="HW107" s="198"/>
      <c r="HX107" s="198"/>
    </row>
    <row r="108" spans="1:233">
      <c r="A108" s="185" t="s">
        <v>495</v>
      </c>
      <c r="B108" s="197"/>
      <c r="C108" s="198"/>
      <c r="D108" s="198"/>
      <c r="E108" s="198"/>
      <c r="F108" s="198"/>
      <c r="G108" s="198"/>
      <c r="H108" s="199"/>
      <c r="I108" s="197"/>
      <c r="J108" s="198"/>
      <c r="K108" s="198"/>
      <c r="L108" s="198"/>
      <c r="M108" s="198"/>
      <c r="N108" s="198"/>
      <c r="O108" s="199"/>
      <c r="P108" s="198"/>
      <c r="Q108" s="198"/>
      <c r="R108" s="198"/>
      <c r="S108" s="198"/>
      <c r="T108" s="198"/>
      <c r="U108" s="198"/>
      <c r="V108" s="199"/>
      <c r="W108" s="198">
        <v>1539.7940000000001</v>
      </c>
      <c r="X108" s="198">
        <v>118.684</v>
      </c>
      <c r="Y108" s="198">
        <v>483.99600000000004</v>
      </c>
      <c r="Z108" s="198">
        <v>74.665999999999997</v>
      </c>
      <c r="AA108" s="198">
        <v>470.08600000000001</v>
      </c>
      <c r="AB108" s="198"/>
      <c r="AC108" s="199">
        <f t="shared" si="1"/>
        <v>392.36200000000008</v>
      </c>
      <c r="AD108" s="198"/>
      <c r="AE108" s="198">
        <v>41.006999999999998</v>
      </c>
      <c r="AF108" s="198">
        <v>121.748</v>
      </c>
      <c r="AG108" s="198">
        <v>134.73699999999999</v>
      </c>
      <c r="AH108" s="198">
        <v>74.954999999999998</v>
      </c>
      <c r="AI108" s="198"/>
      <c r="AJ108" s="198"/>
      <c r="AK108" s="197"/>
      <c r="AL108" s="198"/>
      <c r="AM108" s="198"/>
      <c r="AN108" s="198"/>
      <c r="AO108" s="198"/>
      <c r="AP108" s="198"/>
      <c r="AQ108" s="199"/>
      <c r="AR108" s="198">
        <v>248123.55935654149</v>
      </c>
      <c r="AS108" s="198">
        <v>57607.110289628421</v>
      </c>
      <c r="AT108" s="198">
        <v>31472.620449101196</v>
      </c>
      <c r="AU108" s="198">
        <v>48457.751373282015</v>
      </c>
      <c r="AV108" s="198">
        <v>18063.921111319174</v>
      </c>
      <c r="AW108" s="198"/>
      <c r="AX108" s="198">
        <v>92522.156133210679</v>
      </c>
      <c r="AY108" s="197"/>
      <c r="AZ108" s="198"/>
      <c r="BA108" s="198"/>
      <c r="BB108" s="198"/>
      <c r="BC108" s="198"/>
      <c r="BD108" s="198"/>
      <c r="BE108" s="198"/>
      <c r="BF108" s="197">
        <v>34286672.139999993</v>
      </c>
      <c r="BG108" s="198"/>
      <c r="BH108" s="198">
        <v>18188717.830000002</v>
      </c>
      <c r="BI108" s="198">
        <v>8788177.9899999984</v>
      </c>
      <c r="BJ108" s="198">
        <v>7309776.3200000003</v>
      </c>
      <c r="BK108" s="198">
        <v>0</v>
      </c>
      <c r="BL108" s="198"/>
      <c r="BM108" s="197"/>
      <c r="BN108" s="198"/>
      <c r="BO108" s="198"/>
      <c r="BP108" s="198"/>
      <c r="BQ108" s="198"/>
      <c r="BR108" s="198"/>
      <c r="BS108" s="198"/>
      <c r="BT108" s="197"/>
      <c r="BU108" s="198"/>
      <c r="BV108" s="198"/>
      <c r="BW108" s="198"/>
      <c r="BX108" s="198"/>
      <c r="BY108" s="198"/>
      <c r="BZ108" s="198"/>
      <c r="CA108" s="197"/>
      <c r="CB108" s="198"/>
      <c r="CC108" s="198"/>
      <c r="CD108" s="198"/>
      <c r="CE108" s="198"/>
      <c r="CF108" s="198"/>
      <c r="CG108" s="198"/>
      <c r="CH108" s="197"/>
      <c r="CI108" s="198"/>
      <c r="CJ108" s="198"/>
      <c r="CK108" s="198"/>
      <c r="CL108" s="198"/>
      <c r="CM108" s="198"/>
      <c r="CN108" s="198"/>
      <c r="CO108" s="197"/>
      <c r="CP108" s="198"/>
      <c r="CQ108" s="198"/>
      <c r="CR108" s="198"/>
      <c r="CS108" s="198"/>
      <c r="CT108" s="198"/>
      <c r="CU108" s="198"/>
      <c r="CV108" s="197"/>
      <c r="CW108" s="198"/>
      <c r="CX108" s="198"/>
      <c r="CY108" s="198"/>
      <c r="CZ108" s="198"/>
      <c r="DA108" s="198"/>
      <c r="DB108" s="198"/>
      <c r="DC108" s="197"/>
      <c r="DD108" s="198"/>
      <c r="DE108" s="198"/>
      <c r="DF108" s="198"/>
      <c r="DG108" s="198"/>
      <c r="DH108" s="198"/>
      <c r="DI108" s="198"/>
      <c r="DJ108" s="197"/>
      <c r="DK108" s="198"/>
      <c r="DL108" s="198"/>
      <c r="DM108" s="198"/>
      <c r="DN108" s="198"/>
      <c r="DO108" s="198"/>
      <c r="DP108" s="198"/>
      <c r="DQ108" s="197"/>
      <c r="DR108" s="198"/>
      <c r="DS108" s="198"/>
      <c r="DT108" s="198"/>
      <c r="DU108" s="198"/>
      <c r="DV108" s="198"/>
      <c r="DW108" s="198"/>
      <c r="DX108" s="197"/>
      <c r="DY108" s="198"/>
      <c r="DZ108" s="198"/>
      <c r="EA108" s="198"/>
      <c r="EB108" s="198"/>
      <c r="EC108" s="198"/>
      <c r="ED108" s="198"/>
      <c r="EE108" s="197"/>
      <c r="EF108" s="198"/>
      <c r="EG108" s="198"/>
      <c r="EH108" s="198"/>
      <c r="EI108" s="198"/>
      <c r="EJ108" s="198"/>
      <c r="EK108" s="198"/>
      <c r="EL108" s="197"/>
      <c r="EM108" s="198"/>
      <c r="EN108" s="198"/>
      <c r="EO108" s="198"/>
      <c r="EP108" s="198"/>
      <c r="EQ108" s="198"/>
      <c r="ER108" s="198"/>
      <c r="ES108" s="197"/>
      <c r="ET108" s="198"/>
      <c r="EU108" s="198"/>
      <c r="EV108" s="198"/>
      <c r="EW108" s="198"/>
      <c r="EX108" s="198"/>
      <c r="EY108" s="198"/>
      <c r="EZ108" s="197"/>
      <c r="FA108" s="198"/>
      <c r="FB108" s="198"/>
      <c r="FC108" s="198"/>
      <c r="FD108" s="198"/>
      <c r="FE108" s="198"/>
      <c r="FF108" s="198"/>
      <c r="FG108" s="197"/>
      <c r="FH108" s="198"/>
      <c r="FI108" s="198"/>
      <c r="FJ108" s="198"/>
      <c r="FK108" s="198"/>
      <c r="FL108" s="198"/>
      <c r="FM108" s="198"/>
      <c r="FN108" s="197"/>
      <c r="FO108" s="198"/>
      <c r="FP108" s="198"/>
      <c r="FQ108" s="198"/>
      <c r="FR108" s="198"/>
      <c r="FS108" s="198"/>
      <c r="FT108" s="199"/>
      <c r="FU108" s="197"/>
      <c r="FV108" s="198"/>
      <c r="FW108" s="198"/>
      <c r="FX108" s="198"/>
      <c r="FY108" s="198"/>
      <c r="FZ108" s="198"/>
      <c r="GA108" s="199"/>
      <c r="GB108" s="197"/>
      <c r="GC108" s="198"/>
      <c r="GD108" s="198"/>
      <c r="GE108" s="198"/>
      <c r="GF108" s="198"/>
      <c r="GG108" s="198"/>
      <c r="GH108" s="199"/>
      <c r="GI108" s="197"/>
      <c r="GJ108" s="198"/>
      <c r="GK108" s="198"/>
      <c r="GL108" s="198"/>
      <c r="GM108" s="198"/>
      <c r="GN108" s="198"/>
      <c r="GO108" s="199"/>
      <c r="GP108" s="197"/>
      <c r="GQ108" s="198"/>
      <c r="GR108" s="198"/>
      <c r="GS108" s="198"/>
      <c r="GT108" s="198"/>
      <c r="GU108" s="198"/>
      <c r="GV108" s="199"/>
      <c r="GW108" s="197"/>
      <c r="GX108" s="198"/>
      <c r="GY108" s="198"/>
      <c r="GZ108" s="198"/>
      <c r="HA108" s="198"/>
      <c r="HB108" s="198"/>
      <c r="HC108" s="199"/>
      <c r="HD108" s="197"/>
      <c r="HE108" s="198"/>
      <c r="HF108" s="198"/>
      <c r="HG108" s="198"/>
      <c r="HH108" s="198"/>
      <c r="HI108" s="198"/>
      <c r="HJ108" s="199"/>
      <c r="HK108" s="197"/>
      <c r="HL108" s="198"/>
      <c r="HM108" s="198"/>
      <c r="HN108" s="198"/>
      <c r="HO108" s="198"/>
      <c r="HP108" s="198"/>
      <c r="HQ108" s="198"/>
      <c r="HR108" s="197"/>
      <c r="HT108" s="198"/>
      <c r="HU108" s="198"/>
      <c r="HV108" s="198"/>
      <c r="HW108" s="198"/>
      <c r="HX108" s="198"/>
    </row>
    <row r="109" spans="1:233">
      <c r="A109" s="185" t="s">
        <v>496</v>
      </c>
      <c r="B109" s="197"/>
      <c r="C109" s="198"/>
      <c r="D109" s="198"/>
      <c r="E109" s="198"/>
      <c r="F109" s="198"/>
      <c r="G109" s="198"/>
      <c r="H109" s="199"/>
      <c r="I109" s="197"/>
      <c r="J109" s="198"/>
      <c r="K109" s="198"/>
      <c r="L109" s="198"/>
      <c r="M109" s="198"/>
      <c r="N109" s="198"/>
      <c r="O109" s="199"/>
      <c r="P109" s="198"/>
      <c r="Q109" s="198"/>
      <c r="R109" s="198"/>
      <c r="S109" s="198"/>
      <c r="T109" s="198"/>
      <c r="U109" s="198"/>
      <c r="V109" s="199"/>
      <c r="W109" s="198">
        <v>1561.588</v>
      </c>
      <c r="X109" s="198">
        <v>121.88</v>
      </c>
      <c r="Y109" s="198">
        <v>494.74200000000002</v>
      </c>
      <c r="Z109" s="198">
        <v>78.403000000000006</v>
      </c>
      <c r="AA109" s="198">
        <v>479.77199999999999</v>
      </c>
      <c r="AB109" s="198"/>
      <c r="AC109" s="199">
        <f t="shared" si="1"/>
        <v>386.79100000000011</v>
      </c>
      <c r="AD109" s="198"/>
      <c r="AE109" s="198">
        <v>37.027000000000001</v>
      </c>
      <c r="AF109" s="198">
        <v>121.678</v>
      </c>
      <c r="AG109" s="198">
        <v>136.452</v>
      </c>
      <c r="AH109" s="198">
        <v>77.424000000000007</v>
      </c>
      <c r="AI109" s="198"/>
      <c r="AJ109" s="198"/>
      <c r="AK109" s="197"/>
      <c r="AL109" s="198"/>
      <c r="AM109" s="198"/>
      <c r="AN109" s="198"/>
      <c r="AO109" s="198"/>
      <c r="AP109" s="198"/>
      <c r="AQ109" s="199"/>
      <c r="AR109" s="198">
        <v>247309.49258854333</v>
      </c>
      <c r="AS109" s="198">
        <v>57411.84724253579</v>
      </c>
      <c r="AT109" s="198">
        <v>31250.905706653477</v>
      </c>
      <c r="AU109" s="198">
        <v>48582.771993703427</v>
      </c>
      <c r="AV109" s="198">
        <v>18762.968586911829</v>
      </c>
      <c r="AW109" s="198"/>
      <c r="AX109" s="198">
        <v>91300.999058738802</v>
      </c>
      <c r="AY109" s="197"/>
      <c r="AZ109" s="198"/>
      <c r="BA109" s="198"/>
      <c r="BB109" s="198"/>
      <c r="BC109" s="198"/>
      <c r="BD109" s="198"/>
      <c r="BE109" s="198"/>
      <c r="BF109" s="197">
        <v>34832205.570000008</v>
      </c>
      <c r="BG109" s="198"/>
      <c r="BH109" s="198">
        <v>18407894.710000001</v>
      </c>
      <c r="BI109" s="198">
        <v>9041315.4400000032</v>
      </c>
      <c r="BJ109" s="198">
        <v>7382995.4200000009</v>
      </c>
      <c r="BK109" s="198">
        <v>0</v>
      </c>
      <c r="BL109" s="198"/>
      <c r="BM109" s="197"/>
      <c r="BN109" s="198"/>
      <c r="BO109" s="198"/>
      <c r="BP109" s="198"/>
      <c r="BQ109" s="198"/>
      <c r="BR109" s="198"/>
      <c r="BS109" s="198"/>
      <c r="BT109" s="197"/>
      <c r="BU109" s="198"/>
      <c r="BV109" s="198"/>
      <c r="BW109" s="198"/>
      <c r="BX109" s="198"/>
      <c r="BY109" s="198"/>
      <c r="BZ109" s="198"/>
      <c r="CA109" s="197"/>
      <c r="CB109" s="198"/>
      <c r="CC109" s="198"/>
      <c r="CD109" s="198"/>
      <c r="CE109" s="198"/>
      <c r="CF109" s="198"/>
      <c r="CG109" s="198"/>
      <c r="CH109" s="197"/>
      <c r="CI109" s="198"/>
      <c r="CJ109" s="198"/>
      <c r="CK109" s="198"/>
      <c r="CL109" s="198"/>
      <c r="CM109" s="198"/>
      <c r="CN109" s="198"/>
      <c r="CO109" s="197"/>
      <c r="CP109" s="198"/>
      <c r="CQ109" s="198"/>
      <c r="CR109" s="198"/>
      <c r="CS109" s="198"/>
      <c r="CT109" s="198"/>
      <c r="CU109" s="198"/>
      <c r="CV109" s="197"/>
      <c r="CW109" s="198"/>
      <c r="CX109" s="198"/>
      <c r="CY109" s="198"/>
      <c r="CZ109" s="198"/>
      <c r="DA109" s="198"/>
      <c r="DB109" s="198"/>
      <c r="DC109" s="197"/>
      <c r="DD109" s="198"/>
      <c r="DE109" s="198"/>
      <c r="DF109" s="198"/>
      <c r="DG109" s="198"/>
      <c r="DH109" s="198"/>
      <c r="DI109" s="198"/>
      <c r="DJ109" s="197"/>
      <c r="DK109" s="198"/>
      <c r="DL109" s="198"/>
      <c r="DM109" s="198"/>
      <c r="DN109" s="198"/>
      <c r="DO109" s="198"/>
      <c r="DP109" s="198"/>
      <c r="DQ109" s="197"/>
      <c r="DR109" s="198"/>
      <c r="DS109" s="198"/>
      <c r="DT109" s="198"/>
      <c r="DU109" s="198"/>
      <c r="DV109" s="198"/>
      <c r="DW109" s="198"/>
      <c r="DX109" s="197"/>
      <c r="DY109" s="198"/>
      <c r="DZ109" s="198"/>
      <c r="EA109" s="198"/>
      <c r="EB109" s="198"/>
      <c r="EC109" s="198"/>
      <c r="ED109" s="198"/>
      <c r="EE109" s="197"/>
      <c r="EF109" s="198"/>
      <c r="EG109" s="198"/>
      <c r="EH109" s="198"/>
      <c r="EI109" s="198"/>
      <c r="EJ109" s="198"/>
      <c r="EK109" s="198"/>
      <c r="EL109" s="197"/>
      <c r="EM109" s="198"/>
      <c r="EN109" s="198"/>
      <c r="EO109" s="198"/>
      <c r="EP109" s="198"/>
      <c r="EQ109" s="198"/>
      <c r="ER109" s="198"/>
      <c r="ES109" s="197"/>
      <c r="ET109" s="198"/>
      <c r="EU109" s="198"/>
      <c r="EV109" s="198"/>
      <c r="EW109" s="198"/>
      <c r="EX109" s="198"/>
      <c r="EY109" s="198"/>
      <c r="EZ109" s="197"/>
      <c r="FA109" s="198"/>
      <c r="FB109" s="198"/>
      <c r="FC109" s="198"/>
      <c r="FD109" s="198"/>
      <c r="FE109" s="198"/>
      <c r="FF109" s="198"/>
      <c r="FG109" s="197"/>
      <c r="FH109" s="198"/>
      <c r="FI109" s="198"/>
      <c r="FJ109" s="198"/>
      <c r="FK109" s="198"/>
      <c r="FL109" s="198"/>
      <c r="FM109" s="198"/>
      <c r="FN109" s="197"/>
      <c r="FO109" s="198"/>
      <c r="FP109" s="198"/>
      <c r="FQ109" s="198"/>
      <c r="FR109" s="198"/>
      <c r="FS109" s="198"/>
      <c r="FT109" s="199"/>
      <c r="FU109" s="197"/>
      <c r="FV109" s="198"/>
      <c r="FW109" s="198"/>
      <c r="FX109" s="198"/>
      <c r="FY109" s="198"/>
      <c r="FZ109" s="198"/>
      <c r="GA109" s="199"/>
      <c r="GB109" s="197"/>
      <c r="GC109" s="198"/>
      <c r="GD109" s="198"/>
      <c r="GE109" s="198"/>
      <c r="GF109" s="198"/>
      <c r="GG109" s="198"/>
      <c r="GH109" s="199"/>
      <c r="GI109" s="197"/>
      <c r="GJ109" s="198"/>
      <c r="GK109" s="198"/>
      <c r="GL109" s="198"/>
      <c r="GM109" s="198"/>
      <c r="GN109" s="198"/>
      <c r="GO109" s="199"/>
      <c r="GP109" s="197"/>
      <c r="GQ109" s="198"/>
      <c r="GR109" s="198"/>
      <c r="GS109" s="198"/>
      <c r="GT109" s="198"/>
      <c r="GU109" s="198"/>
      <c r="GV109" s="199"/>
      <c r="GW109" s="197"/>
      <c r="GX109" s="198"/>
      <c r="GY109" s="198"/>
      <c r="GZ109" s="198"/>
      <c r="HA109" s="198"/>
      <c r="HB109" s="198"/>
      <c r="HC109" s="199"/>
      <c r="HD109" s="197"/>
      <c r="HE109" s="198"/>
      <c r="HF109" s="198"/>
      <c r="HG109" s="198"/>
      <c r="HH109" s="198"/>
      <c r="HI109" s="198"/>
      <c r="HJ109" s="199"/>
      <c r="HK109" s="197"/>
      <c r="HL109" s="198"/>
      <c r="HM109" s="198"/>
      <c r="HN109" s="198"/>
      <c r="HO109" s="198"/>
      <c r="HP109" s="198"/>
      <c r="HQ109" s="198"/>
      <c r="HR109" s="197"/>
      <c r="HT109" s="198"/>
      <c r="HU109" s="198"/>
      <c r="HV109" s="198"/>
      <c r="HW109" s="198"/>
      <c r="HX109" s="198"/>
    </row>
    <row r="110" spans="1:233">
      <c r="A110" s="185" t="s">
        <v>497</v>
      </c>
      <c r="B110" s="197"/>
      <c r="C110" s="198"/>
      <c r="D110" s="198"/>
      <c r="E110" s="198"/>
      <c r="F110" s="198"/>
      <c r="G110" s="198"/>
      <c r="H110" s="199"/>
      <c r="I110" s="197"/>
      <c r="J110" s="198"/>
      <c r="K110" s="198"/>
      <c r="L110" s="198"/>
      <c r="M110" s="198"/>
      <c r="N110" s="198"/>
      <c r="O110" s="199"/>
      <c r="P110" s="198"/>
      <c r="Q110" s="198"/>
      <c r="R110" s="198"/>
      <c r="S110" s="198"/>
      <c r="T110" s="198"/>
      <c r="U110" s="198"/>
      <c r="V110" s="199"/>
      <c r="W110" s="198">
        <v>1567.596</v>
      </c>
      <c r="X110" s="198">
        <v>127.949</v>
      </c>
      <c r="Y110" s="198">
        <v>468.75800000000004</v>
      </c>
      <c r="Z110" s="198">
        <v>78.638000000000005</v>
      </c>
      <c r="AA110" s="198">
        <v>489.90899999999999</v>
      </c>
      <c r="AB110" s="198"/>
      <c r="AC110" s="199">
        <f t="shared" si="1"/>
        <v>402.34199999999987</v>
      </c>
      <c r="AD110" s="198">
        <f>[1]datos!$S242</f>
        <v>515.67499999999995</v>
      </c>
      <c r="AE110" s="198">
        <v>39.036000000000001</v>
      </c>
      <c r="AF110" s="198">
        <v>124.414</v>
      </c>
      <c r="AG110" s="198">
        <v>136.42599999999999</v>
      </c>
      <c r="AH110" s="198">
        <v>79.400999999999996</v>
      </c>
      <c r="AI110" s="198">
        <f>[1]datos!$U242</f>
        <v>52.064999999999998</v>
      </c>
      <c r="AJ110" s="198">
        <f>AD110-AE110-AF110-AG110-AH110-AI110</f>
        <v>84.33299999999997</v>
      </c>
      <c r="AK110" s="197"/>
      <c r="AL110" s="198"/>
      <c r="AM110" s="198"/>
      <c r="AN110" s="198"/>
      <c r="AO110" s="198"/>
      <c r="AP110" s="198"/>
      <c r="AQ110" s="199"/>
      <c r="AR110" s="198">
        <v>248882.31298630493</v>
      </c>
      <c r="AS110" s="198">
        <v>57853.547279701488</v>
      </c>
      <c r="AT110" s="198">
        <v>31544.654598124238</v>
      </c>
      <c r="AU110" s="198">
        <v>48110.482056963789</v>
      </c>
      <c r="AV110" s="198">
        <v>20091.329019170422</v>
      </c>
      <c r="AW110" s="198"/>
      <c r="AX110" s="198">
        <v>91282.300032344996</v>
      </c>
      <c r="AY110" s="197"/>
      <c r="AZ110" s="198"/>
      <c r="BA110" s="198"/>
      <c r="BB110" s="198"/>
      <c r="BC110" s="198"/>
      <c r="BD110" s="198"/>
      <c r="BE110" s="198"/>
      <c r="BF110" s="197">
        <v>35439759.049999997</v>
      </c>
      <c r="BG110" s="198"/>
      <c r="BH110" s="198">
        <v>18683684.079999998</v>
      </c>
      <c r="BI110" s="198">
        <v>9286270.2100000009</v>
      </c>
      <c r="BJ110" s="198">
        <v>7469804.7599999998</v>
      </c>
      <c r="BK110" s="198">
        <v>0</v>
      </c>
      <c r="BL110" s="198"/>
      <c r="BM110" s="197"/>
      <c r="BN110" s="198"/>
      <c r="BO110" s="198"/>
      <c r="BP110" s="198"/>
      <c r="BQ110" s="198"/>
      <c r="BR110" s="198"/>
      <c r="BS110" s="198"/>
      <c r="BT110" s="197"/>
      <c r="BU110" s="198"/>
      <c r="BV110" s="198"/>
      <c r="BW110" s="198"/>
      <c r="BX110" s="198"/>
      <c r="BY110" s="198"/>
      <c r="BZ110" s="198"/>
      <c r="CA110" s="197"/>
      <c r="CB110" s="198"/>
      <c r="CC110" s="198"/>
      <c r="CD110" s="198"/>
      <c r="CE110" s="198"/>
      <c r="CF110" s="198"/>
      <c r="CG110" s="198"/>
      <c r="CH110" s="197"/>
      <c r="CI110" s="198"/>
      <c r="CJ110" s="198"/>
      <c r="CK110" s="198"/>
      <c r="CL110" s="198"/>
      <c r="CM110" s="198"/>
      <c r="CN110" s="198"/>
      <c r="CO110" s="197"/>
      <c r="CP110" s="198"/>
      <c r="CQ110" s="198"/>
      <c r="CR110" s="198"/>
      <c r="CS110" s="198"/>
      <c r="CT110" s="198"/>
      <c r="CU110" s="198"/>
      <c r="CV110" s="197"/>
      <c r="CW110" s="198"/>
      <c r="CX110" s="198"/>
      <c r="CY110" s="198"/>
      <c r="CZ110" s="198"/>
      <c r="DA110" s="198"/>
      <c r="DB110" s="198"/>
      <c r="DC110" s="197"/>
      <c r="DD110" s="198"/>
      <c r="DE110" s="198"/>
      <c r="DF110" s="198"/>
      <c r="DG110" s="198"/>
      <c r="DH110" s="198"/>
      <c r="DI110" s="198"/>
      <c r="DJ110" s="197"/>
      <c r="DK110" s="198"/>
      <c r="DL110" s="198"/>
      <c r="DM110" s="198"/>
      <c r="DN110" s="198"/>
      <c r="DO110" s="198"/>
      <c r="DP110" s="198"/>
      <c r="DQ110" s="197"/>
      <c r="DR110" s="198"/>
      <c r="DS110" s="198"/>
      <c r="DT110" s="198"/>
      <c r="DU110" s="198"/>
      <c r="DV110" s="198"/>
      <c r="DW110" s="198"/>
      <c r="DX110" s="197"/>
      <c r="DY110" s="198"/>
      <c r="DZ110" s="198"/>
      <c r="EA110" s="198"/>
      <c r="EB110" s="198"/>
      <c r="EC110" s="198"/>
      <c r="ED110" s="198"/>
      <c r="EE110" s="197"/>
      <c r="EF110" s="198"/>
      <c r="EG110" s="198"/>
      <c r="EH110" s="198"/>
      <c r="EI110" s="198"/>
      <c r="EJ110" s="198"/>
      <c r="EK110" s="198"/>
      <c r="EL110" s="197"/>
      <c r="EM110" s="198"/>
      <c r="EN110" s="198"/>
      <c r="EO110" s="198"/>
      <c r="EP110" s="198"/>
      <c r="EQ110" s="198"/>
      <c r="ER110" s="198"/>
      <c r="ES110" s="197"/>
      <c r="ET110" s="198"/>
      <c r="EU110" s="198"/>
      <c r="EV110" s="198"/>
      <c r="EW110" s="198"/>
      <c r="EX110" s="198"/>
      <c r="EY110" s="198"/>
      <c r="EZ110" s="197"/>
      <c r="FA110" s="198"/>
      <c r="FB110" s="198"/>
      <c r="FC110" s="198"/>
      <c r="FD110" s="198"/>
      <c r="FE110" s="198"/>
      <c r="FF110" s="198"/>
      <c r="FG110" s="197"/>
      <c r="FH110" s="198"/>
      <c r="FI110" s="198"/>
      <c r="FJ110" s="198"/>
      <c r="FK110" s="198"/>
      <c r="FL110" s="198"/>
      <c r="FM110" s="198"/>
      <c r="FN110" s="197">
        <v>24456105</v>
      </c>
      <c r="FO110" s="198">
        <v>6472866</v>
      </c>
      <c r="FP110" s="198">
        <v>4850293</v>
      </c>
      <c r="FQ110" s="198"/>
      <c r="FR110" s="198"/>
      <c r="FS110" s="198"/>
      <c r="FT110" s="199"/>
      <c r="FU110" s="197"/>
      <c r="FV110" s="198"/>
      <c r="FW110" s="198"/>
      <c r="FX110" s="198"/>
      <c r="FY110" s="198"/>
      <c r="FZ110" s="198"/>
      <c r="GA110" s="199"/>
      <c r="GB110" s="197"/>
      <c r="GC110" s="198"/>
      <c r="GD110" s="198"/>
      <c r="GE110" s="198"/>
      <c r="GF110" s="198"/>
      <c r="GG110" s="198"/>
      <c r="GH110" s="199"/>
      <c r="GI110" s="197"/>
      <c r="GJ110" s="198"/>
      <c r="GK110" s="198"/>
      <c r="GL110" s="198"/>
      <c r="GM110" s="198"/>
      <c r="GN110" s="198"/>
      <c r="GO110" s="199"/>
      <c r="GP110" s="197"/>
      <c r="GQ110" s="198"/>
      <c r="GR110" s="198"/>
      <c r="GS110" s="198"/>
      <c r="GT110" s="198"/>
      <c r="GU110" s="198"/>
      <c r="GV110" s="199"/>
      <c r="GW110" s="197"/>
      <c r="GX110" s="198"/>
      <c r="GY110" s="198"/>
      <c r="GZ110" s="198"/>
      <c r="HA110" s="198"/>
      <c r="HB110" s="198"/>
      <c r="HC110" s="199"/>
      <c r="HD110" s="197">
        <f>'[2]t&amp;t'!W242</f>
        <v>8165.8</v>
      </c>
      <c r="HE110" s="198">
        <f>'[2]t&amp;t'!X242</f>
        <v>1256.8</v>
      </c>
      <c r="HF110" s="198">
        <f>'[2]t&amp;t'!Y242</f>
        <v>926.9</v>
      </c>
      <c r="HG110" s="198">
        <f>'[2]t&amp;t'!Z242</f>
        <v>913.4</v>
      </c>
      <c r="HH110" s="198">
        <f>'[2]t&amp;t'!AA242</f>
        <v>2246.1</v>
      </c>
      <c r="HI110" s="198"/>
      <c r="HJ110" s="199">
        <f>'[2]t&amp;t'!AC242</f>
        <v>2822.6</v>
      </c>
      <c r="HK110" s="197"/>
      <c r="HL110" s="198"/>
      <c r="HM110" s="198"/>
      <c r="HN110" s="198"/>
      <c r="HO110" s="198"/>
      <c r="HP110" s="198"/>
      <c r="HQ110" s="198"/>
      <c r="HR110" s="197"/>
      <c r="HT110" s="198"/>
      <c r="HU110" s="198"/>
      <c r="HV110" s="198"/>
      <c r="HW110" s="198"/>
      <c r="HX110" s="198"/>
    </row>
    <row r="111" spans="1:233">
      <c r="A111" s="185" t="s">
        <v>498</v>
      </c>
      <c r="B111" s="197"/>
      <c r="C111" s="198"/>
      <c r="D111" s="198"/>
      <c r="E111" s="198"/>
      <c r="F111" s="198"/>
      <c r="G111" s="198"/>
      <c r="H111" s="199"/>
      <c r="I111" s="197"/>
      <c r="J111" s="198"/>
      <c r="K111" s="198"/>
      <c r="L111" s="198"/>
      <c r="M111" s="198"/>
      <c r="N111" s="198"/>
      <c r="O111" s="199"/>
      <c r="P111" s="198"/>
      <c r="Q111" s="198"/>
      <c r="R111" s="198"/>
      <c r="S111" s="198"/>
      <c r="T111" s="198"/>
      <c r="U111" s="198"/>
      <c r="V111" s="199"/>
      <c r="W111" s="198">
        <v>1598.837</v>
      </c>
      <c r="X111" s="198">
        <v>131.87899999999999</v>
      </c>
      <c r="Y111" s="198">
        <v>474.90699999999998</v>
      </c>
      <c r="Z111" s="198">
        <v>75.581000000000003</v>
      </c>
      <c r="AA111" s="198">
        <v>501.44799999999998</v>
      </c>
      <c r="AB111" s="198"/>
      <c r="AC111" s="199">
        <f t="shared" si="1"/>
        <v>415.02200000000016</v>
      </c>
      <c r="AD111" s="198"/>
      <c r="AE111" s="198">
        <v>39.676000000000002</v>
      </c>
      <c r="AF111" s="198">
        <v>129.03399999999999</v>
      </c>
      <c r="AG111" s="198">
        <v>137.79400000000001</v>
      </c>
      <c r="AH111" s="198">
        <v>84.600999999999999</v>
      </c>
      <c r="AI111" s="198"/>
      <c r="AJ111" s="198"/>
      <c r="AK111" s="197"/>
      <c r="AL111" s="198"/>
      <c r="AM111" s="198"/>
      <c r="AN111" s="198"/>
      <c r="AO111" s="198"/>
      <c r="AP111" s="198"/>
      <c r="AQ111" s="199"/>
      <c r="AR111" s="198">
        <v>252646.32328969563</v>
      </c>
      <c r="AS111" s="198">
        <v>58150.223994821252</v>
      </c>
      <c r="AT111" s="198">
        <v>31808.736053748988</v>
      </c>
      <c r="AU111" s="198">
        <v>48404.541090082712</v>
      </c>
      <c r="AV111" s="198">
        <v>20837.008747371139</v>
      </c>
      <c r="AW111" s="198"/>
      <c r="AX111" s="198">
        <v>93445.813403671549</v>
      </c>
      <c r="AY111" s="197"/>
      <c r="AZ111" s="198"/>
      <c r="BA111" s="198"/>
      <c r="BB111" s="198"/>
      <c r="BC111" s="198"/>
      <c r="BD111" s="198"/>
      <c r="BE111" s="198"/>
      <c r="BF111" s="197">
        <v>35748114.54999999</v>
      </c>
      <c r="BG111" s="198"/>
      <c r="BH111" s="198">
        <v>18810359.93</v>
      </c>
      <c r="BI111" s="198">
        <v>9476093.7899999954</v>
      </c>
      <c r="BJ111" s="198">
        <v>7461660.8299999991</v>
      </c>
      <c r="BK111" s="198">
        <v>0</v>
      </c>
      <c r="BL111" s="198"/>
      <c r="BM111" s="197"/>
      <c r="BN111" s="198"/>
      <c r="BO111" s="198"/>
      <c r="BP111" s="198"/>
      <c r="BQ111" s="198"/>
      <c r="BR111" s="198"/>
      <c r="BS111" s="198"/>
      <c r="BT111" s="197"/>
      <c r="BU111" s="198"/>
      <c r="BV111" s="198"/>
      <c r="BW111" s="198"/>
      <c r="BX111" s="198"/>
      <c r="BY111" s="198"/>
      <c r="BZ111" s="198"/>
      <c r="CA111" s="197"/>
      <c r="CB111" s="198"/>
      <c r="CC111" s="198"/>
      <c r="CD111" s="198"/>
      <c r="CE111" s="198"/>
      <c r="CF111" s="198"/>
      <c r="CG111" s="198"/>
      <c r="CH111" s="197"/>
      <c r="CI111" s="198"/>
      <c r="CJ111" s="198"/>
      <c r="CK111" s="198"/>
      <c r="CL111" s="198"/>
      <c r="CM111" s="198"/>
      <c r="CN111" s="198"/>
      <c r="CO111" s="197"/>
      <c r="CP111" s="198"/>
      <c r="CQ111" s="198"/>
      <c r="CR111" s="198"/>
      <c r="CS111" s="198"/>
      <c r="CT111" s="198"/>
      <c r="CU111" s="198"/>
      <c r="CV111" s="197"/>
      <c r="CW111" s="198"/>
      <c r="CX111" s="198"/>
      <c r="CY111" s="198"/>
      <c r="CZ111" s="198"/>
      <c r="DA111" s="198"/>
      <c r="DB111" s="198"/>
      <c r="DC111" s="197"/>
      <c r="DD111" s="198"/>
      <c r="DE111" s="198"/>
      <c r="DF111" s="198"/>
      <c r="DG111" s="198"/>
      <c r="DH111" s="198"/>
      <c r="DI111" s="198"/>
      <c r="DJ111" s="197"/>
      <c r="DK111" s="198"/>
      <c r="DL111" s="198"/>
      <c r="DM111" s="198"/>
      <c r="DN111" s="198"/>
      <c r="DO111" s="198"/>
      <c r="DP111" s="198"/>
      <c r="DQ111" s="197"/>
      <c r="DR111" s="198"/>
      <c r="DS111" s="198"/>
      <c r="DT111" s="198"/>
      <c r="DU111" s="198"/>
      <c r="DV111" s="198"/>
      <c r="DW111" s="198"/>
      <c r="DX111" s="197"/>
      <c r="DY111" s="198"/>
      <c r="DZ111" s="198"/>
      <c r="EA111" s="198"/>
      <c r="EB111" s="198"/>
      <c r="EC111" s="198"/>
      <c r="ED111" s="198"/>
      <c r="EE111" s="197"/>
      <c r="EF111" s="198"/>
      <c r="EG111" s="198"/>
      <c r="EH111" s="198"/>
      <c r="EI111" s="198"/>
      <c r="EJ111" s="198"/>
      <c r="EK111" s="198"/>
      <c r="EL111" s="197"/>
      <c r="EM111" s="198"/>
      <c r="EN111" s="198"/>
      <c r="EO111" s="198"/>
      <c r="EP111" s="198"/>
      <c r="EQ111" s="198"/>
      <c r="ER111" s="198"/>
      <c r="ES111" s="197"/>
      <c r="ET111" s="198"/>
      <c r="EU111" s="198"/>
      <c r="EV111" s="198"/>
      <c r="EW111" s="198"/>
      <c r="EX111" s="198"/>
      <c r="EY111" s="198"/>
      <c r="EZ111" s="197"/>
      <c r="FA111" s="198"/>
      <c r="FB111" s="198"/>
      <c r="FC111" s="198"/>
      <c r="FD111" s="198"/>
      <c r="FE111" s="198"/>
      <c r="FF111" s="198"/>
      <c r="FG111" s="197"/>
      <c r="FH111" s="198"/>
      <c r="FI111" s="198"/>
      <c r="FJ111" s="198"/>
      <c r="FK111" s="198"/>
      <c r="FL111" s="198"/>
      <c r="FM111" s="198"/>
      <c r="FN111" s="197"/>
      <c r="FO111" s="198"/>
      <c r="FP111" s="198"/>
      <c r="FQ111" s="198"/>
      <c r="FR111" s="198"/>
      <c r="FS111" s="198"/>
      <c r="FT111" s="199"/>
      <c r="FU111" s="197"/>
      <c r="FV111" s="198"/>
      <c r="FW111" s="198"/>
      <c r="FX111" s="198"/>
      <c r="FY111" s="198"/>
      <c r="FZ111" s="198"/>
      <c r="GA111" s="199"/>
      <c r="GB111" s="197"/>
      <c r="GC111" s="198"/>
      <c r="GD111" s="198"/>
      <c r="GE111" s="198"/>
      <c r="GF111" s="198"/>
      <c r="GG111" s="198"/>
      <c r="GH111" s="199"/>
      <c r="GI111" s="197"/>
      <c r="GJ111" s="198"/>
      <c r="GK111" s="198"/>
      <c r="GL111" s="198"/>
      <c r="GM111" s="198"/>
      <c r="GN111" s="198"/>
      <c r="GO111" s="199"/>
      <c r="GP111" s="197"/>
      <c r="GQ111" s="198"/>
      <c r="GR111" s="198"/>
      <c r="GS111" s="198"/>
      <c r="GT111" s="198"/>
      <c r="GU111" s="198"/>
      <c r="GV111" s="199"/>
      <c r="GW111" s="197"/>
      <c r="GX111" s="198"/>
      <c r="GY111" s="198"/>
      <c r="GZ111" s="198"/>
      <c r="HA111" s="198"/>
      <c r="HB111" s="198"/>
      <c r="HC111" s="199"/>
      <c r="HD111" s="197"/>
      <c r="HE111" s="198"/>
      <c r="HF111" s="198"/>
      <c r="HG111" s="198"/>
      <c r="HH111" s="198"/>
      <c r="HI111" s="198"/>
      <c r="HJ111" s="199"/>
      <c r="HK111" s="197"/>
      <c r="HL111" s="198"/>
      <c r="HM111" s="198"/>
      <c r="HN111" s="198"/>
      <c r="HO111" s="198"/>
      <c r="HP111" s="198"/>
      <c r="HQ111" s="198"/>
      <c r="HR111" s="197"/>
      <c r="HT111" s="198"/>
      <c r="HU111" s="198"/>
      <c r="HV111" s="198"/>
      <c r="HW111" s="198"/>
      <c r="HX111" s="198"/>
    </row>
    <row r="112" spans="1:233">
      <c r="A112" s="185" t="s">
        <v>499</v>
      </c>
      <c r="B112" s="197"/>
      <c r="C112" s="198"/>
      <c r="D112" s="198"/>
      <c r="E112" s="198"/>
      <c r="F112" s="198"/>
      <c r="G112" s="198"/>
      <c r="H112" s="199"/>
      <c r="I112" s="197"/>
      <c r="J112" s="198"/>
      <c r="K112" s="198"/>
      <c r="L112" s="198"/>
      <c r="M112" s="198"/>
      <c r="N112" s="198"/>
      <c r="O112" s="199"/>
      <c r="P112" s="198"/>
      <c r="Q112" s="198"/>
      <c r="R112" s="198"/>
      <c r="S112" s="198"/>
      <c r="T112" s="198"/>
      <c r="U112" s="198"/>
      <c r="V112" s="199"/>
      <c r="W112" s="198">
        <v>1606.115</v>
      </c>
      <c r="X112" s="198">
        <v>126.533</v>
      </c>
      <c r="Y112" s="198">
        <v>472.60500000000002</v>
      </c>
      <c r="Z112" s="198">
        <v>80.013000000000005</v>
      </c>
      <c r="AA112" s="198">
        <v>512.75699999999995</v>
      </c>
      <c r="AB112" s="198"/>
      <c r="AC112" s="199">
        <f t="shared" si="1"/>
        <v>414.20700000000011</v>
      </c>
      <c r="AD112" s="198"/>
      <c r="AE112" s="198">
        <v>40.718000000000004</v>
      </c>
      <c r="AF112" s="198">
        <v>130.38800000000001</v>
      </c>
      <c r="AG112" s="198">
        <v>140.80799999999999</v>
      </c>
      <c r="AH112" s="198">
        <v>85.367000000000004</v>
      </c>
      <c r="AI112" s="198"/>
      <c r="AJ112" s="198"/>
      <c r="AK112" s="197"/>
      <c r="AL112" s="198"/>
      <c r="AM112" s="198"/>
      <c r="AN112" s="198"/>
      <c r="AO112" s="198"/>
      <c r="AP112" s="198"/>
      <c r="AQ112" s="199"/>
      <c r="AR112" s="198">
        <v>251759.55704109199</v>
      </c>
      <c r="AS112" s="198">
        <v>58639.398006808195</v>
      </c>
      <c r="AT112" s="198">
        <v>28636.834169130147</v>
      </c>
      <c r="AU112" s="198">
        <v>48305.080139286765</v>
      </c>
      <c r="AV112" s="198">
        <v>22287.992456729069</v>
      </c>
      <c r="AW112" s="198"/>
      <c r="AX112" s="198">
        <v>93890.252269137811</v>
      </c>
      <c r="AY112" s="197"/>
      <c r="AZ112" s="198"/>
      <c r="BA112" s="198"/>
      <c r="BB112" s="198"/>
      <c r="BC112" s="198"/>
      <c r="BD112" s="198"/>
      <c r="BE112" s="198"/>
      <c r="BF112" s="197">
        <v>36602415.530000001</v>
      </c>
      <c r="BG112" s="198"/>
      <c r="BH112" s="198">
        <v>19485429.620000001</v>
      </c>
      <c r="BI112" s="198">
        <v>9731055.2799999975</v>
      </c>
      <c r="BJ112" s="198">
        <v>7385930.6299999999</v>
      </c>
      <c r="BK112" s="198">
        <v>0</v>
      </c>
      <c r="BL112" s="198"/>
      <c r="BM112" s="197"/>
      <c r="BN112" s="198"/>
      <c r="BO112" s="198"/>
      <c r="BP112" s="198"/>
      <c r="BQ112" s="198"/>
      <c r="BR112" s="198"/>
      <c r="BS112" s="198"/>
      <c r="BT112" s="197"/>
      <c r="BU112" s="198"/>
      <c r="BV112" s="198"/>
      <c r="BW112" s="198"/>
      <c r="BX112" s="198"/>
      <c r="BY112" s="198"/>
      <c r="BZ112" s="198"/>
      <c r="CA112" s="197"/>
      <c r="CB112" s="198"/>
      <c r="CC112" s="198"/>
      <c r="CD112" s="198"/>
      <c r="CE112" s="198"/>
      <c r="CF112" s="198"/>
      <c r="CG112" s="198"/>
      <c r="CH112" s="197"/>
      <c r="CI112" s="198"/>
      <c r="CJ112" s="198"/>
      <c r="CK112" s="198"/>
      <c r="CL112" s="198"/>
      <c r="CM112" s="198"/>
      <c r="CN112" s="198"/>
      <c r="CO112" s="197"/>
      <c r="CP112" s="198"/>
      <c r="CQ112" s="198"/>
      <c r="CR112" s="198"/>
      <c r="CS112" s="198"/>
      <c r="CT112" s="198"/>
      <c r="CU112" s="198"/>
      <c r="CV112" s="197"/>
      <c r="CW112" s="198"/>
      <c r="CX112" s="198"/>
      <c r="CY112" s="198"/>
      <c r="CZ112" s="198"/>
      <c r="DA112" s="198"/>
      <c r="DB112" s="198"/>
      <c r="DC112" s="197"/>
      <c r="DD112" s="198"/>
      <c r="DE112" s="198"/>
      <c r="DF112" s="198"/>
      <c r="DG112" s="198"/>
      <c r="DH112" s="198"/>
      <c r="DI112" s="198"/>
      <c r="DJ112" s="197"/>
      <c r="DK112" s="198"/>
      <c r="DL112" s="198"/>
      <c r="DM112" s="198"/>
      <c r="DN112" s="198"/>
      <c r="DO112" s="198"/>
      <c r="DP112" s="198"/>
      <c r="DQ112" s="197"/>
      <c r="DR112" s="198"/>
      <c r="DS112" s="198"/>
      <c r="DT112" s="198"/>
      <c r="DU112" s="198"/>
      <c r="DV112" s="198"/>
      <c r="DW112" s="198"/>
      <c r="DX112" s="197"/>
      <c r="DY112" s="198"/>
      <c r="DZ112" s="198"/>
      <c r="EA112" s="198"/>
      <c r="EB112" s="198"/>
      <c r="EC112" s="198"/>
      <c r="ED112" s="198"/>
      <c r="EE112" s="197"/>
      <c r="EF112" s="198"/>
      <c r="EG112" s="198"/>
      <c r="EH112" s="198"/>
      <c r="EI112" s="198"/>
      <c r="EJ112" s="198"/>
      <c r="EK112" s="199"/>
      <c r="EL112" s="197"/>
      <c r="EM112" s="198"/>
      <c r="EN112" s="198"/>
      <c r="EO112" s="198"/>
      <c r="EP112" s="198"/>
      <c r="EQ112" s="198"/>
      <c r="ER112" s="199"/>
      <c r="ES112" s="197"/>
      <c r="ET112" s="198"/>
      <c r="EU112" s="198"/>
      <c r="EV112" s="198"/>
      <c r="EW112" s="198"/>
      <c r="EX112" s="198"/>
      <c r="EY112" s="199"/>
      <c r="EZ112" s="197"/>
      <c r="FA112" s="198"/>
      <c r="FB112" s="198"/>
      <c r="FC112" s="198"/>
      <c r="FD112" s="198"/>
      <c r="FE112" s="198"/>
      <c r="FF112" s="198"/>
      <c r="FG112" s="197"/>
      <c r="FH112" s="198"/>
      <c r="FI112" s="198"/>
      <c r="FJ112" s="198"/>
      <c r="FK112" s="198"/>
      <c r="FL112" s="198"/>
      <c r="FM112" s="198"/>
      <c r="FN112" s="197"/>
      <c r="FO112" s="198"/>
      <c r="FP112" s="198"/>
      <c r="FQ112" s="198"/>
      <c r="FR112" s="198"/>
      <c r="FS112" s="198"/>
      <c r="FT112" s="199"/>
      <c r="FU112" s="197"/>
      <c r="FV112" s="198"/>
      <c r="FW112" s="198"/>
      <c r="FX112" s="198"/>
      <c r="FY112" s="198"/>
      <c r="FZ112" s="198"/>
      <c r="GA112" s="199"/>
      <c r="GB112" s="197"/>
      <c r="GC112" s="198"/>
      <c r="GD112" s="198"/>
      <c r="GE112" s="198"/>
      <c r="GF112" s="198"/>
      <c r="GG112" s="198"/>
      <c r="GH112" s="199"/>
      <c r="GI112" s="197"/>
      <c r="GJ112" s="198"/>
      <c r="GK112" s="198"/>
      <c r="GL112" s="198"/>
      <c r="GM112" s="198"/>
      <c r="GN112" s="198"/>
      <c r="GO112" s="199"/>
      <c r="GP112" s="197"/>
      <c r="GQ112" s="198"/>
      <c r="GR112" s="198"/>
      <c r="GS112" s="198"/>
      <c r="GT112" s="198"/>
      <c r="GU112" s="198"/>
      <c r="GV112" s="199"/>
      <c r="GW112" s="197"/>
      <c r="GX112" s="198"/>
      <c r="GY112" s="198"/>
      <c r="GZ112" s="198"/>
      <c r="HA112" s="198"/>
      <c r="HB112" s="198"/>
      <c r="HC112" s="199"/>
      <c r="HD112" s="197"/>
      <c r="HE112" s="198"/>
      <c r="HF112" s="198"/>
      <c r="HG112" s="198"/>
      <c r="HH112" s="198"/>
      <c r="HI112" s="198"/>
      <c r="HJ112" s="199"/>
      <c r="HK112" s="197"/>
      <c r="HL112" s="198"/>
      <c r="HM112" s="198"/>
      <c r="HN112" s="198"/>
      <c r="HO112" s="198"/>
      <c r="HP112" s="198"/>
      <c r="HQ112" s="198"/>
      <c r="HR112" s="197"/>
      <c r="HT112" s="198"/>
      <c r="HU112" s="198"/>
      <c r="HV112" s="198"/>
      <c r="HW112" s="198"/>
      <c r="HX112" s="198"/>
    </row>
    <row r="113" spans="1:233">
      <c r="A113" s="202" t="s">
        <v>500</v>
      </c>
      <c r="B113" s="203">
        <v>1040.74</v>
      </c>
      <c r="C113" s="204">
        <v>32.171999999999997</v>
      </c>
      <c r="D113" s="204">
        <f>150.102+103.802+20.079</f>
        <v>273.983</v>
      </c>
      <c r="E113" s="204">
        <v>223.08</v>
      </c>
      <c r="F113" s="204">
        <f>448.768-E113</f>
        <v>225.68799999999996</v>
      </c>
      <c r="G113" s="204"/>
      <c r="H113" s="205">
        <f>B113-C113-D113-E113-F113</f>
        <v>285.81700000000001</v>
      </c>
      <c r="I113" s="203"/>
      <c r="J113" s="204"/>
      <c r="K113" s="204"/>
      <c r="L113" s="204"/>
      <c r="M113" s="204"/>
      <c r="N113" s="204"/>
      <c r="O113" s="205"/>
      <c r="P113" s="204">
        <v>2433.1669999999999</v>
      </c>
      <c r="Q113" s="204">
        <v>59.93</v>
      </c>
      <c r="R113" s="204">
        <v>333.52100000000002</v>
      </c>
      <c r="S113" s="204">
        <v>127.934</v>
      </c>
      <c r="T113" s="204">
        <v>1474.9480000000001</v>
      </c>
      <c r="U113" s="204"/>
      <c r="V113" s="205">
        <f>P113-Q113-R113-S113-T113</f>
        <v>436.83400000000006</v>
      </c>
      <c r="W113" s="204">
        <v>1614.5719999999999</v>
      </c>
      <c r="X113" s="204">
        <v>130.60599999999999</v>
      </c>
      <c r="Y113" s="204">
        <v>451.28000000000003</v>
      </c>
      <c r="Z113" s="204">
        <v>80.501999999999995</v>
      </c>
      <c r="AA113" s="204">
        <v>526.76499999999999</v>
      </c>
      <c r="AB113" s="204"/>
      <c r="AC113" s="205">
        <f t="shared" si="1"/>
        <v>425.41899999999998</v>
      </c>
      <c r="AD113" s="204">
        <f>[1]datos!$S245</f>
        <v>534.68299999999999</v>
      </c>
      <c r="AE113" s="204">
        <v>38.484999999999999</v>
      </c>
      <c r="AF113" s="204">
        <v>124.092</v>
      </c>
      <c r="AG113" s="204">
        <v>139.916</v>
      </c>
      <c r="AH113" s="204">
        <v>89.978999999999999</v>
      </c>
      <c r="AI113" s="204">
        <f>[1]datos!$U245</f>
        <v>53.795999999999999</v>
      </c>
      <c r="AJ113" s="204">
        <f>AD113-AE113-AF113-AG113-AH113-AI113</f>
        <v>88.41500000000002</v>
      </c>
      <c r="AK113" s="203"/>
      <c r="AL113" s="204"/>
      <c r="AM113" s="204"/>
      <c r="AN113" s="204"/>
      <c r="AO113" s="204"/>
      <c r="AP113" s="204"/>
      <c r="AQ113" s="205"/>
      <c r="AR113" s="204">
        <v>252507.16085509333</v>
      </c>
      <c r="AS113" s="204">
        <v>59986.516595910231</v>
      </c>
      <c r="AT113" s="204">
        <v>28227.694013417386</v>
      </c>
      <c r="AU113" s="204">
        <v>47823.925795426694</v>
      </c>
      <c r="AV113" s="204">
        <v>23474.502667784094</v>
      </c>
      <c r="AW113" s="204"/>
      <c r="AX113" s="204">
        <v>92994.521782554919</v>
      </c>
      <c r="AY113" s="203"/>
      <c r="AZ113" s="204"/>
      <c r="BA113" s="204"/>
      <c r="BB113" s="204"/>
      <c r="BC113" s="204"/>
      <c r="BD113" s="204"/>
      <c r="BE113" s="204"/>
      <c r="BF113" s="203">
        <v>37670739.439999998</v>
      </c>
      <c r="BG113" s="204"/>
      <c r="BH113" s="204">
        <v>20911691.399999999</v>
      </c>
      <c r="BI113" s="204">
        <v>9977095.4099999983</v>
      </c>
      <c r="BJ113" s="204">
        <v>6781952.6300000008</v>
      </c>
      <c r="BK113" s="204">
        <v>0</v>
      </c>
      <c r="BL113" s="204"/>
      <c r="BM113" s="203"/>
      <c r="BN113" s="204"/>
      <c r="BO113" s="204"/>
      <c r="BP113" s="204"/>
      <c r="BQ113" s="204"/>
      <c r="BR113" s="204"/>
      <c r="BS113" s="204"/>
      <c r="BT113" s="203"/>
      <c r="BU113" s="204"/>
      <c r="BV113" s="204"/>
      <c r="BW113" s="204"/>
      <c r="BX113" s="204"/>
      <c r="BY113" s="204"/>
      <c r="BZ113" s="204"/>
      <c r="CA113" s="203">
        <v>450.00599999999997</v>
      </c>
      <c r="CB113" s="204">
        <v>38.61</v>
      </c>
      <c r="CC113" s="204">
        <f>80.904+15.158+2.647</f>
        <v>98.709000000000003</v>
      </c>
      <c r="CD113" s="204">
        <v>105.291</v>
      </c>
      <c r="CE113" s="204">
        <f>160.599-CD113</f>
        <v>55.307999999999993</v>
      </c>
      <c r="CF113" s="204"/>
      <c r="CG113" s="204">
        <f>CA113-CB113-CC113-CD113-CE113</f>
        <v>152.08799999999997</v>
      </c>
      <c r="CH113" s="203"/>
      <c r="CI113" s="204"/>
      <c r="CJ113" s="204"/>
      <c r="CK113" s="204"/>
      <c r="CL113" s="204"/>
      <c r="CM113" s="204"/>
      <c r="CN113" s="204"/>
      <c r="CO113" s="203"/>
      <c r="CP113" s="204"/>
      <c r="CQ113" s="204"/>
      <c r="CR113" s="204"/>
      <c r="CS113" s="204"/>
      <c r="CT113" s="204"/>
      <c r="CU113" s="204"/>
      <c r="CV113" s="203">
        <v>564.88599999999997</v>
      </c>
      <c r="CW113" s="204">
        <v>30.687000000000001</v>
      </c>
      <c r="CX113" s="204">
        <f>91.988+62.154+5.305</f>
        <v>159.447</v>
      </c>
      <c r="CY113" s="204">
        <v>154.452</v>
      </c>
      <c r="CZ113" s="204">
        <f>235.858-CY113</f>
        <v>81.406000000000006</v>
      </c>
      <c r="DA113" s="204"/>
      <c r="DB113" s="204">
        <f>CV113-CW113-CX113-CY113-CZ113</f>
        <v>138.89399999999995</v>
      </c>
      <c r="DC113" s="203"/>
      <c r="DD113" s="204"/>
      <c r="DE113" s="204"/>
      <c r="DF113" s="204"/>
      <c r="DG113" s="204"/>
      <c r="DH113" s="204"/>
      <c r="DI113" s="204"/>
      <c r="DJ113" s="203">
        <f>317.6+36013.7</f>
        <v>36331.299999999996</v>
      </c>
      <c r="DK113" s="204">
        <f>22.9+8313.8</f>
        <v>8336.6999999999989</v>
      </c>
      <c r="DL113" s="204">
        <f>7025.9+683.8</f>
        <v>7709.7</v>
      </c>
      <c r="DM113" s="204">
        <v>2125.1999999999998</v>
      </c>
      <c r="DN113" s="204">
        <f>6109.4-DM113</f>
        <v>3984.2</v>
      </c>
      <c r="DO113" s="204"/>
      <c r="DP113" s="204">
        <f>DJ113-DK113-DL113-DM113</f>
        <v>18159.699999999997</v>
      </c>
      <c r="DQ113" s="203"/>
      <c r="DR113" s="204"/>
      <c r="DS113" s="204"/>
      <c r="DT113" s="204"/>
      <c r="DU113" s="204"/>
      <c r="DV113" s="204"/>
      <c r="DW113" s="204"/>
      <c r="DX113" s="203"/>
      <c r="DY113" s="204"/>
      <c r="DZ113" s="204"/>
      <c r="EA113" s="204"/>
      <c r="EB113" s="204"/>
      <c r="EC113" s="204"/>
      <c r="ED113" s="204"/>
      <c r="EE113" s="203">
        <v>54563.142</v>
      </c>
      <c r="EF113" s="204">
        <v>7310.51</v>
      </c>
      <c r="EG113" s="204">
        <v>8975.5280000000002</v>
      </c>
      <c r="EH113" s="204">
        <v>4692.0169999999998</v>
      </c>
      <c r="EI113" s="204">
        <v>11290.319</v>
      </c>
      <c r="EJ113" s="204"/>
      <c r="EK113" s="205">
        <f>EE113-EF113-EG113-EH113-EI113</f>
        <v>22294.768</v>
      </c>
      <c r="EL113" s="203"/>
      <c r="EM113" s="204"/>
      <c r="EN113" s="204"/>
      <c r="EO113" s="204"/>
      <c r="EP113" s="204"/>
      <c r="EQ113" s="204"/>
      <c r="ER113" s="205"/>
      <c r="ES113" s="203">
        <v>5206.0799857700013</v>
      </c>
      <c r="ET113" s="204">
        <v>1158.0799333</v>
      </c>
      <c r="EU113" s="204">
        <v>1015.19924116</v>
      </c>
      <c r="EV113" s="204">
        <v>5.4888648900000003</v>
      </c>
      <c r="EW113" s="204">
        <v>631.94446026000003</v>
      </c>
      <c r="EX113" s="204"/>
      <c r="EY113" s="205">
        <f>ES113-ET113-EU113-EV113-EW113</f>
        <v>2395.3674861600011</v>
      </c>
      <c r="EZ113" s="203"/>
      <c r="FA113" s="204"/>
      <c r="FB113" s="204"/>
      <c r="FC113" s="204"/>
      <c r="FD113" s="204"/>
      <c r="FE113" s="204"/>
      <c r="FF113" s="204"/>
      <c r="FG113" s="203"/>
      <c r="FH113" s="204"/>
      <c r="FI113" s="204"/>
      <c r="FJ113" s="204"/>
      <c r="FK113" s="204"/>
      <c r="FL113" s="204"/>
      <c r="FM113" s="204"/>
      <c r="FN113" s="203">
        <v>27151196</v>
      </c>
      <c r="FO113" s="204">
        <v>7096946</v>
      </c>
      <c r="FP113" s="204">
        <v>4988708</v>
      </c>
      <c r="FQ113" s="204"/>
      <c r="FR113" s="204"/>
      <c r="FS113" s="204"/>
      <c r="FT113" s="205"/>
      <c r="FU113" s="203"/>
      <c r="FV113" s="204"/>
      <c r="FW113" s="204"/>
      <c r="FX113" s="204"/>
      <c r="FY113" s="204"/>
      <c r="FZ113" s="204"/>
      <c r="GA113" s="205"/>
      <c r="GB113" s="203">
        <v>703.81</v>
      </c>
      <c r="GC113" s="204">
        <v>22.491</v>
      </c>
      <c r="GD113" s="204">
        <f>73.071+33.68+15.223</f>
        <v>121.974</v>
      </c>
      <c r="GE113" s="204">
        <v>161.316</v>
      </c>
      <c r="GF113" s="204">
        <f>248.093-GE113</f>
        <v>86.776999999999987</v>
      </c>
      <c r="GG113" s="204"/>
      <c r="GH113" s="205">
        <f>GB113-GC113-GD113-GE113-GF113</f>
        <v>311.2519999999999</v>
      </c>
      <c r="GI113" s="203">
        <v>494.46800000000002</v>
      </c>
      <c r="GJ113" s="204">
        <v>33.365000000000002</v>
      </c>
      <c r="GK113" s="204">
        <f>59.263+27.32+4.94</f>
        <v>91.522999999999996</v>
      </c>
      <c r="GL113" s="204">
        <v>139.042</v>
      </c>
      <c r="GM113" s="204">
        <f>222.706-GL113</f>
        <v>83.663999999999987</v>
      </c>
      <c r="GN113" s="204"/>
      <c r="GO113" s="205">
        <f>GI113-GJ113-GK113-GL113-GM113</f>
        <v>146.87400000000005</v>
      </c>
      <c r="GP113" s="203">
        <v>1195.6089999999999</v>
      </c>
      <c r="GQ113" s="204">
        <v>39.073999999999998</v>
      </c>
      <c r="GR113" s="204">
        <f>178.814+145.596+11.543</f>
        <v>335.95299999999997</v>
      </c>
      <c r="GS113" s="204">
        <v>315.73500000000001</v>
      </c>
      <c r="GT113" s="204">
        <f>532.363-GS113</f>
        <v>216.62800000000004</v>
      </c>
      <c r="GU113" s="204"/>
      <c r="GV113" s="205">
        <f>GP113-GQ113-GR113-GS113-GT113</f>
        <v>288.21899999999982</v>
      </c>
      <c r="GW113" s="203"/>
      <c r="GX113" s="204"/>
      <c r="GY113" s="204"/>
      <c r="GZ113" s="204"/>
      <c r="HA113" s="204"/>
      <c r="HB113" s="204"/>
      <c r="HC113" s="205"/>
      <c r="HD113" s="203">
        <f>'[2]t&amp;t'!W245</f>
        <v>8156.4</v>
      </c>
      <c r="HE113" s="204">
        <f>'[2]t&amp;t'!X245</f>
        <v>1179.2</v>
      </c>
      <c r="HF113" s="204">
        <f>'[2]t&amp;t'!Y245</f>
        <v>943.9</v>
      </c>
      <c r="HG113" s="204">
        <f>'[2]t&amp;t'!Z245</f>
        <v>881.30000000000007</v>
      </c>
      <c r="HH113" s="204">
        <f>'[2]t&amp;t'!AA245</f>
        <v>2387.1999999999998</v>
      </c>
      <c r="HI113" s="204"/>
      <c r="HJ113" s="205">
        <f>'[2]t&amp;t'!AC245</f>
        <v>2764.7999999999993</v>
      </c>
      <c r="HK113" s="203"/>
      <c r="HL113" s="204"/>
      <c r="HM113" s="204"/>
      <c r="HN113" s="204"/>
      <c r="HO113" s="204"/>
      <c r="HP113" s="204"/>
      <c r="HQ113" s="204"/>
      <c r="HR113" s="197"/>
      <c r="HS113" s="206"/>
      <c r="HT113" s="204"/>
      <c r="HU113" s="204"/>
      <c r="HV113" s="204"/>
      <c r="HW113" s="204"/>
      <c r="HX113" s="204"/>
      <c r="HY113" s="198"/>
    </row>
    <row r="114" spans="1:233">
      <c r="A114" s="185" t="s">
        <v>664</v>
      </c>
      <c r="B114" s="197"/>
      <c r="C114" s="198"/>
      <c r="D114" s="198"/>
      <c r="E114" s="198"/>
      <c r="F114" s="198"/>
      <c r="G114" s="198"/>
      <c r="H114" s="199"/>
      <c r="I114" s="197"/>
      <c r="J114" s="198"/>
      <c r="K114" s="198"/>
      <c r="L114" s="198"/>
      <c r="M114" s="198"/>
      <c r="N114" s="198"/>
      <c r="O114" s="199"/>
      <c r="P114" s="198"/>
      <c r="Q114" s="198"/>
      <c r="R114" s="198"/>
      <c r="S114" s="198"/>
      <c r="T114" s="198"/>
      <c r="U114" s="198"/>
      <c r="V114" s="199"/>
      <c r="W114" s="198">
        <v>1624.433</v>
      </c>
      <c r="X114" s="198">
        <v>125.794</v>
      </c>
      <c r="Y114" s="198">
        <v>467.404</v>
      </c>
      <c r="Z114" s="198">
        <v>81.515000000000001</v>
      </c>
      <c r="AA114" s="198">
        <v>534.15800000000002</v>
      </c>
      <c r="AB114" s="198"/>
      <c r="AC114" s="199">
        <f t="shared" si="1"/>
        <v>415.5619999999999</v>
      </c>
      <c r="AD114" s="198"/>
      <c r="AE114" s="198">
        <v>39.292999999999999</v>
      </c>
      <c r="AF114" s="198">
        <v>129.643</v>
      </c>
      <c r="AG114" s="198">
        <v>140.565</v>
      </c>
      <c r="AH114" s="198">
        <v>90.974000000000004</v>
      </c>
      <c r="AI114" s="198"/>
      <c r="AJ114" s="198"/>
      <c r="AK114" s="197"/>
      <c r="AL114" s="198"/>
      <c r="AM114" s="198"/>
      <c r="AN114" s="198"/>
      <c r="AO114" s="198"/>
      <c r="AP114" s="198"/>
      <c r="AQ114" s="199"/>
      <c r="AR114" s="198">
        <v>254729.42537443314</v>
      </c>
      <c r="AS114" s="198">
        <v>59605.580545548997</v>
      </c>
      <c r="AT114" s="198">
        <v>27409.452997697495</v>
      </c>
      <c r="AU114" s="198">
        <v>48021.909424756057</v>
      </c>
      <c r="AV114" s="198">
        <v>24930.740310174915</v>
      </c>
      <c r="AW114" s="198"/>
      <c r="AX114" s="198">
        <v>94761.742096255679</v>
      </c>
      <c r="AY114" s="197"/>
      <c r="AZ114" s="198"/>
      <c r="BA114" s="198"/>
      <c r="BB114" s="198"/>
      <c r="BC114" s="198"/>
      <c r="BD114" s="198"/>
      <c r="BE114" s="198"/>
      <c r="BF114" s="197">
        <v>38268746.760000005</v>
      </c>
      <c r="BG114" s="198"/>
      <c r="BH114" s="198">
        <v>21077016.079999998</v>
      </c>
      <c r="BI114" s="198">
        <v>10203728.880000003</v>
      </c>
      <c r="BJ114" s="198">
        <v>6988001.8000000007</v>
      </c>
      <c r="BK114" s="198">
        <v>0</v>
      </c>
      <c r="BL114" s="198"/>
      <c r="BM114" s="197"/>
      <c r="BN114" s="198"/>
      <c r="BO114" s="198"/>
      <c r="BP114" s="198"/>
      <c r="BQ114" s="198"/>
      <c r="BR114" s="198"/>
      <c r="BS114" s="198"/>
      <c r="BT114" s="197"/>
      <c r="BU114" s="198"/>
      <c r="BV114" s="198"/>
      <c r="BW114" s="198"/>
      <c r="BX114" s="198"/>
      <c r="BY114" s="198"/>
      <c r="BZ114" s="198"/>
      <c r="CA114" s="197"/>
      <c r="CB114" s="198"/>
      <c r="CC114" s="198"/>
      <c r="CD114" s="198"/>
      <c r="CE114" s="198"/>
      <c r="CF114" s="198"/>
      <c r="CG114" s="198"/>
      <c r="CH114" s="197"/>
      <c r="CI114" s="198"/>
      <c r="CJ114" s="198"/>
      <c r="CK114" s="198"/>
      <c r="CL114" s="198"/>
      <c r="CM114" s="198"/>
      <c r="CN114" s="198"/>
      <c r="CO114" s="197"/>
      <c r="CP114" s="198"/>
      <c r="CQ114" s="198"/>
      <c r="CR114" s="198"/>
      <c r="CS114" s="198"/>
      <c r="CT114" s="198"/>
      <c r="CU114" s="198"/>
      <c r="CV114" s="197"/>
      <c r="CW114" s="198"/>
      <c r="CX114" s="198"/>
      <c r="CY114" s="198"/>
      <c r="CZ114" s="198"/>
      <c r="DA114" s="198"/>
      <c r="DB114" s="198"/>
      <c r="DC114" s="197"/>
      <c r="DD114" s="198"/>
      <c r="DE114" s="198"/>
      <c r="DF114" s="198"/>
      <c r="DG114" s="198"/>
      <c r="DH114" s="198"/>
      <c r="DI114" s="198"/>
      <c r="DJ114" s="197"/>
      <c r="DK114" s="198"/>
      <c r="DL114" s="198"/>
      <c r="DM114" s="198"/>
      <c r="DN114" s="198"/>
      <c r="DO114" s="198"/>
      <c r="DP114" s="198"/>
      <c r="DQ114" s="197"/>
      <c r="DR114" s="198"/>
      <c r="DS114" s="198"/>
      <c r="DT114" s="198"/>
      <c r="DU114" s="198"/>
      <c r="DV114" s="198"/>
      <c r="DW114" s="198"/>
      <c r="DX114" s="208"/>
      <c r="DY114" s="198"/>
      <c r="DZ114" s="198"/>
      <c r="EA114" s="198"/>
      <c r="EB114" s="198"/>
      <c r="EC114" s="198"/>
      <c r="ED114" s="198"/>
      <c r="EE114" s="207"/>
      <c r="EL114" s="207"/>
      <c r="ES114" s="207"/>
      <c r="EZ114" s="197"/>
      <c r="FA114" s="198"/>
      <c r="FB114" s="198"/>
      <c r="FC114" s="198"/>
      <c r="FD114" s="198"/>
      <c r="FE114" s="198"/>
      <c r="FF114" s="198"/>
      <c r="FG114" s="197"/>
      <c r="FH114" s="198"/>
      <c r="FI114" s="198"/>
      <c r="FJ114" s="198"/>
      <c r="FK114" s="198"/>
      <c r="FL114" s="198"/>
      <c r="FM114" s="198"/>
      <c r="FN114" s="197"/>
      <c r="FO114" s="198"/>
      <c r="FP114" s="198"/>
      <c r="FQ114" s="198"/>
      <c r="FR114" s="198"/>
      <c r="FS114" s="198"/>
      <c r="FT114" s="199"/>
      <c r="FU114" s="197"/>
      <c r="FV114" s="198"/>
      <c r="FW114" s="198"/>
      <c r="FX114" s="198"/>
      <c r="FY114" s="198"/>
      <c r="FZ114" s="198"/>
      <c r="GA114" s="199"/>
      <c r="GB114" s="197"/>
      <c r="GC114" s="198"/>
      <c r="GD114" s="198"/>
      <c r="GE114" s="198"/>
      <c r="GF114" s="198"/>
      <c r="GG114" s="198"/>
      <c r="GH114" s="199"/>
      <c r="GI114" s="197"/>
      <c r="GJ114" s="198"/>
      <c r="GK114" s="198"/>
      <c r="GL114" s="198"/>
      <c r="GM114" s="198"/>
      <c r="GN114" s="198"/>
      <c r="GO114" s="199"/>
      <c r="GP114" s="197"/>
      <c r="GQ114" s="198"/>
      <c r="GR114" s="198"/>
      <c r="GS114" s="198"/>
      <c r="GT114" s="198"/>
      <c r="GU114" s="198"/>
      <c r="GV114" s="199"/>
      <c r="GW114" s="197"/>
      <c r="GX114" s="198"/>
      <c r="GY114" s="198"/>
      <c r="GZ114" s="198"/>
      <c r="HA114" s="198"/>
      <c r="HB114" s="198"/>
      <c r="HC114" s="199"/>
      <c r="HD114" s="197"/>
      <c r="HE114" s="198"/>
      <c r="HF114" s="198"/>
      <c r="HG114" s="198"/>
      <c r="HH114" s="198"/>
      <c r="HI114" s="198"/>
      <c r="HJ114" s="199"/>
      <c r="HK114" s="197"/>
      <c r="HL114" s="198"/>
      <c r="HM114" s="198"/>
      <c r="HN114" s="198"/>
      <c r="HO114" s="198"/>
      <c r="HP114" s="198"/>
      <c r="HQ114" s="198"/>
      <c r="HR114" s="197"/>
      <c r="HT114" s="201"/>
      <c r="HU114" s="201"/>
      <c r="HV114" s="201"/>
      <c r="HW114" s="201"/>
      <c r="HX114" s="198"/>
    </row>
    <row r="115" spans="1:233">
      <c r="A115" s="185" t="s">
        <v>490</v>
      </c>
      <c r="B115" s="197"/>
      <c r="C115" s="198"/>
      <c r="D115" s="198"/>
      <c r="E115" s="198"/>
      <c r="F115" s="198"/>
      <c r="G115" s="198"/>
      <c r="H115" s="199"/>
      <c r="I115" s="197"/>
      <c r="J115" s="198"/>
      <c r="K115" s="198"/>
      <c r="L115" s="198"/>
      <c r="M115" s="198"/>
      <c r="N115" s="198"/>
      <c r="O115" s="199"/>
      <c r="P115" s="198"/>
      <c r="Q115" s="198"/>
      <c r="R115" s="198"/>
      <c r="S115" s="198"/>
      <c r="T115" s="198"/>
      <c r="U115" s="198"/>
      <c r="V115" s="199"/>
      <c r="W115" s="198">
        <v>1610.155</v>
      </c>
      <c r="X115" s="198">
        <v>123.803</v>
      </c>
      <c r="Y115" s="198">
        <v>459.68700000000001</v>
      </c>
      <c r="Z115" s="198">
        <v>79.308999999999997</v>
      </c>
      <c r="AA115" s="198">
        <v>538.40499999999997</v>
      </c>
      <c r="AB115" s="198"/>
      <c r="AC115" s="199">
        <f t="shared" si="1"/>
        <v>408.95100000000002</v>
      </c>
      <c r="AD115" s="198"/>
      <c r="AE115" s="198">
        <v>40.456000000000003</v>
      </c>
      <c r="AF115" s="198">
        <v>130.24299999999999</v>
      </c>
      <c r="AG115" s="198">
        <v>137.19900000000001</v>
      </c>
      <c r="AH115" s="198">
        <v>88.849000000000004</v>
      </c>
      <c r="AI115" s="198"/>
      <c r="AJ115" s="198"/>
      <c r="AK115" s="197"/>
      <c r="AL115" s="198"/>
      <c r="AM115" s="198"/>
      <c r="AN115" s="198"/>
      <c r="AO115" s="198"/>
      <c r="AP115" s="198"/>
      <c r="AQ115" s="199"/>
      <c r="AR115" s="198">
        <v>257379.63159595028</v>
      </c>
      <c r="AS115" s="198">
        <v>60155.28662675037</v>
      </c>
      <c r="AT115" s="198">
        <v>27634.887935338913</v>
      </c>
      <c r="AU115" s="198">
        <v>48056.000050223367</v>
      </c>
      <c r="AV115" s="198">
        <v>26087.06124437098</v>
      </c>
      <c r="AW115" s="198"/>
      <c r="AX115" s="198">
        <v>95446.395739266634</v>
      </c>
      <c r="AY115" s="197"/>
      <c r="AZ115" s="198"/>
      <c r="BA115" s="198"/>
      <c r="BB115" s="198"/>
      <c r="BC115" s="198"/>
      <c r="BD115" s="198"/>
      <c r="BE115" s="198"/>
      <c r="BF115" s="197">
        <v>38966341.390000001</v>
      </c>
      <c r="BG115" s="198"/>
      <c r="BH115" s="198">
        <v>21383785.020000003</v>
      </c>
      <c r="BI115" s="198">
        <v>10417988.48</v>
      </c>
      <c r="BJ115" s="198">
        <v>7164567.8899999997</v>
      </c>
      <c r="BK115" s="198">
        <v>0</v>
      </c>
      <c r="BL115" s="198"/>
      <c r="BM115" s="197"/>
      <c r="BN115" s="198"/>
      <c r="BO115" s="198"/>
      <c r="BP115" s="198"/>
      <c r="BQ115" s="198"/>
      <c r="BR115" s="198"/>
      <c r="BS115" s="198"/>
      <c r="BT115" s="197"/>
      <c r="BU115" s="198"/>
      <c r="BV115" s="198"/>
      <c r="BW115" s="198"/>
      <c r="BX115" s="198"/>
      <c r="BY115" s="198"/>
      <c r="BZ115" s="198"/>
      <c r="CA115" s="197"/>
      <c r="CB115" s="198"/>
      <c r="CC115" s="198"/>
      <c r="CD115" s="198"/>
      <c r="CE115" s="198"/>
      <c r="CF115" s="198"/>
      <c r="CG115" s="198"/>
      <c r="CH115" s="197"/>
      <c r="CI115" s="198"/>
      <c r="CJ115" s="198"/>
      <c r="CK115" s="198"/>
      <c r="CL115" s="198"/>
      <c r="CM115" s="198"/>
      <c r="CN115" s="198"/>
      <c r="CO115" s="197"/>
      <c r="CP115" s="198"/>
      <c r="CQ115" s="198"/>
      <c r="CR115" s="198"/>
      <c r="CS115" s="198"/>
      <c r="CT115" s="198"/>
      <c r="CU115" s="198"/>
      <c r="CV115" s="197"/>
      <c r="CW115" s="198"/>
      <c r="CX115" s="198"/>
      <c r="CY115" s="198"/>
      <c r="CZ115" s="198"/>
      <c r="DA115" s="198"/>
      <c r="DB115" s="198"/>
      <c r="DC115" s="197"/>
      <c r="DD115" s="198"/>
      <c r="DE115" s="198"/>
      <c r="DF115" s="198"/>
      <c r="DG115" s="198"/>
      <c r="DH115" s="198"/>
      <c r="DI115" s="198"/>
      <c r="DJ115" s="197"/>
      <c r="DK115" s="198"/>
      <c r="DL115" s="198"/>
      <c r="DM115" s="198"/>
      <c r="DN115" s="198"/>
      <c r="DO115" s="198"/>
      <c r="DP115" s="198"/>
      <c r="DQ115" s="197"/>
      <c r="DR115" s="198"/>
      <c r="DS115" s="198"/>
      <c r="DT115" s="198"/>
      <c r="DU115" s="198"/>
      <c r="DV115" s="198"/>
      <c r="DW115" s="198"/>
      <c r="DX115" s="197"/>
      <c r="DY115" s="198"/>
      <c r="DZ115" s="198"/>
      <c r="EA115" s="198"/>
      <c r="EB115" s="198"/>
      <c r="EC115" s="198"/>
      <c r="ED115" s="198"/>
      <c r="EE115" s="207"/>
      <c r="EL115" s="207"/>
      <c r="ES115" s="207"/>
      <c r="EZ115" s="197"/>
      <c r="FA115" s="198"/>
      <c r="FB115" s="198"/>
      <c r="FC115" s="198"/>
      <c r="FD115" s="198"/>
      <c r="FE115" s="198"/>
      <c r="FF115" s="198"/>
      <c r="FG115" s="197"/>
      <c r="FH115" s="198"/>
      <c r="FI115" s="198"/>
      <c r="FJ115" s="198"/>
      <c r="FK115" s="198"/>
      <c r="FL115" s="198"/>
      <c r="FM115" s="198"/>
      <c r="FN115" s="197"/>
      <c r="FO115" s="198"/>
      <c r="FP115" s="198"/>
      <c r="FQ115" s="198"/>
      <c r="FR115" s="198"/>
      <c r="FS115" s="198"/>
      <c r="FT115" s="199"/>
      <c r="FU115" s="197"/>
      <c r="FV115" s="198"/>
      <c r="FW115" s="198"/>
      <c r="FX115" s="198"/>
      <c r="FY115" s="198"/>
      <c r="FZ115" s="198"/>
      <c r="GA115" s="199"/>
      <c r="GB115" s="197"/>
      <c r="GC115" s="198"/>
      <c r="GD115" s="198"/>
      <c r="GE115" s="198"/>
      <c r="GF115" s="198"/>
      <c r="GG115" s="198"/>
      <c r="GH115" s="199"/>
      <c r="GI115" s="197"/>
      <c r="GJ115" s="198"/>
      <c r="GK115" s="198"/>
      <c r="GL115" s="198"/>
      <c r="GM115" s="198"/>
      <c r="GN115" s="198"/>
      <c r="GO115" s="199"/>
      <c r="GP115" s="197"/>
      <c r="GQ115" s="198"/>
      <c r="GR115" s="198"/>
      <c r="GS115" s="198"/>
      <c r="GT115" s="198"/>
      <c r="GU115" s="198"/>
      <c r="GV115" s="199"/>
      <c r="GW115" s="197"/>
      <c r="GX115" s="198"/>
      <c r="GY115" s="198"/>
      <c r="GZ115" s="198"/>
      <c r="HA115" s="198"/>
      <c r="HB115" s="198"/>
      <c r="HC115" s="199"/>
      <c r="HD115" s="197"/>
      <c r="HE115" s="198"/>
      <c r="HF115" s="198"/>
      <c r="HG115" s="198"/>
      <c r="HH115" s="198"/>
      <c r="HI115" s="198"/>
      <c r="HJ115" s="199"/>
      <c r="HK115" s="197"/>
      <c r="HL115" s="198"/>
      <c r="HM115" s="198"/>
      <c r="HN115" s="198"/>
      <c r="HO115" s="198"/>
      <c r="HP115" s="198"/>
      <c r="HQ115" s="198"/>
      <c r="HR115" s="197"/>
      <c r="HT115" s="198"/>
      <c r="HU115" s="198"/>
      <c r="HV115" s="198"/>
      <c r="HW115" s="198"/>
      <c r="HX115" s="198"/>
    </row>
    <row r="116" spans="1:233">
      <c r="A116" s="185" t="s">
        <v>491</v>
      </c>
      <c r="B116" s="197"/>
      <c r="C116" s="198"/>
      <c r="D116" s="198"/>
      <c r="E116" s="198"/>
      <c r="F116" s="198"/>
      <c r="G116" s="198"/>
      <c r="H116" s="199"/>
      <c r="I116" s="197"/>
      <c r="J116" s="198"/>
      <c r="K116" s="198"/>
      <c r="L116" s="198"/>
      <c r="M116" s="198"/>
      <c r="N116" s="198"/>
      <c r="O116" s="199"/>
      <c r="P116" s="198"/>
      <c r="Q116" s="198"/>
      <c r="R116" s="198"/>
      <c r="S116" s="198"/>
      <c r="T116" s="198"/>
      <c r="U116" s="198"/>
      <c r="V116" s="199"/>
      <c r="W116" s="198">
        <v>1644.2860000000001</v>
      </c>
      <c r="X116" s="198">
        <v>124.086</v>
      </c>
      <c r="Y116" s="198">
        <v>471.66400000000004</v>
      </c>
      <c r="Z116" s="198">
        <v>78.106999999999999</v>
      </c>
      <c r="AA116" s="198">
        <v>547.971</v>
      </c>
      <c r="AB116" s="198"/>
      <c r="AC116" s="199">
        <f t="shared" si="1"/>
        <v>422.45800000000008</v>
      </c>
      <c r="AD116" s="198">
        <f>[1]datos!$S248</f>
        <v>558.33299999999997</v>
      </c>
      <c r="AE116" s="198">
        <v>42.765999999999998</v>
      </c>
      <c r="AF116" s="198">
        <v>133.422</v>
      </c>
      <c r="AG116" s="198">
        <v>137.47899999999998</v>
      </c>
      <c r="AH116" s="198">
        <v>88.197000000000003</v>
      </c>
      <c r="AI116" s="198">
        <f>[1]datos!$U248</f>
        <v>54.057000000000002</v>
      </c>
      <c r="AJ116" s="198">
        <f>AD116-AE116-AF116-AG116-AH116-AI116</f>
        <v>102.41199999999999</v>
      </c>
      <c r="AK116" s="197"/>
      <c r="AL116" s="198"/>
      <c r="AM116" s="198"/>
      <c r="AN116" s="198"/>
      <c r="AO116" s="198"/>
      <c r="AP116" s="198"/>
      <c r="AQ116" s="199"/>
      <c r="AR116" s="198">
        <v>259970.64076959263</v>
      </c>
      <c r="AS116" s="198">
        <v>60494.463094822524</v>
      </c>
      <c r="AT116" s="198">
        <v>27838.505795865509</v>
      </c>
      <c r="AU116" s="198">
        <v>48269.041546490727</v>
      </c>
      <c r="AV116" s="198">
        <v>26975.985323464432</v>
      </c>
      <c r="AW116" s="198"/>
      <c r="AX116" s="198">
        <v>96392.645008949476</v>
      </c>
      <c r="AY116" s="197"/>
      <c r="AZ116" s="198"/>
      <c r="BA116" s="198"/>
      <c r="BB116" s="198"/>
      <c r="BC116" s="198"/>
      <c r="BD116" s="198"/>
      <c r="BE116" s="198"/>
      <c r="BF116" s="197">
        <v>39526619.109999999</v>
      </c>
      <c r="BG116" s="198"/>
      <c r="BH116" s="198">
        <v>21589134.139999997</v>
      </c>
      <c r="BI116" s="198">
        <v>10652629.490000002</v>
      </c>
      <c r="BJ116" s="198">
        <v>7284855.4800000004</v>
      </c>
      <c r="BK116" s="198">
        <v>0</v>
      </c>
      <c r="BL116" s="198"/>
      <c r="BM116" s="197"/>
      <c r="BN116" s="198"/>
      <c r="BO116" s="198"/>
      <c r="BP116" s="198"/>
      <c r="BQ116" s="198"/>
      <c r="BR116" s="198"/>
      <c r="BS116" s="198"/>
      <c r="BT116" s="197"/>
      <c r="BU116" s="198"/>
      <c r="BV116" s="198"/>
      <c r="BW116" s="198"/>
      <c r="BX116" s="198"/>
      <c r="BY116" s="198"/>
      <c r="BZ116" s="198"/>
      <c r="CA116" s="197"/>
      <c r="CB116" s="198"/>
      <c r="CC116" s="198"/>
      <c r="CD116" s="198"/>
      <c r="CE116" s="198"/>
      <c r="CF116" s="198"/>
      <c r="CG116" s="198"/>
      <c r="CH116" s="197"/>
      <c r="CI116" s="198"/>
      <c r="CJ116" s="198"/>
      <c r="CK116" s="198"/>
      <c r="CL116" s="198"/>
      <c r="CM116" s="198"/>
      <c r="CN116" s="198"/>
      <c r="CO116" s="197"/>
      <c r="CP116" s="198"/>
      <c r="CQ116" s="198"/>
      <c r="CR116" s="198"/>
      <c r="CS116" s="198"/>
      <c r="CT116" s="198"/>
      <c r="CU116" s="198"/>
      <c r="CV116" s="197"/>
      <c r="CW116" s="198"/>
      <c r="CX116" s="198"/>
      <c r="CY116" s="198"/>
      <c r="CZ116" s="198"/>
      <c r="DA116" s="198"/>
      <c r="DB116" s="198"/>
      <c r="DC116" s="197"/>
      <c r="DD116" s="198"/>
      <c r="DE116" s="198"/>
      <c r="DF116" s="198"/>
      <c r="DG116" s="198"/>
      <c r="DH116" s="198"/>
      <c r="DI116" s="198"/>
      <c r="DJ116" s="197"/>
      <c r="DK116" s="198"/>
      <c r="DL116" s="198"/>
      <c r="DM116" s="198"/>
      <c r="DN116" s="198"/>
      <c r="DO116" s="198"/>
      <c r="DP116" s="198"/>
      <c r="DQ116" s="197"/>
      <c r="DR116" s="198"/>
      <c r="DS116" s="198"/>
      <c r="DT116" s="198"/>
      <c r="DU116" s="198"/>
      <c r="DV116" s="198"/>
      <c r="DW116" s="198"/>
      <c r="DX116" s="197"/>
      <c r="DY116" s="198"/>
      <c r="DZ116" s="198"/>
      <c r="EA116" s="198"/>
      <c r="EB116" s="198"/>
      <c r="EC116" s="198"/>
      <c r="ED116" s="198"/>
      <c r="EE116" s="207"/>
      <c r="EL116" s="207"/>
      <c r="ES116" s="207"/>
      <c r="EZ116" s="197"/>
      <c r="FA116" s="198"/>
      <c r="FB116" s="198"/>
      <c r="FC116" s="198"/>
      <c r="FD116" s="198"/>
      <c r="FE116" s="198"/>
      <c r="FF116" s="198"/>
      <c r="FG116" s="197"/>
      <c r="FH116" s="198"/>
      <c r="FI116" s="198"/>
      <c r="FJ116" s="198"/>
      <c r="FK116" s="198"/>
      <c r="FL116" s="198"/>
      <c r="FM116" s="198"/>
      <c r="FN116" s="197">
        <v>29289563</v>
      </c>
      <c r="FO116" s="198">
        <v>7387809</v>
      </c>
      <c r="FP116" s="198">
        <v>5283299</v>
      </c>
      <c r="FQ116" s="198"/>
      <c r="FR116" s="198"/>
      <c r="FS116" s="198"/>
      <c r="FT116" s="199"/>
      <c r="FU116" s="197"/>
      <c r="FV116" s="198"/>
      <c r="FW116" s="198"/>
      <c r="FX116" s="198"/>
      <c r="FY116" s="198"/>
      <c r="FZ116" s="198"/>
      <c r="GA116" s="199"/>
      <c r="GB116" s="197"/>
      <c r="GC116" s="198"/>
      <c r="GD116" s="198"/>
      <c r="GE116" s="198"/>
      <c r="GF116" s="198"/>
      <c r="GG116" s="198"/>
      <c r="GH116" s="199"/>
      <c r="GI116" s="197"/>
      <c r="GJ116" s="198"/>
      <c r="GK116" s="198"/>
      <c r="GL116" s="198"/>
      <c r="GM116" s="198"/>
      <c r="GN116" s="198"/>
      <c r="GO116" s="199"/>
      <c r="GP116" s="197"/>
      <c r="GQ116" s="198"/>
      <c r="GR116" s="198"/>
      <c r="GS116" s="198"/>
      <c r="GT116" s="198"/>
      <c r="GU116" s="198"/>
      <c r="GV116" s="199"/>
      <c r="GW116" s="197"/>
      <c r="GX116" s="198"/>
      <c r="GY116" s="198"/>
      <c r="GZ116" s="198"/>
      <c r="HA116" s="198"/>
      <c r="HB116" s="198"/>
      <c r="HC116" s="199"/>
      <c r="HD116" s="197">
        <f>'[2]t&amp;t'!W248</f>
        <v>8152</v>
      </c>
      <c r="HE116" s="198">
        <f>'[2]t&amp;t'!X248</f>
        <v>1099.9000000000001</v>
      </c>
      <c r="HF116" s="198">
        <f>'[2]t&amp;t'!Y248</f>
        <v>1028.7</v>
      </c>
      <c r="HG116" s="198">
        <f>'[2]t&amp;t'!Z248</f>
        <v>884.9</v>
      </c>
      <c r="HH116" s="198">
        <f>'[2]t&amp;t'!AA248</f>
        <v>2363.9</v>
      </c>
      <c r="HI116" s="198"/>
      <c r="HJ116" s="199">
        <f>'[2]t&amp;t'!AC248</f>
        <v>2774.6000000000004</v>
      </c>
      <c r="HK116" s="197"/>
      <c r="HL116" s="198"/>
      <c r="HM116" s="198"/>
      <c r="HN116" s="198"/>
      <c r="HO116" s="198"/>
      <c r="HP116" s="198"/>
      <c r="HQ116" s="198"/>
      <c r="HR116" s="197"/>
      <c r="HT116" s="198"/>
      <c r="HU116" s="198"/>
      <c r="HV116" s="198"/>
      <c r="HW116" s="198"/>
      <c r="HX116" s="198"/>
    </row>
    <row r="117" spans="1:233">
      <c r="A117" s="185" t="s">
        <v>492</v>
      </c>
      <c r="B117" s="197"/>
      <c r="C117" s="198"/>
      <c r="D117" s="198"/>
      <c r="E117" s="198"/>
      <c r="F117" s="198"/>
      <c r="G117" s="198"/>
      <c r="H117" s="199"/>
      <c r="I117" s="197"/>
      <c r="J117" s="198"/>
      <c r="K117" s="198"/>
      <c r="L117" s="198"/>
      <c r="M117" s="198"/>
      <c r="N117" s="198"/>
      <c r="O117" s="199"/>
      <c r="P117" s="198"/>
      <c r="Q117" s="198"/>
      <c r="R117" s="198"/>
      <c r="S117" s="198"/>
      <c r="T117" s="198"/>
      <c r="U117" s="198"/>
      <c r="V117" s="199"/>
      <c r="W117" s="198">
        <v>1651.36</v>
      </c>
      <c r="X117" s="198">
        <v>122.717</v>
      </c>
      <c r="Y117" s="198">
        <v>474.33799999999997</v>
      </c>
      <c r="Z117" s="198">
        <v>79.091999999999999</v>
      </c>
      <c r="AA117" s="198">
        <v>552.30999999999995</v>
      </c>
      <c r="AB117" s="198"/>
      <c r="AC117" s="199">
        <f t="shared" si="1"/>
        <v>422.90299999999991</v>
      </c>
      <c r="AD117" s="198"/>
      <c r="AE117" s="198">
        <v>43.524999999999999</v>
      </c>
      <c r="AF117" s="198">
        <v>128.572</v>
      </c>
      <c r="AG117" s="198">
        <v>139.37200000000001</v>
      </c>
      <c r="AH117" s="198">
        <v>88.941000000000003</v>
      </c>
      <c r="AI117" s="198"/>
      <c r="AJ117" s="198"/>
      <c r="AK117" s="197"/>
      <c r="AL117" s="198"/>
      <c r="AM117" s="198"/>
      <c r="AN117" s="198"/>
      <c r="AO117" s="198"/>
      <c r="AP117" s="198"/>
      <c r="AQ117" s="199"/>
      <c r="AR117" s="198">
        <v>263138.41726186703</v>
      </c>
      <c r="AS117" s="198">
        <v>60110.385716350975</v>
      </c>
      <c r="AT117" s="198">
        <v>27981.825099827885</v>
      </c>
      <c r="AU117" s="198">
        <v>48250.06623330195</v>
      </c>
      <c r="AV117" s="198">
        <v>27968.366212638495</v>
      </c>
      <c r="AW117" s="198"/>
      <c r="AX117" s="198">
        <v>98827.773999747704</v>
      </c>
      <c r="AY117" s="197"/>
      <c r="AZ117" s="198"/>
      <c r="BA117" s="198"/>
      <c r="BB117" s="198"/>
      <c r="BC117" s="198"/>
      <c r="BD117" s="198"/>
      <c r="BE117" s="198"/>
      <c r="BF117" s="197">
        <v>39915371.159999996</v>
      </c>
      <c r="BG117" s="198"/>
      <c r="BH117" s="198">
        <v>21734028.59</v>
      </c>
      <c r="BI117" s="198">
        <v>10917107.390000002</v>
      </c>
      <c r="BJ117" s="198">
        <v>7264235.1799999997</v>
      </c>
      <c r="BK117" s="198">
        <v>0</v>
      </c>
      <c r="BL117" s="198"/>
      <c r="BM117" s="197"/>
      <c r="BN117" s="198"/>
      <c r="BO117" s="198"/>
      <c r="BP117" s="198"/>
      <c r="BQ117" s="198"/>
      <c r="BR117" s="198"/>
      <c r="BS117" s="198"/>
      <c r="BT117" s="197"/>
      <c r="BU117" s="198"/>
      <c r="BV117" s="198"/>
      <c r="BW117" s="198"/>
      <c r="BX117" s="198"/>
      <c r="BY117" s="198"/>
      <c r="BZ117" s="198"/>
      <c r="CA117" s="197"/>
      <c r="CB117" s="198"/>
      <c r="CC117" s="198"/>
      <c r="CD117" s="198"/>
      <c r="CE117" s="198"/>
      <c r="CF117" s="198"/>
      <c r="CG117" s="198"/>
      <c r="CH117" s="197"/>
      <c r="CI117" s="198"/>
      <c r="CJ117" s="198"/>
      <c r="CK117" s="198"/>
      <c r="CL117" s="198"/>
      <c r="CM117" s="198"/>
      <c r="CN117" s="198"/>
      <c r="CO117" s="197"/>
      <c r="CP117" s="198"/>
      <c r="CQ117" s="198"/>
      <c r="CR117" s="198"/>
      <c r="CS117" s="198"/>
      <c r="CT117" s="198"/>
      <c r="CU117" s="198"/>
      <c r="CV117" s="197"/>
      <c r="CW117" s="198"/>
      <c r="CX117" s="198"/>
      <c r="CY117" s="198"/>
      <c r="CZ117" s="198"/>
      <c r="DA117" s="198"/>
      <c r="DB117" s="198"/>
      <c r="DC117" s="197"/>
      <c r="DD117" s="198"/>
      <c r="DE117" s="198"/>
      <c r="DF117" s="198"/>
      <c r="DG117" s="198"/>
      <c r="DH117" s="198"/>
      <c r="DI117" s="198"/>
      <c r="DJ117" s="197"/>
      <c r="DK117" s="198"/>
      <c r="DL117" s="198"/>
      <c r="DM117" s="198"/>
      <c r="DN117" s="198"/>
      <c r="DO117" s="198"/>
      <c r="DP117" s="198"/>
      <c r="DQ117" s="197"/>
      <c r="DR117" s="198"/>
      <c r="DS117" s="198"/>
      <c r="DT117" s="198"/>
      <c r="DU117" s="198"/>
      <c r="DV117" s="198"/>
      <c r="DW117" s="198"/>
      <c r="DX117" s="197"/>
      <c r="DY117" s="198"/>
      <c r="DZ117" s="198"/>
      <c r="EA117" s="198"/>
      <c r="EB117" s="198"/>
      <c r="EC117" s="198"/>
      <c r="ED117" s="198"/>
      <c r="EE117" s="207"/>
      <c r="EL117" s="207"/>
      <c r="ES117" s="207"/>
      <c r="EZ117" s="197"/>
      <c r="FA117" s="198"/>
      <c r="FB117" s="198"/>
      <c r="FC117" s="198"/>
      <c r="FD117" s="198"/>
      <c r="FE117" s="198"/>
      <c r="FF117" s="198"/>
      <c r="FG117" s="197"/>
      <c r="FH117" s="198"/>
      <c r="FI117" s="198"/>
      <c r="FJ117" s="198"/>
      <c r="FK117" s="198"/>
      <c r="FL117" s="198"/>
      <c r="FM117" s="198"/>
      <c r="FN117" s="197"/>
      <c r="FO117" s="198"/>
      <c r="FP117" s="198"/>
      <c r="FQ117" s="198"/>
      <c r="FR117" s="198"/>
      <c r="FS117" s="198"/>
      <c r="FT117" s="199"/>
      <c r="FU117" s="197"/>
      <c r="FV117" s="198"/>
      <c r="FW117" s="198"/>
      <c r="FX117" s="198"/>
      <c r="FY117" s="198"/>
      <c r="FZ117" s="198"/>
      <c r="GA117" s="199"/>
      <c r="GB117" s="197"/>
      <c r="GC117" s="198"/>
      <c r="GD117" s="198"/>
      <c r="GE117" s="198"/>
      <c r="GF117" s="198"/>
      <c r="GG117" s="198"/>
      <c r="GH117" s="199"/>
      <c r="GI117" s="197"/>
      <c r="GJ117" s="198"/>
      <c r="GK117" s="198"/>
      <c r="GL117" s="198"/>
      <c r="GM117" s="198"/>
      <c r="GN117" s="198"/>
      <c r="GO117" s="199"/>
      <c r="GP117" s="197"/>
      <c r="GQ117" s="198"/>
      <c r="GR117" s="198"/>
      <c r="GS117" s="198"/>
      <c r="GT117" s="198"/>
      <c r="GU117" s="198"/>
      <c r="GV117" s="199"/>
      <c r="GW117" s="197"/>
      <c r="GX117" s="198"/>
      <c r="GY117" s="198"/>
      <c r="GZ117" s="198"/>
      <c r="HA117" s="198"/>
      <c r="HB117" s="198"/>
      <c r="HC117" s="199"/>
      <c r="HD117" s="197"/>
      <c r="HE117" s="198"/>
      <c r="HF117" s="198"/>
      <c r="HG117" s="198"/>
      <c r="HH117" s="198"/>
      <c r="HI117" s="198"/>
      <c r="HJ117" s="199"/>
      <c r="HK117" s="197"/>
      <c r="HL117" s="198"/>
      <c r="HM117" s="198"/>
      <c r="HN117" s="198"/>
      <c r="HO117" s="198"/>
      <c r="HP117" s="198"/>
      <c r="HQ117" s="198"/>
      <c r="HR117" s="197"/>
      <c r="HT117" s="198"/>
      <c r="HU117" s="198"/>
      <c r="HV117" s="198"/>
      <c r="HW117" s="198"/>
      <c r="HX117" s="198"/>
    </row>
    <row r="118" spans="1:233">
      <c r="A118" s="185" t="s">
        <v>493</v>
      </c>
      <c r="B118" s="197"/>
      <c r="C118" s="198"/>
      <c r="D118" s="198"/>
      <c r="E118" s="198"/>
      <c r="F118" s="198"/>
      <c r="G118" s="198"/>
      <c r="H118" s="199"/>
      <c r="I118" s="197"/>
      <c r="J118" s="198"/>
      <c r="K118" s="198"/>
      <c r="L118" s="198"/>
      <c r="M118" s="198"/>
      <c r="N118" s="198"/>
      <c r="O118" s="199"/>
      <c r="P118" s="198"/>
      <c r="Q118" s="198"/>
      <c r="R118" s="198"/>
      <c r="S118" s="198"/>
      <c r="T118" s="198"/>
      <c r="U118" s="198"/>
      <c r="V118" s="199"/>
      <c r="W118" s="198">
        <v>1651.4190000000001</v>
      </c>
      <c r="X118" s="198">
        <v>119.95</v>
      </c>
      <c r="Y118" s="198">
        <v>481.30599999999998</v>
      </c>
      <c r="Z118" s="198">
        <v>73.994</v>
      </c>
      <c r="AA118" s="198">
        <v>564.11300000000006</v>
      </c>
      <c r="AB118" s="198"/>
      <c r="AC118" s="199">
        <f t="shared" si="1"/>
        <v>412.05599999999993</v>
      </c>
      <c r="AD118" s="198"/>
      <c r="AE118" s="198">
        <v>44.17</v>
      </c>
      <c r="AF118" s="198">
        <v>130.84299999999999</v>
      </c>
      <c r="AG118" s="198">
        <v>140.96899999999999</v>
      </c>
      <c r="AH118" s="198">
        <v>91.01</v>
      </c>
      <c r="AI118" s="198"/>
      <c r="AJ118" s="198"/>
      <c r="AK118" s="197"/>
      <c r="AL118" s="198"/>
      <c r="AM118" s="198"/>
      <c r="AN118" s="198"/>
      <c r="AO118" s="198"/>
      <c r="AP118" s="198"/>
      <c r="AQ118" s="199"/>
      <c r="AR118" s="198">
        <v>267566.74358927307</v>
      </c>
      <c r="AS118" s="198">
        <v>61080.737586692849</v>
      </c>
      <c r="AT118" s="198">
        <v>28867.476717925594</v>
      </c>
      <c r="AU118" s="198">
        <v>48815.84382376686</v>
      </c>
      <c r="AV118" s="198">
        <v>28625.974208708867</v>
      </c>
      <c r="AW118" s="198"/>
      <c r="AX118" s="198">
        <v>100176.71125217889</v>
      </c>
      <c r="AY118" s="197"/>
      <c r="AZ118" s="198"/>
      <c r="BA118" s="198"/>
      <c r="BB118" s="198"/>
      <c r="BC118" s="198"/>
      <c r="BD118" s="198"/>
      <c r="BE118" s="198"/>
      <c r="BF118" s="197">
        <v>40821880.980000004</v>
      </c>
      <c r="BG118" s="198"/>
      <c r="BH118" s="198">
        <v>22207357.309999995</v>
      </c>
      <c r="BI118" s="198">
        <v>11188833.900000004</v>
      </c>
      <c r="BJ118" s="198">
        <v>7425689.7699999996</v>
      </c>
      <c r="BK118" s="198">
        <v>0</v>
      </c>
      <c r="BL118" s="198"/>
      <c r="BM118" s="197"/>
      <c r="BN118" s="198"/>
      <c r="BO118" s="198"/>
      <c r="BP118" s="198"/>
      <c r="BQ118" s="198"/>
      <c r="BR118" s="198"/>
      <c r="BS118" s="198"/>
      <c r="BT118" s="197"/>
      <c r="BU118" s="198"/>
      <c r="BV118" s="198"/>
      <c r="BW118" s="198"/>
      <c r="BX118" s="198"/>
      <c r="BY118" s="198"/>
      <c r="BZ118" s="198"/>
      <c r="CA118" s="197"/>
      <c r="CB118" s="198"/>
      <c r="CC118" s="198"/>
      <c r="CD118" s="198"/>
      <c r="CE118" s="198"/>
      <c r="CF118" s="198"/>
      <c r="CG118" s="198"/>
      <c r="CH118" s="197"/>
      <c r="CI118" s="198"/>
      <c r="CJ118" s="198"/>
      <c r="CK118" s="198"/>
      <c r="CL118" s="198"/>
      <c r="CM118" s="198"/>
      <c r="CN118" s="198"/>
      <c r="CO118" s="197"/>
      <c r="CP118" s="198"/>
      <c r="CQ118" s="198"/>
      <c r="CR118" s="198"/>
      <c r="CS118" s="198"/>
      <c r="CT118" s="198"/>
      <c r="CU118" s="198"/>
      <c r="CV118" s="197"/>
      <c r="CW118" s="198"/>
      <c r="CX118" s="198"/>
      <c r="CY118" s="198"/>
      <c r="CZ118" s="198"/>
      <c r="DA118" s="198"/>
      <c r="DB118" s="198"/>
      <c r="DC118" s="197"/>
      <c r="DD118" s="198"/>
      <c r="DE118" s="198"/>
      <c r="DF118" s="198"/>
      <c r="DG118" s="198"/>
      <c r="DH118" s="198"/>
      <c r="DI118" s="198"/>
      <c r="DJ118" s="197"/>
      <c r="DK118" s="198"/>
      <c r="DL118" s="198"/>
      <c r="DM118" s="198"/>
      <c r="DN118" s="198"/>
      <c r="DO118" s="198"/>
      <c r="DP118" s="198"/>
      <c r="DQ118" s="197"/>
      <c r="DR118" s="198"/>
      <c r="DS118" s="198"/>
      <c r="DT118" s="198"/>
      <c r="DU118" s="198"/>
      <c r="DV118" s="198"/>
      <c r="DW118" s="198"/>
      <c r="DX118" s="197"/>
      <c r="DY118" s="198"/>
      <c r="DZ118" s="198"/>
      <c r="EA118" s="198"/>
      <c r="EB118" s="198"/>
      <c r="EC118" s="198"/>
      <c r="ED118" s="198"/>
      <c r="EE118" s="207"/>
      <c r="EL118" s="207"/>
      <c r="ES118" s="207"/>
      <c r="EZ118" s="197"/>
      <c r="FA118" s="198"/>
      <c r="FB118" s="198"/>
      <c r="FC118" s="198"/>
      <c r="FD118" s="198"/>
      <c r="FE118" s="198"/>
      <c r="FF118" s="198"/>
      <c r="FG118" s="197"/>
      <c r="FH118" s="198"/>
      <c r="FI118" s="198"/>
      <c r="FJ118" s="198"/>
      <c r="FK118" s="198"/>
      <c r="FL118" s="198"/>
      <c r="FM118" s="198"/>
      <c r="FN118" s="197"/>
      <c r="FO118" s="198"/>
      <c r="FP118" s="198"/>
      <c r="FQ118" s="198"/>
      <c r="FR118" s="198"/>
      <c r="FS118" s="198"/>
      <c r="FT118" s="199"/>
      <c r="FU118" s="197"/>
      <c r="FV118" s="198"/>
      <c r="FW118" s="198"/>
      <c r="FX118" s="198"/>
      <c r="FY118" s="198"/>
      <c r="FZ118" s="198"/>
      <c r="GA118" s="199"/>
      <c r="GB118" s="197"/>
      <c r="GC118" s="198"/>
      <c r="GD118" s="198"/>
      <c r="GE118" s="198"/>
      <c r="GF118" s="198"/>
      <c r="GG118" s="198"/>
      <c r="GH118" s="199"/>
      <c r="GI118" s="197"/>
      <c r="GJ118" s="198"/>
      <c r="GK118" s="198"/>
      <c r="GL118" s="198"/>
      <c r="GM118" s="198"/>
      <c r="GN118" s="198"/>
      <c r="GO118" s="199"/>
      <c r="GP118" s="197"/>
      <c r="GQ118" s="198"/>
      <c r="GR118" s="198"/>
      <c r="GS118" s="198"/>
      <c r="GT118" s="198"/>
      <c r="GU118" s="198"/>
      <c r="GV118" s="199"/>
      <c r="GW118" s="197"/>
      <c r="GX118" s="198"/>
      <c r="GY118" s="198"/>
      <c r="GZ118" s="198"/>
      <c r="HA118" s="198"/>
      <c r="HB118" s="198"/>
      <c r="HC118" s="199"/>
      <c r="HD118" s="197"/>
      <c r="HE118" s="198"/>
      <c r="HF118" s="198"/>
      <c r="HG118" s="198"/>
      <c r="HH118" s="198"/>
      <c r="HI118" s="198"/>
      <c r="HJ118" s="199"/>
      <c r="HK118" s="197"/>
      <c r="HL118" s="198"/>
      <c r="HM118" s="198"/>
      <c r="HN118" s="198"/>
      <c r="HO118" s="198"/>
      <c r="HP118" s="198"/>
      <c r="HQ118" s="198"/>
      <c r="HR118" s="197"/>
      <c r="HT118" s="198"/>
      <c r="HU118" s="198"/>
      <c r="HV118" s="198"/>
      <c r="HW118" s="198"/>
      <c r="HX118" s="198"/>
    </row>
    <row r="119" spans="1:233">
      <c r="A119" s="185" t="s">
        <v>494</v>
      </c>
      <c r="B119" s="197"/>
      <c r="C119" s="198"/>
      <c r="D119" s="198"/>
      <c r="E119" s="198"/>
      <c r="F119" s="198"/>
      <c r="G119" s="198"/>
      <c r="H119" s="199"/>
      <c r="I119" s="197"/>
      <c r="J119" s="198"/>
      <c r="K119" s="198"/>
      <c r="L119" s="198"/>
      <c r="M119" s="198"/>
      <c r="N119" s="198"/>
      <c r="O119" s="199"/>
      <c r="P119" s="198"/>
      <c r="Q119" s="198"/>
      <c r="R119" s="198"/>
      <c r="S119" s="198"/>
      <c r="T119" s="198"/>
      <c r="U119" s="198"/>
      <c r="V119" s="199"/>
      <c r="W119" s="198">
        <v>1644.2550000000001</v>
      </c>
      <c r="X119" s="198">
        <v>119.568</v>
      </c>
      <c r="Y119" s="198">
        <v>452.75700000000001</v>
      </c>
      <c r="Z119" s="198">
        <v>78.239999999999995</v>
      </c>
      <c r="AA119" s="198">
        <v>578.61800000000005</v>
      </c>
      <c r="AB119" s="198"/>
      <c r="AC119" s="199">
        <f t="shared" si="1"/>
        <v>415.072</v>
      </c>
      <c r="AD119" s="198">
        <f>[1]datos!$S251</f>
        <v>576.48799999999994</v>
      </c>
      <c r="AE119" s="198">
        <v>44.917999999999999</v>
      </c>
      <c r="AF119" s="198">
        <v>130.59200000000001</v>
      </c>
      <c r="AG119" s="198">
        <v>142.43</v>
      </c>
      <c r="AH119" s="198">
        <v>91.632000000000005</v>
      </c>
      <c r="AI119" s="198">
        <f>[1]datos!$U251</f>
        <v>55.725999999999999</v>
      </c>
      <c r="AJ119" s="198">
        <f>AD119-AE119-AF119-AG119-AH119-AI119</f>
        <v>111.18999999999994</v>
      </c>
      <c r="AK119" s="197"/>
      <c r="AL119" s="198"/>
      <c r="AM119" s="198"/>
      <c r="AN119" s="198"/>
      <c r="AO119" s="198"/>
      <c r="AP119" s="198"/>
      <c r="AQ119" s="199"/>
      <c r="AR119" s="198">
        <v>272684.92583385867</v>
      </c>
      <c r="AS119" s="198">
        <v>62102.239673568467</v>
      </c>
      <c r="AT119" s="198">
        <v>29295.730381386369</v>
      </c>
      <c r="AU119" s="198">
        <v>49259.61749022732</v>
      </c>
      <c r="AV119" s="198">
        <v>30054.519405211729</v>
      </c>
      <c r="AW119" s="198"/>
      <c r="AX119" s="198">
        <v>101972.81888346479</v>
      </c>
      <c r="AY119" s="197"/>
      <c r="AZ119" s="198"/>
      <c r="BA119" s="198"/>
      <c r="BB119" s="198"/>
      <c r="BC119" s="198"/>
      <c r="BD119" s="198"/>
      <c r="BE119" s="198"/>
      <c r="BF119" s="197">
        <v>41903467.030000001</v>
      </c>
      <c r="BG119" s="198"/>
      <c r="BH119" s="198">
        <v>22852379.810000002</v>
      </c>
      <c r="BI119" s="198">
        <v>11438713.760000002</v>
      </c>
      <c r="BJ119" s="198">
        <v>7612373.46</v>
      </c>
      <c r="BK119" s="198">
        <v>0</v>
      </c>
      <c r="BL119" s="198"/>
      <c r="BM119" s="197"/>
      <c r="BN119" s="198"/>
      <c r="BO119" s="198"/>
      <c r="BP119" s="198"/>
      <c r="BQ119" s="198"/>
      <c r="BR119" s="198"/>
      <c r="BS119" s="198"/>
      <c r="BT119" s="197"/>
      <c r="BU119" s="198"/>
      <c r="BV119" s="198"/>
      <c r="BW119" s="198"/>
      <c r="BX119" s="198"/>
      <c r="BY119" s="198"/>
      <c r="BZ119" s="198"/>
      <c r="CA119" s="197"/>
      <c r="CB119" s="198"/>
      <c r="CC119" s="198"/>
      <c r="CD119" s="198"/>
      <c r="CE119" s="198"/>
      <c r="CF119" s="198"/>
      <c r="CG119" s="198"/>
      <c r="CH119" s="197"/>
      <c r="CI119" s="198"/>
      <c r="CJ119" s="198"/>
      <c r="CK119" s="198"/>
      <c r="CL119" s="198"/>
      <c r="CM119" s="198"/>
      <c r="CN119" s="198"/>
      <c r="CO119" s="197"/>
      <c r="CP119" s="198"/>
      <c r="CQ119" s="198"/>
      <c r="CR119" s="198"/>
      <c r="CS119" s="198"/>
      <c r="CT119" s="198"/>
      <c r="CU119" s="198"/>
      <c r="CV119" s="197"/>
      <c r="CW119" s="198"/>
      <c r="CX119" s="198"/>
      <c r="CY119" s="198"/>
      <c r="CZ119" s="198"/>
      <c r="DA119" s="198"/>
      <c r="DB119" s="198"/>
      <c r="DC119" s="197"/>
      <c r="DD119" s="198"/>
      <c r="DE119" s="198"/>
      <c r="DF119" s="198"/>
      <c r="DG119" s="198"/>
      <c r="DH119" s="198"/>
      <c r="DI119" s="198"/>
      <c r="DJ119" s="197"/>
      <c r="DK119" s="198"/>
      <c r="DL119" s="198"/>
      <c r="DM119" s="198"/>
      <c r="DN119" s="198"/>
      <c r="DO119" s="198"/>
      <c r="DP119" s="198"/>
      <c r="DQ119" s="197"/>
      <c r="DR119" s="198"/>
      <c r="DS119" s="198"/>
      <c r="DT119" s="198"/>
      <c r="DU119" s="198"/>
      <c r="DV119" s="198"/>
      <c r="DW119" s="198"/>
      <c r="DX119" s="197"/>
      <c r="DY119" s="198"/>
      <c r="DZ119" s="198"/>
      <c r="EA119" s="198"/>
      <c r="EB119" s="198"/>
      <c r="EC119" s="198"/>
      <c r="ED119" s="198"/>
      <c r="EE119" s="197"/>
      <c r="EF119" s="198"/>
      <c r="EG119" s="198"/>
      <c r="EH119" s="198"/>
      <c r="EI119" s="198"/>
      <c r="EJ119" s="198"/>
      <c r="EK119" s="198"/>
      <c r="EL119" s="197"/>
      <c r="EM119" s="198"/>
      <c r="EN119" s="198"/>
      <c r="EO119" s="198"/>
      <c r="EP119" s="198"/>
      <c r="EQ119" s="198"/>
      <c r="ER119" s="198"/>
      <c r="ES119" s="197"/>
      <c r="ET119" s="198"/>
      <c r="EU119" s="198"/>
      <c r="EV119" s="198"/>
      <c r="EW119" s="198"/>
      <c r="EX119" s="198"/>
      <c r="EY119" s="198"/>
      <c r="EZ119" s="197"/>
      <c r="FA119" s="198"/>
      <c r="FB119" s="198"/>
      <c r="FC119" s="198"/>
      <c r="FD119" s="198"/>
      <c r="FE119" s="198"/>
      <c r="FF119" s="198"/>
      <c r="FG119" s="197"/>
      <c r="FH119" s="198"/>
      <c r="FI119" s="198"/>
      <c r="FJ119" s="198"/>
      <c r="FK119" s="198"/>
      <c r="FL119" s="198"/>
      <c r="FM119" s="198"/>
      <c r="FN119" s="197">
        <v>31813450</v>
      </c>
      <c r="FO119" s="198">
        <v>7827221</v>
      </c>
      <c r="FP119" s="198">
        <v>5297495</v>
      </c>
      <c r="FQ119" s="198"/>
      <c r="FR119" s="198"/>
      <c r="FS119" s="198"/>
      <c r="FT119" s="199"/>
      <c r="FU119" s="197"/>
      <c r="FV119" s="198"/>
      <c r="FW119" s="198"/>
      <c r="FX119" s="198"/>
      <c r="FY119" s="198"/>
      <c r="FZ119" s="198"/>
      <c r="GA119" s="199"/>
      <c r="GB119" s="197"/>
      <c r="GC119" s="198"/>
      <c r="GD119" s="198"/>
      <c r="GE119" s="198"/>
      <c r="GF119" s="198"/>
      <c r="GG119" s="198"/>
      <c r="GH119" s="199"/>
      <c r="GI119" s="197"/>
      <c r="GJ119" s="198"/>
      <c r="GK119" s="198"/>
      <c r="GL119" s="198"/>
      <c r="GM119" s="198"/>
      <c r="GN119" s="198"/>
      <c r="GO119" s="199"/>
      <c r="GP119" s="197"/>
      <c r="GQ119" s="198"/>
      <c r="GR119" s="198"/>
      <c r="GS119" s="198"/>
      <c r="GT119" s="198"/>
      <c r="GU119" s="198"/>
      <c r="GV119" s="199"/>
      <c r="GW119" s="197"/>
      <c r="GX119" s="198"/>
      <c r="GY119" s="198"/>
      <c r="GZ119" s="198"/>
      <c r="HA119" s="198"/>
      <c r="HB119" s="198"/>
      <c r="HC119" s="199"/>
      <c r="HD119" s="197">
        <f>'[2]t&amp;t'!W251</f>
        <v>8484.7000000000007</v>
      </c>
      <c r="HE119" s="198">
        <f>'[2]t&amp;t'!X251</f>
        <v>1221.3999999999999</v>
      </c>
      <c r="HF119" s="198">
        <f>'[2]t&amp;t'!Y251</f>
        <v>998.69999999999993</v>
      </c>
      <c r="HG119" s="198">
        <f>'[2]t&amp;t'!Z251</f>
        <v>815.9</v>
      </c>
      <c r="HH119" s="198">
        <f>'[2]t&amp;t'!AA251</f>
        <v>2632.2999999999997</v>
      </c>
      <c r="HI119" s="198"/>
      <c r="HJ119" s="199">
        <f>'[2]t&amp;t'!AC251</f>
        <v>2816.4</v>
      </c>
      <c r="HK119" s="197"/>
      <c r="HL119" s="198"/>
      <c r="HM119" s="198"/>
      <c r="HN119" s="198"/>
      <c r="HO119" s="198"/>
      <c r="HP119" s="198"/>
      <c r="HQ119" s="198"/>
      <c r="HR119" s="197"/>
      <c r="HT119" s="198"/>
      <c r="HU119" s="198"/>
      <c r="HV119" s="198"/>
      <c r="HW119" s="198"/>
      <c r="HX119" s="198"/>
    </row>
    <row r="120" spans="1:233">
      <c r="A120" s="185" t="s">
        <v>495</v>
      </c>
      <c r="B120" s="197"/>
      <c r="C120" s="198"/>
      <c r="D120" s="198"/>
      <c r="E120" s="198"/>
      <c r="F120" s="198"/>
      <c r="G120" s="198"/>
      <c r="H120" s="199"/>
      <c r="I120" s="197"/>
      <c r="J120" s="198"/>
      <c r="K120" s="198"/>
      <c r="L120" s="198"/>
      <c r="M120" s="198"/>
      <c r="N120" s="198"/>
      <c r="O120" s="199"/>
      <c r="P120" s="198"/>
      <c r="Q120" s="198"/>
      <c r="R120" s="198"/>
      <c r="S120" s="198"/>
      <c r="T120" s="198"/>
      <c r="U120" s="198"/>
      <c r="V120" s="199"/>
      <c r="W120" s="198">
        <v>1763.771</v>
      </c>
      <c r="X120" s="198">
        <v>119.352</v>
      </c>
      <c r="Y120" s="198">
        <v>471.86799999999999</v>
      </c>
      <c r="Z120" s="198">
        <v>77.64</v>
      </c>
      <c r="AA120" s="198">
        <v>646.98299999999995</v>
      </c>
      <c r="AB120" s="198"/>
      <c r="AC120" s="199">
        <f t="shared" si="1"/>
        <v>447.92799999999988</v>
      </c>
      <c r="AD120" s="198"/>
      <c r="AE120" s="198">
        <v>43.53</v>
      </c>
      <c r="AF120" s="198">
        <v>132.447</v>
      </c>
      <c r="AG120" s="198">
        <v>141.69</v>
      </c>
      <c r="AH120" s="198">
        <v>98.995000000000005</v>
      </c>
      <c r="AI120" s="198"/>
      <c r="AJ120" s="198"/>
      <c r="AK120" s="197"/>
      <c r="AL120" s="198"/>
      <c r="AM120" s="198"/>
      <c r="AN120" s="198"/>
      <c r="AO120" s="198"/>
      <c r="AP120" s="198"/>
      <c r="AQ120" s="199"/>
      <c r="AR120" s="198">
        <v>276710.95293254661</v>
      </c>
      <c r="AS120" s="198">
        <v>62656.868069777884</v>
      </c>
      <c r="AT120" s="198">
        <v>28928.073400529582</v>
      </c>
      <c r="AU120" s="198">
        <v>49807.918682982272</v>
      </c>
      <c r="AV120" s="198">
        <v>31073.324738689837</v>
      </c>
      <c r="AW120" s="198"/>
      <c r="AX120" s="198">
        <v>104244.76804056703</v>
      </c>
      <c r="AY120" s="197"/>
      <c r="AZ120" s="198"/>
      <c r="BA120" s="198"/>
      <c r="BB120" s="198"/>
      <c r="BC120" s="198"/>
      <c r="BD120" s="198"/>
      <c r="BE120" s="198"/>
      <c r="BF120" s="197">
        <v>42685174.219999999</v>
      </c>
      <c r="BG120" s="198"/>
      <c r="BH120" s="198">
        <v>23201373.960000005</v>
      </c>
      <c r="BI120" s="198">
        <v>11731615.59</v>
      </c>
      <c r="BJ120" s="198">
        <v>7752184.6699999999</v>
      </c>
      <c r="BK120" s="198">
        <v>0</v>
      </c>
      <c r="BL120" s="198"/>
      <c r="BM120" s="197"/>
      <c r="BN120" s="198"/>
      <c r="BO120" s="198"/>
      <c r="BP120" s="198"/>
      <c r="BQ120" s="198"/>
      <c r="BR120" s="198"/>
      <c r="BS120" s="198"/>
      <c r="BT120" s="197"/>
      <c r="BU120" s="198"/>
      <c r="BV120" s="198"/>
      <c r="BW120" s="198"/>
      <c r="BX120" s="198"/>
      <c r="BY120" s="198"/>
      <c r="BZ120" s="198"/>
      <c r="CA120" s="197"/>
      <c r="CB120" s="198"/>
      <c r="CC120" s="198"/>
      <c r="CD120" s="198"/>
      <c r="CE120" s="198"/>
      <c r="CF120" s="198"/>
      <c r="CG120" s="198"/>
      <c r="CH120" s="197"/>
      <c r="CI120" s="198"/>
      <c r="CJ120" s="198"/>
      <c r="CK120" s="198"/>
      <c r="CL120" s="198"/>
      <c r="CM120" s="198"/>
      <c r="CN120" s="198"/>
      <c r="CO120" s="197"/>
      <c r="CP120" s="198"/>
      <c r="CQ120" s="198"/>
      <c r="CR120" s="198"/>
      <c r="CS120" s="198"/>
      <c r="CT120" s="198"/>
      <c r="CU120" s="198"/>
      <c r="CV120" s="197"/>
      <c r="CW120" s="198"/>
      <c r="CX120" s="198"/>
      <c r="CY120" s="198"/>
      <c r="CZ120" s="198"/>
      <c r="DA120" s="198"/>
      <c r="DB120" s="198"/>
      <c r="DC120" s="197"/>
      <c r="DD120" s="198"/>
      <c r="DE120" s="198"/>
      <c r="DF120" s="198"/>
      <c r="DG120" s="198"/>
      <c r="DH120" s="198"/>
      <c r="DI120" s="198"/>
      <c r="DJ120" s="197"/>
      <c r="DK120" s="198"/>
      <c r="DL120" s="198"/>
      <c r="DM120" s="198"/>
      <c r="DN120" s="198"/>
      <c r="DO120" s="198"/>
      <c r="DP120" s="198"/>
      <c r="DQ120" s="197"/>
      <c r="DR120" s="198"/>
      <c r="DS120" s="198"/>
      <c r="DT120" s="198"/>
      <c r="DU120" s="198"/>
      <c r="DV120" s="198"/>
      <c r="DW120" s="198"/>
      <c r="DX120" s="197"/>
      <c r="DY120" s="198"/>
      <c r="DZ120" s="198"/>
      <c r="EA120" s="198"/>
      <c r="EB120" s="198"/>
      <c r="EC120" s="198"/>
      <c r="ED120" s="198"/>
      <c r="EE120" s="197"/>
      <c r="EF120" s="198"/>
      <c r="EG120" s="198"/>
      <c r="EH120" s="198"/>
      <c r="EI120" s="198"/>
      <c r="EJ120" s="198"/>
      <c r="EK120" s="198"/>
      <c r="EL120" s="197"/>
      <c r="EM120" s="198"/>
      <c r="EN120" s="198"/>
      <c r="EO120" s="198"/>
      <c r="EP120" s="198"/>
      <c r="EQ120" s="198"/>
      <c r="ER120" s="198"/>
      <c r="ES120" s="197"/>
      <c r="ET120" s="198"/>
      <c r="EU120" s="198"/>
      <c r="EV120" s="198"/>
      <c r="EW120" s="198"/>
      <c r="EX120" s="198"/>
      <c r="EY120" s="198"/>
      <c r="EZ120" s="197"/>
      <c r="FA120" s="198"/>
      <c r="FB120" s="198"/>
      <c r="FC120" s="198"/>
      <c r="FD120" s="198"/>
      <c r="FE120" s="198"/>
      <c r="FF120" s="198"/>
      <c r="FG120" s="197"/>
      <c r="FH120" s="198"/>
      <c r="FI120" s="198"/>
      <c r="FJ120" s="198"/>
      <c r="FK120" s="198"/>
      <c r="FL120" s="198"/>
      <c r="FM120" s="198"/>
      <c r="FN120" s="197"/>
      <c r="FO120" s="198"/>
      <c r="FP120" s="198"/>
      <c r="FQ120" s="198"/>
      <c r="FR120" s="198"/>
      <c r="FS120" s="198"/>
      <c r="FT120" s="199"/>
      <c r="FU120" s="197"/>
      <c r="FV120" s="198"/>
      <c r="FW120" s="198"/>
      <c r="FX120" s="198"/>
      <c r="FY120" s="198"/>
      <c r="FZ120" s="198"/>
      <c r="GA120" s="199"/>
      <c r="GB120" s="197"/>
      <c r="GC120" s="198"/>
      <c r="GD120" s="198"/>
      <c r="GE120" s="198"/>
      <c r="GF120" s="198"/>
      <c r="GG120" s="198"/>
      <c r="GH120" s="199"/>
      <c r="GI120" s="197"/>
      <c r="GJ120" s="198"/>
      <c r="GK120" s="198"/>
      <c r="GL120" s="198"/>
      <c r="GM120" s="198"/>
      <c r="GN120" s="198"/>
      <c r="GO120" s="199"/>
      <c r="GP120" s="197"/>
      <c r="GQ120" s="198"/>
      <c r="GR120" s="198"/>
      <c r="GS120" s="198"/>
      <c r="GT120" s="198"/>
      <c r="GU120" s="198"/>
      <c r="GV120" s="199"/>
      <c r="GW120" s="197"/>
      <c r="GX120" s="198"/>
      <c r="GY120" s="198"/>
      <c r="GZ120" s="198"/>
      <c r="HA120" s="198"/>
      <c r="HB120" s="198"/>
      <c r="HC120" s="199"/>
      <c r="HD120" s="197"/>
      <c r="HE120" s="198"/>
      <c r="HF120" s="198"/>
      <c r="HG120" s="198"/>
      <c r="HH120" s="198"/>
      <c r="HI120" s="198"/>
      <c r="HJ120" s="199"/>
      <c r="HK120" s="197"/>
      <c r="HL120" s="198"/>
      <c r="HM120" s="198"/>
      <c r="HN120" s="198"/>
      <c r="HO120" s="198"/>
      <c r="HP120" s="198"/>
      <c r="HQ120" s="198"/>
      <c r="HR120" s="197"/>
      <c r="HT120" s="198"/>
      <c r="HU120" s="198"/>
      <c r="HV120" s="198"/>
      <c r="HW120" s="198"/>
      <c r="HX120" s="198"/>
    </row>
    <row r="121" spans="1:233">
      <c r="A121" s="185" t="s">
        <v>496</v>
      </c>
      <c r="B121" s="197"/>
      <c r="C121" s="198"/>
      <c r="D121" s="198"/>
      <c r="E121" s="198"/>
      <c r="F121" s="198"/>
      <c r="G121" s="198"/>
      <c r="H121" s="199"/>
      <c r="I121" s="197"/>
      <c r="J121" s="198"/>
      <c r="K121" s="198"/>
      <c r="L121" s="198"/>
      <c r="M121" s="198"/>
      <c r="N121" s="198"/>
      <c r="O121" s="199"/>
      <c r="P121" s="198"/>
      <c r="Q121" s="198"/>
      <c r="R121" s="198"/>
      <c r="S121" s="198"/>
      <c r="T121" s="198"/>
      <c r="U121" s="198"/>
      <c r="V121" s="199"/>
      <c r="W121" s="198">
        <v>1818.2260000000001</v>
      </c>
      <c r="X121" s="198">
        <v>117.855</v>
      </c>
      <c r="Y121" s="198">
        <v>479.26700000000005</v>
      </c>
      <c r="Z121" s="198">
        <v>82.073999999999998</v>
      </c>
      <c r="AA121" s="198">
        <v>665.57100000000003</v>
      </c>
      <c r="AB121" s="198"/>
      <c r="AC121" s="199">
        <f t="shared" si="1"/>
        <v>473.45899999999995</v>
      </c>
      <c r="AD121" s="198"/>
      <c r="AE121" s="198">
        <v>33.768000000000001</v>
      </c>
      <c r="AF121" s="198">
        <v>127.89200000000001</v>
      </c>
      <c r="AG121" s="198">
        <v>152.84899999999999</v>
      </c>
      <c r="AH121" s="198">
        <v>99.495999999999995</v>
      </c>
      <c r="AI121" s="198"/>
      <c r="AJ121" s="198"/>
      <c r="AK121" s="197"/>
      <c r="AL121" s="198"/>
      <c r="AM121" s="198"/>
      <c r="AN121" s="198"/>
      <c r="AO121" s="198"/>
      <c r="AP121" s="198"/>
      <c r="AQ121" s="199"/>
      <c r="AR121" s="198">
        <v>281113.68252840493</v>
      </c>
      <c r="AS121" s="198">
        <v>62981.546826586804</v>
      </c>
      <c r="AT121" s="198">
        <v>28596.226765397019</v>
      </c>
      <c r="AU121" s="198">
        <v>49625.557274585852</v>
      </c>
      <c r="AV121" s="198">
        <v>33673.707331390717</v>
      </c>
      <c r="AW121" s="198"/>
      <c r="AX121" s="198">
        <v>106236.64433044453</v>
      </c>
      <c r="AY121" s="197"/>
      <c r="AZ121" s="198"/>
      <c r="BA121" s="198"/>
      <c r="BB121" s="198"/>
      <c r="BC121" s="198"/>
      <c r="BD121" s="198"/>
      <c r="BE121" s="198"/>
      <c r="BF121" s="197">
        <v>43550046.589999996</v>
      </c>
      <c r="BG121" s="198"/>
      <c r="BH121" s="198">
        <v>23624889.200000003</v>
      </c>
      <c r="BI121" s="198">
        <v>11969751</v>
      </c>
      <c r="BJ121" s="198">
        <v>7955406.3899999997</v>
      </c>
      <c r="BK121" s="198">
        <v>0</v>
      </c>
      <c r="BL121" s="198"/>
      <c r="BM121" s="197"/>
      <c r="BN121" s="198"/>
      <c r="BO121" s="198"/>
      <c r="BP121" s="198"/>
      <c r="BQ121" s="198"/>
      <c r="BR121" s="198"/>
      <c r="BS121" s="198"/>
      <c r="BT121" s="197"/>
      <c r="BU121" s="198"/>
      <c r="BV121" s="198"/>
      <c r="BW121" s="198"/>
      <c r="BX121" s="198"/>
      <c r="BY121" s="198"/>
      <c r="BZ121" s="198"/>
      <c r="CA121" s="197"/>
      <c r="CB121" s="198"/>
      <c r="CC121" s="198"/>
      <c r="CD121" s="198"/>
      <c r="CE121" s="198"/>
      <c r="CF121" s="198"/>
      <c r="CG121" s="198"/>
      <c r="CH121" s="197"/>
      <c r="CI121" s="198"/>
      <c r="CJ121" s="198"/>
      <c r="CK121" s="198"/>
      <c r="CL121" s="198"/>
      <c r="CM121" s="198"/>
      <c r="CN121" s="198"/>
      <c r="CO121" s="197"/>
      <c r="CP121" s="198"/>
      <c r="CQ121" s="198"/>
      <c r="CR121" s="198"/>
      <c r="CS121" s="198"/>
      <c r="CT121" s="198"/>
      <c r="CU121" s="198"/>
      <c r="CV121" s="197"/>
      <c r="CW121" s="198"/>
      <c r="CX121" s="198"/>
      <c r="CY121" s="198"/>
      <c r="CZ121" s="198"/>
      <c r="DA121" s="198"/>
      <c r="DB121" s="198"/>
      <c r="DC121" s="197"/>
      <c r="DD121" s="198"/>
      <c r="DE121" s="198"/>
      <c r="DF121" s="198"/>
      <c r="DG121" s="198"/>
      <c r="DH121" s="198"/>
      <c r="DI121" s="198"/>
      <c r="DJ121" s="197"/>
      <c r="DK121" s="198"/>
      <c r="DL121" s="198"/>
      <c r="DM121" s="198"/>
      <c r="DN121" s="198"/>
      <c r="DO121" s="198"/>
      <c r="DP121" s="198"/>
      <c r="DQ121" s="197"/>
      <c r="DR121" s="198"/>
      <c r="DS121" s="198"/>
      <c r="DT121" s="198"/>
      <c r="DU121" s="198"/>
      <c r="DV121" s="198"/>
      <c r="DW121" s="198"/>
      <c r="DX121" s="197"/>
      <c r="DY121" s="198"/>
      <c r="DZ121" s="198"/>
      <c r="EA121" s="198"/>
      <c r="EB121" s="198"/>
      <c r="EC121" s="198"/>
      <c r="ED121" s="198"/>
      <c r="EE121" s="197"/>
      <c r="EF121" s="198"/>
      <c r="EG121" s="198"/>
      <c r="EH121" s="198"/>
      <c r="EI121" s="198"/>
      <c r="EJ121" s="198"/>
      <c r="EK121" s="198"/>
      <c r="EL121" s="197"/>
      <c r="EM121" s="198"/>
      <c r="EN121" s="198"/>
      <c r="EO121" s="198"/>
      <c r="EP121" s="198"/>
      <c r="EQ121" s="198"/>
      <c r="ER121" s="198"/>
      <c r="ES121" s="197"/>
      <c r="ET121" s="198"/>
      <c r="EU121" s="198"/>
      <c r="EV121" s="198"/>
      <c r="EW121" s="198"/>
      <c r="EX121" s="198"/>
      <c r="EY121" s="198"/>
      <c r="EZ121" s="197"/>
      <c r="FA121" s="198"/>
      <c r="FB121" s="198"/>
      <c r="FC121" s="198"/>
      <c r="FD121" s="198"/>
      <c r="FE121" s="198"/>
      <c r="FF121" s="198"/>
      <c r="FG121" s="197"/>
      <c r="FH121" s="198"/>
      <c r="FI121" s="198"/>
      <c r="FJ121" s="198"/>
      <c r="FK121" s="198"/>
      <c r="FL121" s="198"/>
      <c r="FM121" s="198"/>
      <c r="FN121" s="197"/>
      <c r="FO121" s="198"/>
      <c r="FP121" s="198"/>
      <c r="FQ121" s="198"/>
      <c r="FR121" s="198"/>
      <c r="FS121" s="198"/>
      <c r="FT121" s="199"/>
      <c r="FU121" s="197"/>
      <c r="FV121" s="198"/>
      <c r="FW121" s="198"/>
      <c r="FX121" s="198"/>
      <c r="FY121" s="198"/>
      <c r="FZ121" s="198"/>
      <c r="GA121" s="199"/>
      <c r="GB121" s="197"/>
      <c r="GC121" s="198"/>
      <c r="GD121" s="198"/>
      <c r="GE121" s="198"/>
      <c r="GF121" s="198"/>
      <c r="GG121" s="198"/>
      <c r="GH121" s="199"/>
      <c r="GI121" s="197"/>
      <c r="GJ121" s="198"/>
      <c r="GK121" s="198"/>
      <c r="GL121" s="198"/>
      <c r="GM121" s="198"/>
      <c r="GN121" s="198"/>
      <c r="GO121" s="199"/>
      <c r="GP121" s="197"/>
      <c r="GQ121" s="198"/>
      <c r="GR121" s="198"/>
      <c r="GS121" s="198"/>
      <c r="GT121" s="198"/>
      <c r="GU121" s="198"/>
      <c r="GV121" s="199"/>
      <c r="GW121" s="197"/>
      <c r="GX121" s="198"/>
      <c r="GY121" s="198"/>
      <c r="GZ121" s="198"/>
      <c r="HA121" s="198"/>
      <c r="HB121" s="198"/>
      <c r="HC121" s="199"/>
      <c r="HD121" s="197"/>
      <c r="HE121" s="198"/>
      <c r="HF121" s="198"/>
      <c r="HG121" s="198"/>
      <c r="HH121" s="198"/>
      <c r="HI121" s="198"/>
      <c r="HJ121" s="199"/>
      <c r="HK121" s="197"/>
      <c r="HL121" s="198"/>
      <c r="HM121" s="198"/>
      <c r="HN121" s="198"/>
      <c r="HO121" s="198"/>
      <c r="HP121" s="198"/>
      <c r="HQ121" s="198"/>
      <c r="HR121" s="197"/>
      <c r="HT121" s="198"/>
      <c r="HU121" s="198"/>
      <c r="HV121" s="198"/>
      <c r="HW121" s="198"/>
      <c r="HX121" s="198"/>
    </row>
    <row r="122" spans="1:233">
      <c r="A122" s="185" t="s">
        <v>497</v>
      </c>
      <c r="B122" s="197"/>
      <c r="C122" s="198"/>
      <c r="D122" s="198"/>
      <c r="E122" s="198"/>
      <c r="F122" s="198"/>
      <c r="G122" s="198"/>
      <c r="H122" s="199"/>
      <c r="I122" s="197"/>
      <c r="J122" s="198"/>
      <c r="K122" s="198"/>
      <c r="L122" s="198"/>
      <c r="M122" s="198"/>
      <c r="N122" s="198"/>
      <c r="O122" s="199"/>
      <c r="P122" s="198"/>
      <c r="Q122" s="198"/>
      <c r="R122" s="198"/>
      <c r="S122" s="198"/>
      <c r="T122" s="198"/>
      <c r="U122" s="198"/>
      <c r="V122" s="199"/>
      <c r="W122" s="198">
        <v>1847.1980000000001</v>
      </c>
      <c r="X122" s="198">
        <v>113.54</v>
      </c>
      <c r="Y122" s="198">
        <v>468.57400000000001</v>
      </c>
      <c r="Z122" s="198">
        <v>81.688999999999993</v>
      </c>
      <c r="AA122" s="198">
        <v>684.17399999999998</v>
      </c>
      <c r="AB122" s="198"/>
      <c r="AC122" s="199">
        <f t="shared" si="1"/>
        <v>499.221</v>
      </c>
      <c r="AD122" s="198">
        <f>[1]datos!$S254</f>
        <v>591.774</v>
      </c>
      <c r="AE122" s="198">
        <v>34.054000000000002</v>
      </c>
      <c r="AF122" s="198">
        <v>129.33600000000001</v>
      </c>
      <c r="AG122" s="198">
        <v>153.09</v>
      </c>
      <c r="AH122" s="198">
        <v>102.461</v>
      </c>
      <c r="AI122" s="198">
        <f>[1]datos!$U254</f>
        <v>58.939</v>
      </c>
      <c r="AJ122" s="198">
        <f>AD122-AE122-AF122-AG122-AH122-AI122</f>
        <v>113.89399999999998</v>
      </c>
      <c r="AK122" s="197"/>
      <c r="AL122" s="198"/>
      <c r="AM122" s="198"/>
      <c r="AN122" s="198"/>
      <c r="AO122" s="198"/>
      <c r="AP122" s="198"/>
      <c r="AQ122" s="199"/>
      <c r="AR122" s="198">
        <v>285782.5233080397</v>
      </c>
      <c r="AS122" s="198">
        <v>63766.603106213457</v>
      </c>
      <c r="AT122" s="198">
        <v>28868.160437141873</v>
      </c>
      <c r="AU122" s="198">
        <v>49683.036182326294</v>
      </c>
      <c r="AV122" s="198">
        <v>35062.664722081565</v>
      </c>
      <c r="AW122" s="198"/>
      <c r="AX122" s="198">
        <v>108402.05886027653</v>
      </c>
      <c r="AY122" s="197"/>
      <c r="AZ122" s="198"/>
      <c r="BA122" s="198"/>
      <c r="BB122" s="198"/>
      <c r="BC122" s="198"/>
      <c r="BD122" s="198"/>
      <c r="BE122" s="198"/>
      <c r="BF122" s="197">
        <v>44954578.530000001</v>
      </c>
      <c r="BG122" s="198"/>
      <c r="BH122" s="198">
        <v>24544791.790000003</v>
      </c>
      <c r="BI122" s="198">
        <v>12254175.819999997</v>
      </c>
      <c r="BJ122" s="198">
        <v>8155610.9199999999</v>
      </c>
      <c r="BK122" s="198">
        <v>0</v>
      </c>
      <c r="BL122" s="198"/>
      <c r="BM122" s="197"/>
      <c r="BN122" s="198"/>
      <c r="BO122" s="198"/>
      <c r="BP122" s="198"/>
      <c r="BQ122" s="198"/>
      <c r="BR122" s="198"/>
      <c r="BS122" s="198"/>
      <c r="BT122" s="197"/>
      <c r="BU122" s="198"/>
      <c r="BV122" s="198"/>
      <c r="BW122" s="198"/>
      <c r="BX122" s="198"/>
      <c r="BY122" s="198"/>
      <c r="BZ122" s="198"/>
      <c r="CA122" s="197"/>
      <c r="CB122" s="198"/>
      <c r="CC122" s="198"/>
      <c r="CD122" s="198"/>
      <c r="CE122" s="198"/>
      <c r="CF122" s="198"/>
      <c r="CG122" s="198"/>
      <c r="CH122" s="197"/>
      <c r="CI122" s="198"/>
      <c r="CJ122" s="198"/>
      <c r="CK122" s="198"/>
      <c r="CL122" s="198"/>
      <c r="CM122" s="198"/>
      <c r="CN122" s="198"/>
      <c r="CO122" s="197"/>
      <c r="CP122" s="198"/>
      <c r="CQ122" s="198"/>
      <c r="CR122" s="198"/>
      <c r="CS122" s="198"/>
      <c r="CT122" s="198"/>
      <c r="CU122" s="198"/>
      <c r="CV122" s="197"/>
      <c r="CW122" s="198"/>
      <c r="CX122" s="198"/>
      <c r="CY122" s="198"/>
      <c r="CZ122" s="198"/>
      <c r="DA122" s="198"/>
      <c r="DB122" s="198"/>
      <c r="DC122" s="197"/>
      <c r="DD122" s="198"/>
      <c r="DE122" s="198"/>
      <c r="DF122" s="198"/>
      <c r="DG122" s="198"/>
      <c r="DH122" s="198"/>
      <c r="DI122" s="198"/>
      <c r="DJ122" s="197"/>
      <c r="DK122" s="198"/>
      <c r="DL122" s="198"/>
      <c r="DM122" s="198"/>
      <c r="DN122" s="198"/>
      <c r="DO122" s="198"/>
      <c r="DP122" s="198"/>
      <c r="DQ122" s="197"/>
      <c r="DR122" s="198"/>
      <c r="DS122" s="198"/>
      <c r="DT122" s="198"/>
      <c r="DU122" s="198"/>
      <c r="DV122" s="198"/>
      <c r="DW122" s="198"/>
      <c r="DX122" s="197"/>
      <c r="DY122" s="198"/>
      <c r="DZ122" s="198"/>
      <c r="EA122" s="198"/>
      <c r="EB122" s="198"/>
      <c r="EC122" s="198"/>
      <c r="ED122" s="198"/>
      <c r="EE122" s="197"/>
      <c r="EF122" s="198"/>
      <c r="EG122" s="198"/>
      <c r="EH122" s="198"/>
      <c r="EI122" s="198"/>
      <c r="EJ122" s="198"/>
      <c r="EK122" s="198"/>
      <c r="EL122" s="197"/>
      <c r="EM122" s="198"/>
      <c r="EN122" s="198"/>
      <c r="EO122" s="198"/>
      <c r="EP122" s="198"/>
      <c r="EQ122" s="198"/>
      <c r="ER122" s="198"/>
      <c r="ES122" s="197"/>
      <c r="ET122" s="198"/>
      <c r="EU122" s="198"/>
      <c r="EV122" s="198"/>
      <c r="EW122" s="198"/>
      <c r="EX122" s="198"/>
      <c r="EY122" s="198"/>
      <c r="EZ122" s="197"/>
      <c r="FA122" s="198"/>
      <c r="FB122" s="198"/>
      <c r="FC122" s="198"/>
      <c r="FD122" s="198"/>
      <c r="FE122" s="198"/>
      <c r="FF122" s="198"/>
      <c r="FG122" s="197"/>
      <c r="FH122" s="198"/>
      <c r="FI122" s="198"/>
      <c r="FJ122" s="198"/>
      <c r="FK122" s="198"/>
      <c r="FL122" s="198"/>
      <c r="FM122" s="198"/>
      <c r="FN122" s="197">
        <v>33233861</v>
      </c>
      <c r="FO122" s="198">
        <v>7975269</v>
      </c>
      <c r="FP122" s="198">
        <v>5821323</v>
      </c>
      <c r="FQ122" s="198"/>
      <c r="FR122" s="198"/>
      <c r="FS122" s="198"/>
      <c r="FT122" s="199"/>
      <c r="FU122" s="197"/>
      <c r="FV122" s="198"/>
      <c r="FW122" s="198"/>
      <c r="FX122" s="198"/>
      <c r="FY122" s="198"/>
      <c r="FZ122" s="198"/>
      <c r="GA122" s="199"/>
      <c r="GB122" s="197"/>
      <c r="GC122" s="198"/>
      <c r="GD122" s="198"/>
      <c r="GE122" s="198"/>
      <c r="GF122" s="198"/>
      <c r="GG122" s="198"/>
      <c r="GH122" s="199"/>
      <c r="GI122" s="197"/>
      <c r="GJ122" s="198"/>
      <c r="GK122" s="198"/>
      <c r="GL122" s="198"/>
      <c r="GM122" s="198"/>
      <c r="GN122" s="198"/>
      <c r="GO122" s="199"/>
      <c r="GP122" s="197"/>
      <c r="GQ122" s="198"/>
      <c r="GR122" s="198"/>
      <c r="GS122" s="198"/>
      <c r="GT122" s="198"/>
      <c r="GU122" s="198"/>
      <c r="GV122" s="199"/>
      <c r="GW122" s="197"/>
      <c r="GX122" s="198"/>
      <c r="GY122" s="198"/>
      <c r="GZ122" s="198"/>
      <c r="HA122" s="198"/>
      <c r="HB122" s="198"/>
      <c r="HC122" s="199"/>
      <c r="HD122" s="197">
        <f>'[2]t&amp;t'!W254</f>
        <v>9167.2000000000007</v>
      </c>
      <c r="HE122" s="198">
        <f>'[2]t&amp;t'!X254</f>
        <v>1115</v>
      </c>
      <c r="HF122" s="198">
        <f>'[2]t&amp;t'!Y254</f>
        <v>951.80000000000007</v>
      </c>
      <c r="HG122" s="198">
        <f>'[2]t&amp;t'!Z254</f>
        <v>841.5</v>
      </c>
      <c r="HH122" s="198">
        <f>'[2]t&amp;t'!AA254</f>
        <v>3226.5</v>
      </c>
      <c r="HI122" s="198"/>
      <c r="HJ122" s="199">
        <f>'[2]t&amp;t'!AC254</f>
        <v>3032.4</v>
      </c>
      <c r="HK122" s="197"/>
      <c r="HL122" s="198"/>
      <c r="HM122" s="198"/>
      <c r="HN122" s="198"/>
      <c r="HO122" s="198"/>
      <c r="HP122" s="198"/>
      <c r="HQ122" s="198"/>
      <c r="HR122" s="197"/>
      <c r="HT122" s="198"/>
      <c r="HU122" s="198"/>
      <c r="HV122" s="198"/>
      <c r="HW122" s="198"/>
      <c r="HX122" s="198"/>
    </row>
    <row r="123" spans="1:233">
      <c r="A123" s="185" t="s">
        <v>498</v>
      </c>
      <c r="B123" s="197"/>
      <c r="C123" s="198"/>
      <c r="D123" s="198"/>
      <c r="E123" s="198"/>
      <c r="F123" s="198"/>
      <c r="G123" s="198"/>
      <c r="H123" s="199"/>
      <c r="I123" s="197"/>
      <c r="J123" s="198"/>
      <c r="K123" s="198"/>
      <c r="L123" s="198"/>
      <c r="M123" s="198"/>
      <c r="N123" s="198"/>
      <c r="O123" s="199"/>
      <c r="P123" s="198"/>
      <c r="Q123" s="198"/>
      <c r="R123" s="198"/>
      <c r="S123" s="198"/>
      <c r="T123" s="198"/>
      <c r="U123" s="198"/>
      <c r="V123" s="199"/>
      <c r="W123" s="198">
        <v>1910.16</v>
      </c>
      <c r="X123" s="198">
        <v>113.473</v>
      </c>
      <c r="Y123" s="198">
        <v>469.238</v>
      </c>
      <c r="Z123" s="198">
        <v>85.281000000000006</v>
      </c>
      <c r="AA123" s="198">
        <v>713.44600000000003</v>
      </c>
      <c r="AB123" s="198"/>
      <c r="AC123" s="199">
        <f t="shared" si="1"/>
        <v>528.72200000000009</v>
      </c>
      <c r="AD123" s="198"/>
      <c r="AE123" s="198">
        <v>35.048999999999999</v>
      </c>
      <c r="AF123" s="198">
        <v>130.63199999999998</v>
      </c>
      <c r="AG123" s="198">
        <v>157.79399999999998</v>
      </c>
      <c r="AH123" s="198">
        <v>107.714</v>
      </c>
      <c r="AI123" s="198"/>
      <c r="AJ123" s="198"/>
      <c r="AK123" s="197"/>
      <c r="AL123" s="198"/>
      <c r="AM123" s="198"/>
      <c r="AN123" s="198"/>
      <c r="AO123" s="198"/>
      <c r="AP123" s="198"/>
      <c r="AQ123" s="199"/>
      <c r="AR123" s="198">
        <v>290083.88193807495</v>
      </c>
      <c r="AS123" s="198">
        <v>64437.470880458124</v>
      </c>
      <c r="AT123" s="198">
        <v>29101.126157776678</v>
      </c>
      <c r="AU123" s="198">
        <v>49826.417870620629</v>
      </c>
      <c r="AV123" s="198">
        <v>35795.362833803963</v>
      </c>
      <c r="AW123" s="198"/>
      <c r="AX123" s="198">
        <v>110923.50419541556</v>
      </c>
      <c r="AY123" s="197"/>
      <c r="AZ123" s="198"/>
      <c r="BA123" s="198"/>
      <c r="BB123" s="198"/>
      <c r="BC123" s="198"/>
      <c r="BD123" s="198"/>
      <c r="BE123" s="198"/>
      <c r="BF123" s="197">
        <v>46128357.410000011</v>
      </c>
      <c r="BG123" s="198"/>
      <c r="BH123" s="198">
        <v>25266787.060000006</v>
      </c>
      <c r="BI123" s="198">
        <v>12540919.800000001</v>
      </c>
      <c r="BJ123" s="198">
        <v>8320650.5500000017</v>
      </c>
      <c r="BK123" s="198">
        <v>0</v>
      </c>
      <c r="BL123" s="198"/>
      <c r="BM123" s="197"/>
      <c r="BN123" s="198"/>
      <c r="BO123" s="198"/>
      <c r="BP123" s="198"/>
      <c r="BQ123" s="198"/>
      <c r="BR123" s="198"/>
      <c r="BS123" s="198"/>
      <c r="BT123" s="197"/>
      <c r="BU123" s="198"/>
      <c r="BV123" s="198"/>
      <c r="BW123" s="198"/>
      <c r="BX123" s="198"/>
      <c r="BY123" s="198"/>
      <c r="BZ123" s="198"/>
      <c r="CA123" s="197"/>
      <c r="CB123" s="198"/>
      <c r="CC123" s="198"/>
      <c r="CD123" s="198"/>
      <c r="CE123" s="198"/>
      <c r="CF123" s="198"/>
      <c r="CG123" s="198"/>
      <c r="CH123" s="197"/>
      <c r="CI123" s="198"/>
      <c r="CJ123" s="198"/>
      <c r="CK123" s="198"/>
      <c r="CL123" s="198"/>
      <c r="CM123" s="198"/>
      <c r="CN123" s="198"/>
      <c r="CO123" s="197"/>
      <c r="CP123" s="198"/>
      <c r="CQ123" s="198"/>
      <c r="CR123" s="198"/>
      <c r="CS123" s="198"/>
      <c r="CT123" s="198"/>
      <c r="CU123" s="198"/>
      <c r="CV123" s="197"/>
      <c r="CW123" s="198"/>
      <c r="CX123" s="198"/>
      <c r="CY123" s="198"/>
      <c r="CZ123" s="198"/>
      <c r="DA123" s="198"/>
      <c r="DB123" s="198"/>
      <c r="DC123" s="197"/>
      <c r="DD123" s="198"/>
      <c r="DE123" s="198"/>
      <c r="DF123" s="198"/>
      <c r="DG123" s="198"/>
      <c r="DH123" s="198"/>
      <c r="DI123" s="198"/>
      <c r="DJ123" s="197"/>
      <c r="DK123" s="198"/>
      <c r="DL123" s="198"/>
      <c r="DM123" s="198"/>
      <c r="DN123" s="198"/>
      <c r="DO123" s="198"/>
      <c r="DP123" s="198"/>
      <c r="DQ123" s="197"/>
      <c r="DR123" s="198"/>
      <c r="DS123" s="198"/>
      <c r="DT123" s="198"/>
      <c r="DU123" s="198"/>
      <c r="DV123" s="198"/>
      <c r="DW123" s="198"/>
      <c r="DX123" s="197"/>
      <c r="DY123" s="198"/>
      <c r="DZ123" s="198"/>
      <c r="EA123" s="198"/>
      <c r="EB123" s="198"/>
      <c r="EC123" s="198"/>
      <c r="ED123" s="198"/>
      <c r="EE123" s="197"/>
      <c r="EF123" s="198"/>
      <c r="EG123" s="198"/>
      <c r="EH123" s="198"/>
      <c r="EI123" s="198"/>
      <c r="EJ123" s="198"/>
      <c r="EK123" s="198"/>
      <c r="EL123" s="197"/>
      <c r="EM123" s="198"/>
      <c r="EN123" s="198"/>
      <c r="EO123" s="198"/>
      <c r="EP123" s="198"/>
      <c r="EQ123" s="198"/>
      <c r="ER123" s="198"/>
      <c r="ES123" s="197"/>
      <c r="ET123" s="198"/>
      <c r="EU123" s="198"/>
      <c r="EV123" s="198"/>
      <c r="EW123" s="198"/>
      <c r="EX123" s="198"/>
      <c r="EY123" s="198"/>
      <c r="EZ123" s="197"/>
      <c r="FA123" s="198"/>
      <c r="FB123" s="198"/>
      <c r="FC123" s="198"/>
      <c r="FD123" s="198"/>
      <c r="FE123" s="198"/>
      <c r="FF123" s="198"/>
      <c r="FG123" s="197"/>
      <c r="FH123" s="198"/>
      <c r="FI123" s="198"/>
      <c r="FJ123" s="198"/>
      <c r="FK123" s="198"/>
      <c r="FL123" s="198"/>
      <c r="FM123" s="198"/>
      <c r="FN123" s="197"/>
      <c r="FO123" s="198"/>
      <c r="FP123" s="198"/>
      <c r="FQ123" s="198"/>
      <c r="FR123" s="198"/>
      <c r="FS123" s="198"/>
      <c r="FT123" s="199"/>
      <c r="FU123" s="197"/>
      <c r="FV123" s="198"/>
      <c r="FW123" s="198"/>
      <c r="FX123" s="198"/>
      <c r="FY123" s="198"/>
      <c r="FZ123" s="198"/>
      <c r="GA123" s="199"/>
      <c r="GB123" s="197"/>
      <c r="GC123" s="198"/>
      <c r="GD123" s="198"/>
      <c r="GE123" s="198"/>
      <c r="GF123" s="198"/>
      <c r="GG123" s="198"/>
      <c r="GH123" s="199"/>
      <c r="GI123" s="197"/>
      <c r="GJ123" s="198"/>
      <c r="GK123" s="198"/>
      <c r="GL123" s="198"/>
      <c r="GM123" s="198"/>
      <c r="GN123" s="198"/>
      <c r="GO123" s="199"/>
      <c r="GP123" s="197"/>
      <c r="GQ123" s="198"/>
      <c r="GR123" s="198"/>
      <c r="GS123" s="198"/>
      <c r="GT123" s="198"/>
      <c r="GU123" s="198"/>
      <c r="GV123" s="199"/>
      <c r="GW123" s="197"/>
      <c r="GX123" s="198"/>
      <c r="GY123" s="198"/>
      <c r="GZ123" s="198"/>
      <c r="HA123" s="198"/>
      <c r="HB123" s="198"/>
      <c r="HC123" s="199"/>
      <c r="HD123" s="197"/>
      <c r="HE123" s="198"/>
      <c r="HF123" s="198"/>
      <c r="HG123" s="198"/>
      <c r="HH123" s="198"/>
      <c r="HI123" s="198"/>
      <c r="HJ123" s="199"/>
      <c r="HK123" s="197"/>
      <c r="HL123" s="198"/>
      <c r="HM123" s="198"/>
      <c r="HN123" s="198"/>
      <c r="HO123" s="198"/>
      <c r="HP123" s="198"/>
      <c r="HQ123" s="198"/>
      <c r="HR123" s="197"/>
      <c r="HT123" s="198"/>
      <c r="HU123" s="198"/>
      <c r="HV123" s="198"/>
      <c r="HW123" s="198"/>
      <c r="HX123" s="198"/>
    </row>
    <row r="124" spans="1:233">
      <c r="A124" s="185" t="s">
        <v>499</v>
      </c>
      <c r="B124" s="197"/>
      <c r="C124" s="198"/>
      <c r="D124" s="198"/>
      <c r="E124" s="198"/>
      <c r="F124" s="198"/>
      <c r="G124" s="198"/>
      <c r="H124" s="199"/>
      <c r="I124" s="197"/>
      <c r="J124" s="198"/>
      <c r="K124" s="198"/>
      <c r="L124" s="198"/>
      <c r="M124" s="198"/>
      <c r="N124" s="198"/>
      <c r="O124" s="199"/>
      <c r="P124" s="198"/>
      <c r="Q124" s="198"/>
      <c r="R124" s="198"/>
      <c r="S124" s="198"/>
      <c r="T124" s="198"/>
      <c r="U124" s="198"/>
      <c r="V124" s="199"/>
      <c r="W124" s="198">
        <v>1952.125</v>
      </c>
      <c r="X124" s="198">
        <v>120.64100000000001</v>
      </c>
      <c r="Y124" s="198">
        <v>484.50799999999998</v>
      </c>
      <c r="Z124" s="198">
        <v>87.856999999999999</v>
      </c>
      <c r="AA124" s="198">
        <v>702.31100000000004</v>
      </c>
      <c r="AB124" s="198"/>
      <c r="AC124" s="199">
        <f t="shared" si="1"/>
        <v>556.80799999999988</v>
      </c>
      <c r="AD124" s="198"/>
      <c r="AE124" s="198">
        <v>36.228999999999999</v>
      </c>
      <c r="AF124" s="198">
        <v>130.75200000000001</v>
      </c>
      <c r="AG124" s="198">
        <v>158.64099999999999</v>
      </c>
      <c r="AH124" s="198">
        <v>109.822</v>
      </c>
      <c r="AI124" s="198"/>
      <c r="AJ124" s="198"/>
      <c r="AK124" s="197"/>
      <c r="AL124" s="198"/>
      <c r="AM124" s="198"/>
      <c r="AN124" s="198"/>
      <c r="AO124" s="198"/>
      <c r="AP124" s="198"/>
      <c r="AQ124" s="199"/>
      <c r="AR124" s="198">
        <v>292603.33014309732</v>
      </c>
      <c r="AS124" s="198">
        <v>65394.04709093432</v>
      </c>
      <c r="AT124" s="198">
        <v>29089.204491696444</v>
      </c>
      <c r="AU124" s="198">
        <v>49933.611693966661</v>
      </c>
      <c r="AV124" s="198">
        <v>35546.953004463154</v>
      </c>
      <c r="AW124" s="198"/>
      <c r="AX124" s="198">
        <v>112639.51386203674</v>
      </c>
      <c r="AY124" s="197"/>
      <c r="AZ124" s="198"/>
      <c r="BA124" s="198"/>
      <c r="BB124" s="198"/>
      <c r="BC124" s="198"/>
      <c r="BD124" s="198"/>
      <c r="BE124" s="198"/>
      <c r="BF124" s="197">
        <v>47316906.700000003</v>
      </c>
      <c r="BG124" s="198"/>
      <c r="BH124" s="198">
        <v>25912839.919999998</v>
      </c>
      <c r="BI124" s="198">
        <v>12853508.199999999</v>
      </c>
      <c r="BJ124" s="198">
        <v>8550558.5800000001</v>
      </c>
      <c r="BK124" s="198">
        <v>0</v>
      </c>
      <c r="BL124" s="198"/>
      <c r="BM124" s="197"/>
      <c r="BN124" s="198"/>
      <c r="BO124" s="198"/>
      <c r="BP124" s="198"/>
      <c r="BQ124" s="198"/>
      <c r="BR124" s="198"/>
      <c r="BS124" s="198"/>
      <c r="BT124" s="197"/>
      <c r="BU124" s="198"/>
      <c r="BV124" s="198"/>
      <c r="BW124" s="198"/>
      <c r="BX124" s="198"/>
      <c r="BY124" s="198"/>
      <c r="BZ124" s="198"/>
      <c r="CA124" s="197"/>
      <c r="CB124" s="198"/>
      <c r="CC124" s="198"/>
      <c r="CD124" s="198"/>
      <c r="CE124" s="198"/>
      <c r="CF124" s="198"/>
      <c r="CG124" s="198"/>
      <c r="CH124" s="197"/>
      <c r="CI124" s="198"/>
      <c r="CJ124" s="198"/>
      <c r="CK124" s="198"/>
      <c r="CL124" s="198"/>
      <c r="CM124" s="198"/>
      <c r="CN124" s="198"/>
      <c r="CO124" s="197"/>
      <c r="CP124" s="198"/>
      <c r="CQ124" s="198"/>
      <c r="CR124" s="198"/>
      <c r="CS124" s="198"/>
      <c r="CT124" s="198"/>
      <c r="CU124" s="198"/>
      <c r="CV124" s="197"/>
      <c r="CW124" s="198"/>
      <c r="CX124" s="198"/>
      <c r="CY124" s="198"/>
      <c r="CZ124" s="198"/>
      <c r="DA124" s="198"/>
      <c r="DB124" s="198"/>
      <c r="DC124" s="197"/>
      <c r="DD124" s="198"/>
      <c r="DE124" s="198"/>
      <c r="DF124" s="198"/>
      <c r="DG124" s="198"/>
      <c r="DH124" s="198"/>
      <c r="DI124" s="198"/>
      <c r="DJ124" s="197"/>
      <c r="DK124" s="198"/>
      <c r="DL124" s="198"/>
      <c r="DM124" s="198"/>
      <c r="DN124" s="198"/>
      <c r="DO124" s="198"/>
      <c r="DP124" s="198"/>
      <c r="DQ124" s="197"/>
      <c r="DR124" s="198"/>
      <c r="DS124" s="198"/>
      <c r="DT124" s="198"/>
      <c r="DU124" s="198"/>
      <c r="DV124" s="198"/>
      <c r="DW124" s="198"/>
      <c r="DX124" s="197"/>
      <c r="DY124" s="198"/>
      <c r="DZ124" s="198"/>
      <c r="EA124" s="198"/>
      <c r="EB124" s="198"/>
      <c r="EC124" s="198"/>
      <c r="ED124" s="198"/>
      <c r="EE124" s="197"/>
      <c r="EF124" s="198"/>
      <c r="EG124" s="198"/>
      <c r="EH124" s="198"/>
      <c r="EI124" s="198"/>
      <c r="EJ124" s="198"/>
      <c r="EK124" s="198"/>
      <c r="EL124" s="197"/>
      <c r="EM124" s="198"/>
      <c r="EN124" s="198"/>
      <c r="EO124" s="198"/>
      <c r="EP124" s="198"/>
      <c r="EQ124" s="198"/>
      <c r="ER124" s="198"/>
      <c r="ES124" s="197"/>
      <c r="ET124" s="198"/>
      <c r="EU124" s="198"/>
      <c r="EV124" s="198"/>
      <c r="EW124" s="198"/>
      <c r="EX124" s="198"/>
      <c r="EY124" s="198"/>
      <c r="EZ124" s="197"/>
      <c r="FA124" s="198"/>
      <c r="FB124" s="198"/>
      <c r="FC124" s="198"/>
      <c r="FD124" s="198"/>
      <c r="FE124" s="198"/>
      <c r="FF124" s="198"/>
      <c r="FG124" s="197"/>
      <c r="FH124" s="198"/>
      <c r="FI124" s="198"/>
      <c r="FJ124" s="198"/>
      <c r="FK124" s="198"/>
      <c r="FL124" s="198"/>
      <c r="FM124" s="198"/>
      <c r="FN124" s="197"/>
      <c r="FO124" s="198"/>
      <c r="FP124" s="198"/>
      <c r="FQ124" s="198"/>
      <c r="FR124" s="198"/>
      <c r="FS124" s="198"/>
      <c r="FT124" s="199"/>
      <c r="FU124" s="197"/>
      <c r="FV124" s="198"/>
      <c r="FW124" s="198"/>
      <c r="FX124" s="198"/>
      <c r="FY124" s="198"/>
      <c r="FZ124" s="198"/>
      <c r="GA124" s="199"/>
      <c r="GB124" s="197"/>
      <c r="GC124" s="198"/>
      <c r="GD124" s="198"/>
      <c r="GE124" s="198"/>
      <c r="GF124" s="198"/>
      <c r="GG124" s="198"/>
      <c r="GH124" s="199"/>
      <c r="GI124" s="197"/>
      <c r="GJ124" s="198"/>
      <c r="GK124" s="198"/>
      <c r="GL124" s="198"/>
      <c r="GM124" s="198"/>
      <c r="GN124" s="198"/>
      <c r="GO124" s="199"/>
      <c r="GP124" s="197"/>
      <c r="GQ124" s="198"/>
      <c r="GR124" s="198"/>
      <c r="GS124" s="198"/>
      <c r="GT124" s="198"/>
      <c r="GU124" s="198"/>
      <c r="GV124" s="199"/>
      <c r="GW124" s="197"/>
      <c r="GX124" s="198"/>
      <c r="GY124" s="198"/>
      <c r="GZ124" s="198"/>
      <c r="HA124" s="198"/>
      <c r="HB124" s="198"/>
      <c r="HC124" s="199"/>
      <c r="HD124" s="197"/>
      <c r="HE124" s="198"/>
      <c r="HF124" s="198"/>
      <c r="HG124" s="198"/>
      <c r="HH124" s="198"/>
      <c r="HI124" s="198"/>
      <c r="HJ124" s="199"/>
      <c r="HK124" s="197"/>
      <c r="HL124" s="198"/>
      <c r="HM124" s="198"/>
      <c r="HN124" s="198"/>
      <c r="HO124" s="198"/>
      <c r="HP124" s="198"/>
      <c r="HQ124" s="198"/>
      <c r="HR124" s="197"/>
      <c r="HT124" s="198"/>
      <c r="HU124" s="198"/>
      <c r="HV124" s="198"/>
      <c r="HW124" s="198"/>
      <c r="HX124" s="198"/>
    </row>
    <row r="125" spans="1:233">
      <c r="A125" s="202" t="s">
        <v>500</v>
      </c>
      <c r="B125" s="203">
        <v>1230.7560000000001</v>
      </c>
      <c r="C125" s="204">
        <v>31.477</v>
      </c>
      <c r="D125" s="204">
        <f>170.742+112.533+23.487</f>
        <v>306.762</v>
      </c>
      <c r="E125" s="204">
        <v>284.56400000000002</v>
      </c>
      <c r="F125" s="204">
        <f>532.383-E125</f>
        <v>247.81900000000002</v>
      </c>
      <c r="G125" s="204"/>
      <c r="H125" s="205">
        <f>B125-C125-D125-E125-F125</f>
        <v>360.13399999999996</v>
      </c>
      <c r="I125" s="203"/>
      <c r="J125" s="204"/>
      <c r="K125" s="204"/>
      <c r="L125" s="204"/>
      <c r="M125" s="204"/>
      <c r="N125" s="204"/>
      <c r="O125" s="205"/>
      <c r="P125" s="204">
        <v>2714.1370000000002</v>
      </c>
      <c r="Q125" s="204">
        <v>47.862000000000002</v>
      </c>
      <c r="R125" s="204">
        <v>369.44299999999998</v>
      </c>
      <c r="S125" s="204">
        <v>161.708</v>
      </c>
      <c r="T125" s="204">
        <v>1691.271</v>
      </c>
      <c r="U125" s="204"/>
      <c r="V125" s="205">
        <f>P125-Q125-R125-S125-T125</f>
        <v>443.85300000000029</v>
      </c>
      <c r="W125" s="204">
        <v>1978.2539999999999</v>
      </c>
      <c r="X125" s="204">
        <v>109.008</v>
      </c>
      <c r="Y125" s="204">
        <v>476.10699999999997</v>
      </c>
      <c r="Z125" s="204">
        <v>91.248000000000005</v>
      </c>
      <c r="AA125" s="204">
        <v>732.49699999999996</v>
      </c>
      <c r="AB125" s="204"/>
      <c r="AC125" s="205">
        <f t="shared" si="1"/>
        <v>569.39399999999989</v>
      </c>
      <c r="AD125" s="204">
        <f>[1]datos!$S257</f>
        <v>608.52099999999996</v>
      </c>
      <c r="AE125" s="204">
        <v>41.514000000000003</v>
      </c>
      <c r="AF125" s="204">
        <v>126.92</v>
      </c>
      <c r="AG125" s="204">
        <v>156.30099999999999</v>
      </c>
      <c r="AH125" s="204">
        <v>114.13200000000001</v>
      </c>
      <c r="AI125" s="204">
        <f>[1]datos!$U257</f>
        <v>61.194000000000003</v>
      </c>
      <c r="AJ125" s="204">
        <f>AD125-AE125-AF125-AG125-AH125-AI125</f>
        <v>108.45999999999994</v>
      </c>
      <c r="AK125" s="203"/>
      <c r="AL125" s="204"/>
      <c r="AM125" s="204"/>
      <c r="AN125" s="204"/>
      <c r="AO125" s="204"/>
      <c r="AP125" s="204"/>
      <c r="AQ125" s="205"/>
      <c r="AR125" s="204">
        <v>259689.10481572719</v>
      </c>
      <c r="AS125" s="204">
        <v>67094.091221725306</v>
      </c>
      <c r="AT125" s="204">
        <v>28983.791051068423</v>
      </c>
      <c r="AU125" s="204">
        <v>50075.535340966075</v>
      </c>
      <c r="AV125" s="204">
        <v>35049.461325204669</v>
      </c>
      <c r="AW125" s="204"/>
      <c r="AX125" s="204">
        <v>78486.225876762706</v>
      </c>
      <c r="AY125" s="203"/>
      <c r="AZ125" s="204"/>
      <c r="BA125" s="204"/>
      <c r="BB125" s="204"/>
      <c r="BC125" s="204"/>
      <c r="BD125" s="204"/>
      <c r="BE125" s="204"/>
      <c r="BF125" s="203">
        <v>48385696.009999998</v>
      </c>
      <c r="BG125" s="204"/>
      <c r="BH125" s="204">
        <v>26517463.539999995</v>
      </c>
      <c r="BI125" s="204">
        <v>13219207.430000003</v>
      </c>
      <c r="BJ125" s="204">
        <v>8649025.040000001</v>
      </c>
      <c r="BK125" s="204">
        <v>0</v>
      </c>
      <c r="BL125" s="204"/>
      <c r="BM125" s="203"/>
      <c r="BN125" s="204"/>
      <c r="BO125" s="204"/>
      <c r="BP125" s="204"/>
      <c r="BQ125" s="204"/>
      <c r="BR125" s="204"/>
      <c r="BS125" s="204"/>
      <c r="BT125" s="203"/>
      <c r="BU125" s="204"/>
      <c r="BV125" s="204"/>
      <c r="BW125" s="204"/>
      <c r="BX125" s="204"/>
      <c r="BY125" s="204"/>
      <c r="BZ125" s="204"/>
      <c r="CA125" s="203">
        <v>486.46300000000002</v>
      </c>
      <c r="CB125" s="204">
        <v>35.393999999999998</v>
      </c>
      <c r="CC125" s="204">
        <f>82.436+16.774+3.053</f>
        <v>102.26300000000001</v>
      </c>
      <c r="CD125" s="204">
        <v>113.59399999999999</v>
      </c>
      <c r="CE125" s="204">
        <f>176.423-CD125</f>
        <v>62.829000000000008</v>
      </c>
      <c r="CF125" s="204"/>
      <c r="CG125" s="204">
        <f>CA125-CB125-CC125-CD125-CE125</f>
        <v>172.38300000000004</v>
      </c>
      <c r="CH125" s="203"/>
      <c r="CI125" s="204"/>
      <c r="CJ125" s="204"/>
      <c r="CK125" s="204"/>
      <c r="CL125" s="204"/>
      <c r="CM125" s="204"/>
      <c r="CN125" s="204"/>
      <c r="CO125" s="203"/>
      <c r="CP125" s="204"/>
      <c r="CQ125" s="204"/>
      <c r="CR125" s="204"/>
      <c r="CS125" s="204"/>
      <c r="CT125" s="204"/>
      <c r="CU125" s="204"/>
      <c r="CV125" s="203">
        <v>687.66600000000005</v>
      </c>
      <c r="CW125" s="204">
        <v>30.071000000000002</v>
      </c>
      <c r="CX125" s="204">
        <f>92.075+59.636+11.402</f>
        <v>163.113</v>
      </c>
      <c r="CY125" s="204">
        <v>191.755</v>
      </c>
      <c r="CZ125" s="204">
        <f>307.124-CY125</f>
        <v>115.36900000000003</v>
      </c>
      <c r="DA125" s="204"/>
      <c r="DB125" s="204">
        <f>CV125-CW125-CX125-CY125-CZ125</f>
        <v>187.358</v>
      </c>
      <c r="DC125" s="203"/>
      <c r="DD125" s="204"/>
      <c r="DE125" s="204"/>
      <c r="DF125" s="204"/>
      <c r="DG125" s="204"/>
      <c r="DH125" s="204"/>
      <c r="DI125" s="204"/>
      <c r="DJ125" s="203">
        <f>233.2+43029.1</f>
        <v>43262.299999999996</v>
      </c>
      <c r="DK125" s="204">
        <f>102.4+12642.2</f>
        <v>12744.6</v>
      </c>
      <c r="DL125" s="204">
        <f>1.6+7636.7+962</f>
        <v>8600.2999999999993</v>
      </c>
      <c r="DM125" s="204">
        <v>2469.3000000000002</v>
      </c>
      <c r="DN125" s="204">
        <f>8768.6-DM125</f>
        <v>6299.3</v>
      </c>
      <c r="DO125" s="204"/>
      <c r="DP125" s="204">
        <f>DJ125-DK125-DL125-DM125</f>
        <v>19448.099999999999</v>
      </c>
      <c r="DQ125" s="203"/>
      <c r="DR125" s="204"/>
      <c r="DS125" s="204"/>
      <c r="DT125" s="204"/>
      <c r="DU125" s="204"/>
      <c r="DV125" s="204"/>
      <c r="DW125" s="204"/>
      <c r="DX125" s="203"/>
      <c r="DY125" s="204"/>
      <c r="DZ125" s="204"/>
      <c r="EA125" s="204"/>
      <c r="EB125" s="204"/>
      <c r="EC125" s="204"/>
      <c r="ED125" s="204"/>
      <c r="EE125" s="203">
        <v>59342.120999999999</v>
      </c>
      <c r="EF125" s="204">
        <v>5898.6</v>
      </c>
      <c r="EG125" s="204">
        <v>8301.8230000000003</v>
      </c>
      <c r="EH125" s="204">
        <v>4070.143</v>
      </c>
      <c r="EI125" s="204">
        <v>11525.763999999999</v>
      </c>
      <c r="EJ125" s="204"/>
      <c r="EK125" s="205">
        <f>EE125-EF125-EG125-EH125-EI125</f>
        <v>29545.791000000008</v>
      </c>
      <c r="EL125" s="203"/>
      <c r="EM125" s="204"/>
      <c r="EN125" s="204"/>
      <c r="EO125" s="204"/>
      <c r="EP125" s="204"/>
      <c r="EQ125" s="204"/>
      <c r="ER125" s="205"/>
      <c r="ES125" s="203">
        <v>7146.7488325000004</v>
      </c>
      <c r="ET125" s="204">
        <v>1250.6657091699999</v>
      </c>
      <c r="EU125" s="204">
        <v>1368.2941000000001</v>
      </c>
      <c r="EV125" s="204">
        <v>38.755621050000002</v>
      </c>
      <c r="EW125" s="204">
        <v>1386.2205022799999</v>
      </c>
      <c r="EX125" s="204"/>
      <c r="EY125" s="205">
        <f>ES125-ET125-EU125-EV125-EW125</f>
        <v>3102.8129000000008</v>
      </c>
      <c r="EZ125" s="203"/>
      <c r="FA125" s="204"/>
      <c r="FB125" s="204"/>
      <c r="FC125" s="204"/>
      <c r="FD125" s="204"/>
      <c r="FE125" s="204"/>
      <c r="FF125" s="204"/>
      <c r="FG125" s="203"/>
      <c r="FH125" s="204"/>
      <c r="FI125" s="204"/>
      <c r="FJ125" s="204"/>
      <c r="FK125" s="204"/>
      <c r="FL125" s="204"/>
      <c r="FM125" s="204"/>
      <c r="FN125" s="203">
        <v>36249923</v>
      </c>
      <c r="FO125" s="204">
        <v>8320758</v>
      </c>
      <c r="FP125" s="204">
        <v>6123953</v>
      </c>
      <c r="FQ125" s="204"/>
      <c r="FR125" s="204"/>
      <c r="FS125" s="204"/>
      <c r="FT125" s="205"/>
      <c r="FU125" s="203"/>
      <c r="FV125" s="204"/>
      <c r="FW125" s="204"/>
      <c r="FX125" s="204"/>
      <c r="FY125" s="204"/>
      <c r="FZ125" s="204"/>
      <c r="GA125" s="205"/>
      <c r="GB125" s="203">
        <v>743.82299999999998</v>
      </c>
      <c r="GC125" s="204">
        <v>23.244</v>
      </c>
      <c r="GD125" s="204">
        <f>102.92+45.026+6.457</f>
        <v>154.40299999999999</v>
      </c>
      <c r="GE125" s="204">
        <v>175.65</v>
      </c>
      <c r="GF125" s="204">
        <f>271.951-GE125</f>
        <v>96.301000000000016</v>
      </c>
      <c r="GG125" s="204"/>
      <c r="GH125" s="205">
        <f>GB125-GC125-GD125-GE125-GF125</f>
        <v>294.22499999999991</v>
      </c>
      <c r="GI125" s="203">
        <v>542.71799999999996</v>
      </c>
      <c r="GJ125" s="204">
        <v>24.785</v>
      </c>
      <c r="GK125" s="204">
        <f>65.998+27.494+5.565</f>
        <v>99.057000000000002</v>
      </c>
      <c r="GL125" s="204">
        <v>162.17099999999999</v>
      </c>
      <c r="GM125" s="204">
        <f>262.832-GL125</f>
        <v>100.661</v>
      </c>
      <c r="GN125" s="204"/>
      <c r="GO125" s="205">
        <f>GI125-GJ125-GK125-GL125-GM125</f>
        <v>156.04399999999998</v>
      </c>
      <c r="GP125" s="203">
        <v>1307.1859999999999</v>
      </c>
      <c r="GQ125" s="204">
        <v>50.996000000000002</v>
      </c>
      <c r="GR125" s="204">
        <f>180.79+125.194+8.955</f>
        <v>314.93899999999996</v>
      </c>
      <c r="GS125" s="204">
        <v>280.51799999999997</v>
      </c>
      <c r="GT125" s="204">
        <f>612.214-GS125</f>
        <v>331.69600000000008</v>
      </c>
      <c r="GU125" s="204"/>
      <c r="GV125" s="205">
        <f>GP125-GQ125-GR125-GS125-GT125</f>
        <v>329.03699999999986</v>
      </c>
      <c r="GW125" s="203"/>
      <c r="GX125" s="204"/>
      <c r="GY125" s="204"/>
      <c r="GZ125" s="204"/>
      <c r="HA125" s="204"/>
      <c r="HB125" s="204"/>
      <c r="HC125" s="205"/>
      <c r="HD125" s="203">
        <f>'[2]t&amp;t'!W257</f>
        <v>10007.900000000001</v>
      </c>
      <c r="HE125" s="204">
        <f>'[2]t&amp;t'!X257</f>
        <v>1135.5999999999999</v>
      </c>
      <c r="HF125" s="204">
        <f>'[2]t&amp;t'!Y257</f>
        <v>939.6</v>
      </c>
      <c r="HG125" s="204">
        <f>'[2]t&amp;t'!Z257</f>
        <v>849.2</v>
      </c>
      <c r="HH125" s="204">
        <f>'[2]t&amp;t'!AA257</f>
        <v>3774.3</v>
      </c>
      <c r="HI125" s="204"/>
      <c r="HJ125" s="205">
        <f>'[2]t&amp;t'!AC257</f>
        <v>3309.2000000000007</v>
      </c>
      <c r="HK125" s="203"/>
      <c r="HL125" s="204"/>
      <c r="HM125" s="204"/>
      <c r="HN125" s="204"/>
      <c r="HO125" s="204"/>
      <c r="HP125" s="204"/>
      <c r="HQ125" s="204"/>
      <c r="HR125" s="197"/>
      <c r="HS125" s="206"/>
      <c r="HT125" s="204"/>
      <c r="HU125" s="204"/>
      <c r="HV125" s="204"/>
      <c r="HW125" s="204"/>
      <c r="HX125" s="204"/>
      <c r="HY125" s="198"/>
    </row>
    <row r="126" spans="1:233">
      <c r="A126" s="185" t="s">
        <v>665</v>
      </c>
      <c r="B126" s="197"/>
      <c r="C126" s="198"/>
      <c r="D126" s="198"/>
      <c r="E126" s="198"/>
      <c r="F126" s="198"/>
      <c r="G126" s="198"/>
      <c r="H126" s="199"/>
      <c r="I126" s="197"/>
      <c r="J126" s="198"/>
      <c r="K126" s="198"/>
      <c r="L126" s="198"/>
      <c r="M126" s="198"/>
      <c r="N126" s="198"/>
      <c r="O126" s="199"/>
      <c r="P126" s="198"/>
      <c r="Q126" s="198"/>
      <c r="R126" s="198"/>
      <c r="S126" s="198"/>
      <c r="T126" s="198"/>
      <c r="U126" s="198"/>
      <c r="V126" s="199"/>
      <c r="W126" s="198">
        <v>1975.106</v>
      </c>
      <c r="X126" s="198">
        <v>107.27500000000001</v>
      </c>
      <c r="Y126" s="198">
        <v>457.291</v>
      </c>
      <c r="Z126" s="198">
        <v>97.257999999999996</v>
      </c>
      <c r="AA126" s="198">
        <v>739.99699999999996</v>
      </c>
      <c r="AB126" s="198"/>
      <c r="AC126" s="199">
        <f t="shared" si="1"/>
        <v>573.28499999999997</v>
      </c>
      <c r="AD126" s="198"/>
      <c r="AE126" s="198">
        <v>40.195</v>
      </c>
      <c r="AF126" s="198">
        <v>130.541</v>
      </c>
      <c r="AG126" s="198">
        <v>157.75800000000001</v>
      </c>
      <c r="AH126" s="198">
        <v>113.283</v>
      </c>
      <c r="AI126" s="198"/>
      <c r="AJ126" s="198"/>
      <c r="AK126" s="197"/>
      <c r="AL126" s="198"/>
      <c r="AM126" s="198"/>
      <c r="AN126" s="198"/>
      <c r="AO126" s="198"/>
      <c r="AP126" s="198"/>
      <c r="AQ126" s="199"/>
      <c r="AR126" s="198">
        <v>259246.51195358991</v>
      </c>
      <c r="AS126" s="198">
        <v>67250.001165768699</v>
      </c>
      <c r="AT126" s="198">
        <v>28141.664546109016</v>
      </c>
      <c r="AU126" s="198">
        <v>50390.006575166728</v>
      </c>
      <c r="AV126" s="198">
        <v>35296.888556294121</v>
      </c>
      <c r="AW126" s="198"/>
      <c r="AX126" s="198">
        <v>78167.951110251335</v>
      </c>
      <c r="AY126" s="197"/>
      <c r="AZ126" s="198"/>
      <c r="BA126" s="198"/>
      <c r="BB126" s="198"/>
      <c r="BC126" s="198"/>
      <c r="BD126" s="198"/>
      <c r="BE126" s="198"/>
      <c r="BF126" s="197">
        <v>49176744.869999997</v>
      </c>
      <c r="BG126" s="198"/>
      <c r="BH126" s="198">
        <v>26648577.029999997</v>
      </c>
      <c r="BI126" s="198">
        <v>13521611.719999999</v>
      </c>
      <c r="BJ126" s="198">
        <v>9006556.120000001</v>
      </c>
      <c r="BK126" s="198">
        <v>0</v>
      </c>
      <c r="BL126" s="198"/>
      <c r="BM126" s="197"/>
      <c r="BN126" s="198"/>
      <c r="BO126" s="198"/>
      <c r="BP126" s="198"/>
      <c r="BQ126" s="198"/>
      <c r="BR126" s="198"/>
      <c r="BS126" s="198"/>
      <c r="BT126" s="197"/>
      <c r="BU126" s="198"/>
      <c r="BV126" s="198"/>
      <c r="BW126" s="198"/>
      <c r="BX126" s="198"/>
      <c r="BY126" s="198"/>
      <c r="BZ126" s="198"/>
      <c r="CA126" s="197"/>
      <c r="CB126" s="198"/>
      <c r="CC126" s="198"/>
      <c r="CD126" s="198"/>
      <c r="CE126" s="198"/>
      <c r="CF126" s="198"/>
      <c r="CG126" s="198"/>
      <c r="CH126" s="197"/>
      <c r="CI126" s="198"/>
      <c r="CJ126" s="198"/>
      <c r="CK126" s="198"/>
      <c r="CL126" s="198"/>
      <c r="CM126" s="198"/>
      <c r="CN126" s="198"/>
      <c r="CO126" s="197"/>
      <c r="CP126" s="198"/>
      <c r="CQ126" s="198"/>
      <c r="CR126" s="198"/>
      <c r="CS126" s="198"/>
      <c r="CT126" s="198"/>
      <c r="CU126" s="198"/>
      <c r="CV126" s="197"/>
      <c r="CW126" s="198"/>
      <c r="CX126" s="198"/>
      <c r="CY126" s="198"/>
      <c r="CZ126" s="198"/>
      <c r="DA126" s="198"/>
      <c r="DB126" s="198"/>
      <c r="DC126" s="197"/>
      <c r="DD126" s="198"/>
      <c r="DE126" s="198"/>
      <c r="DF126" s="198"/>
      <c r="DG126" s="198"/>
      <c r="DH126" s="198"/>
      <c r="DI126" s="198"/>
      <c r="DJ126" s="197"/>
      <c r="DK126" s="198"/>
      <c r="DL126" s="198"/>
      <c r="DM126" s="198"/>
      <c r="DN126" s="198"/>
      <c r="DO126" s="198"/>
      <c r="DP126" s="198"/>
      <c r="DQ126" s="197"/>
      <c r="DR126" s="198"/>
      <c r="DS126" s="198"/>
      <c r="DT126" s="198"/>
      <c r="DU126" s="198"/>
      <c r="DV126" s="198"/>
      <c r="DW126" s="198"/>
      <c r="DX126" s="197"/>
      <c r="DY126" s="198"/>
      <c r="DZ126" s="198"/>
      <c r="EA126" s="198"/>
      <c r="EB126" s="198"/>
      <c r="EC126" s="198"/>
      <c r="ED126" s="198"/>
      <c r="EE126" s="207"/>
      <c r="EL126" s="207"/>
      <c r="ES126" s="207"/>
      <c r="EZ126" s="197"/>
      <c r="FA126" s="198"/>
      <c r="FB126" s="198"/>
      <c r="FC126" s="198"/>
      <c r="FD126" s="198"/>
      <c r="FE126" s="198"/>
      <c r="FF126" s="198"/>
      <c r="FG126" s="197"/>
      <c r="FH126" s="198"/>
      <c r="FI126" s="198"/>
      <c r="FJ126" s="198"/>
      <c r="FK126" s="198"/>
      <c r="FL126" s="198"/>
      <c r="FM126" s="198"/>
      <c r="FN126" s="197">
        <v>36402305</v>
      </c>
      <c r="FO126" s="198">
        <v>8152761</v>
      </c>
      <c r="FP126" s="198">
        <v>6067904</v>
      </c>
      <c r="FQ126" s="198"/>
      <c r="FR126" s="198"/>
      <c r="FS126" s="198"/>
      <c r="FT126" s="199"/>
      <c r="FU126" s="197"/>
      <c r="FV126" s="198"/>
      <c r="FW126" s="198"/>
      <c r="FX126" s="198"/>
      <c r="FY126" s="198"/>
      <c r="FZ126" s="198"/>
      <c r="GA126" s="199"/>
      <c r="GB126" s="197"/>
      <c r="GC126" s="198"/>
      <c r="GD126" s="198"/>
      <c r="GE126" s="198"/>
      <c r="GF126" s="198"/>
      <c r="GG126" s="198"/>
      <c r="GH126" s="199"/>
      <c r="GI126" s="197"/>
      <c r="GJ126" s="198"/>
      <c r="GK126" s="198"/>
      <c r="GL126" s="198"/>
      <c r="GM126" s="198"/>
      <c r="GN126" s="198"/>
      <c r="GO126" s="199"/>
      <c r="GP126" s="197"/>
      <c r="GQ126" s="198"/>
      <c r="GR126" s="198"/>
      <c r="GS126" s="198"/>
      <c r="GT126" s="198"/>
      <c r="GU126" s="198"/>
      <c r="GV126" s="199"/>
      <c r="GW126" s="197"/>
      <c r="GX126" s="198"/>
      <c r="GY126" s="198"/>
      <c r="GZ126" s="198"/>
      <c r="HA126" s="198"/>
      <c r="HB126" s="198"/>
      <c r="HC126" s="199"/>
      <c r="HD126" s="197"/>
      <c r="HE126" s="198"/>
      <c r="HF126" s="198"/>
      <c r="HG126" s="198"/>
      <c r="HH126" s="198"/>
      <c r="HI126" s="198"/>
      <c r="HJ126" s="199"/>
      <c r="HK126" s="197"/>
      <c r="HL126" s="198"/>
      <c r="HM126" s="198"/>
      <c r="HN126" s="198"/>
      <c r="HO126" s="198"/>
      <c r="HP126" s="198"/>
      <c r="HQ126" s="198"/>
      <c r="HR126" s="197"/>
      <c r="HT126" s="201"/>
      <c r="HU126" s="201"/>
      <c r="HV126" s="201"/>
      <c r="HW126" s="201"/>
      <c r="HX126" s="198"/>
    </row>
    <row r="127" spans="1:233">
      <c r="A127" s="185" t="s">
        <v>490</v>
      </c>
      <c r="B127" s="197"/>
      <c r="C127" s="198"/>
      <c r="D127" s="198"/>
      <c r="E127" s="198"/>
      <c r="F127" s="198"/>
      <c r="G127" s="198"/>
      <c r="H127" s="199"/>
      <c r="I127" s="197"/>
      <c r="J127" s="198"/>
      <c r="K127" s="198"/>
      <c r="L127" s="198"/>
      <c r="M127" s="198"/>
      <c r="N127" s="198"/>
      <c r="O127" s="199"/>
      <c r="P127" s="198"/>
      <c r="Q127" s="198"/>
      <c r="R127" s="198"/>
      <c r="S127" s="198"/>
      <c r="T127" s="198"/>
      <c r="U127" s="198"/>
      <c r="V127" s="199"/>
      <c r="W127" s="198">
        <v>2006.2760000000001</v>
      </c>
      <c r="X127" s="198">
        <v>109.505</v>
      </c>
      <c r="Y127" s="198">
        <v>479.65</v>
      </c>
      <c r="Z127" s="198">
        <v>94.707999999999998</v>
      </c>
      <c r="AA127" s="198">
        <v>740.89700000000005</v>
      </c>
      <c r="AB127" s="198"/>
      <c r="AC127" s="199">
        <f t="shared" si="1"/>
        <v>581.51599999999996</v>
      </c>
      <c r="AD127" s="198"/>
      <c r="AE127" s="198">
        <v>33.698</v>
      </c>
      <c r="AF127" s="198">
        <v>128.44499999999999</v>
      </c>
      <c r="AG127" s="198">
        <v>158.036</v>
      </c>
      <c r="AH127" s="198">
        <v>114.402</v>
      </c>
      <c r="AI127" s="198"/>
      <c r="AJ127" s="198"/>
      <c r="AK127" s="197"/>
      <c r="AL127" s="198"/>
      <c r="AM127" s="198"/>
      <c r="AN127" s="198"/>
      <c r="AO127" s="198"/>
      <c r="AP127" s="198"/>
      <c r="AQ127" s="199"/>
      <c r="AR127" s="198">
        <v>264561.22663480317</v>
      </c>
      <c r="AS127" s="198">
        <v>68676.631254770225</v>
      </c>
      <c r="AT127" s="198">
        <v>28439.127446996747</v>
      </c>
      <c r="AU127" s="198">
        <v>50964.945634432581</v>
      </c>
      <c r="AV127" s="198">
        <v>36000.522662902629</v>
      </c>
      <c r="AW127" s="198"/>
      <c r="AX127" s="198">
        <v>80479.99963570101</v>
      </c>
      <c r="AY127" s="197"/>
      <c r="AZ127" s="198"/>
      <c r="BA127" s="198"/>
      <c r="BB127" s="198"/>
      <c r="BC127" s="198"/>
      <c r="BD127" s="198"/>
      <c r="BE127" s="198"/>
      <c r="BF127" s="197">
        <v>49892303.350000001</v>
      </c>
      <c r="BG127" s="198"/>
      <c r="BH127" s="198">
        <v>26886718.590000004</v>
      </c>
      <c r="BI127" s="198">
        <v>13815611.970000001</v>
      </c>
      <c r="BJ127" s="198">
        <v>9189972.790000001</v>
      </c>
      <c r="BK127" s="198">
        <v>0</v>
      </c>
      <c r="BL127" s="198"/>
      <c r="BM127" s="197"/>
      <c r="BN127" s="198"/>
      <c r="BO127" s="198"/>
      <c r="BP127" s="198"/>
      <c r="BQ127" s="198"/>
      <c r="BR127" s="198"/>
      <c r="BS127" s="198"/>
      <c r="BT127" s="197"/>
      <c r="BU127" s="198"/>
      <c r="BV127" s="198"/>
      <c r="BW127" s="198"/>
      <c r="BX127" s="198"/>
      <c r="BY127" s="198"/>
      <c r="BZ127" s="198"/>
      <c r="CA127" s="197"/>
      <c r="CB127" s="198"/>
      <c r="CC127" s="198"/>
      <c r="CD127" s="198"/>
      <c r="CE127" s="198"/>
      <c r="CF127" s="198"/>
      <c r="CG127" s="198"/>
      <c r="CH127" s="197"/>
      <c r="CI127" s="198"/>
      <c r="CJ127" s="198"/>
      <c r="CK127" s="198"/>
      <c r="CL127" s="198"/>
      <c r="CM127" s="198"/>
      <c r="CN127" s="198"/>
      <c r="CO127" s="197"/>
      <c r="CP127" s="198"/>
      <c r="CQ127" s="198"/>
      <c r="CR127" s="198"/>
      <c r="CS127" s="198"/>
      <c r="CT127" s="198"/>
      <c r="CU127" s="198"/>
      <c r="CV127" s="197"/>
      <c r="CW127" s="198"/>
      <c r="CX127" s="198"/>
      <c r="CY127" s="198"/>
      <c r="CZ127" s="198"/>
      <c r="DA127" s="198"/>
      <c r="DB127" s="198"/>
      <c r="DC127" s="197"/>
      <c r="DD127" s="198"/>
      <c r="DE127" s="198"/>
      <c r="DF127" s="198"/>
      <c r="DG127" s="198"/>
      <c r="DH127" s="198"/>
      <c r="DI127" s="198"/>
      <c r="DJ127" s="197"/>
      <c r="DK127" s="198"/>
      <c r="DL127" s="198"/>
      <c r="DM127" s="198"/>
      <c r="DN127" s="198"/>
      <c r="DO127" s="198"/>
      <c r="DP127" s="198"/>
      <c r="DQ127" s="197"/>
      <c r="DR127" s="198"/>
      <c r="DS127" s="198"/>
      <c r="DT127" s="198"/>
      <c r="DU127" s="198"/>
      <c r="DV127" s="198"/>
      <c r="DW127" s="198"/>
      <c r="DX127" s="197"/>
      <c r="DY127" s="198"/>
      <c r="DZ127" s="198"/>
      <c r="EA127" s="198"/>
      <c r="EB127" s="198"/>
      <c r="EC127" s="198"/>
      <c r="ED127" s="198"/>
      <c r="EE127" s="207"/>
      <c r="EL127" s="207"/>
      <c r="ES127" s="207"/>
      <c r="EZ127" s="197"/>
      <c r="FA127" s="198"/>
      <c r="FB127" s="198"/>
      <c r="FC127" s="198"/>
      <c r="FD127" s="198"/>
      <c r="FE127" s="198"/>
      <c r="FF127" s="198"/>
      <c r="FG127" s="197"/>
      <c r="FH127" s="198"/>
      <c r="FI127" s="198"/>
      <c r="FJ127" s="198"/>
      <c r="FK127" s="198"/>
      <c r="FL127" s="198"/>
      <c r="FM127" s="198"/>
      <c r="FN127" s="197">
        <v>37887971</v>
      </c>
      <c r="FO127" s="198">
        <v>8608933</v>
      </c>
      <c r="FP127" s="198">
        <v>6298810</v>
      </c>
      <c r="FQ127" s="198"/>
      <c r="FR127" s="198"/>
      <c r="FS127" s="198"/>
      <c r="FT127" s="199"/>
      <c r="FU127" s="197"/>
      <c r="FV127" s="198"/>
      <c r="FW127" s="198"/>
      <c r="FX127" s="198"/>
      <c r="FY127" s="198"/>
      <c r="FZ127" s="198"/>
      <c r="GA127" s="199"/>
      <c r="GB127" s="197"/>
      <c r="GC127" s="198"/>
      <c r="GD127" s="198"/>
      <c r="GE127" s="198"/>
      <c r="GF127" s="198"/>
      <c r="GG127" s="198"/>
      <c r="GH127" s="199"/>
      <c r="GI127" s="197"/>
      <c r="GJ127" s="198"/>
      <c r="GK127" s="198"/>
      <c r="GL127" s="198"/>
      <c r="GM127" s="198"/>
      <c r="GN127" s="198"/>
      <c r="GO127" s="199"/>
      <c r="GP127" s="197"/>
      <c r="GQ127" s="198"/>
      <c r="GR127" s="198"/>
      <c r="GS127" s="198"/>
      <c r="GT127" s="198"/>
      <c r="GU127" s="198"/>
      <c r="GV127" s="199"/>
      <c r="GW127" s="197"/>
      <c r="GX127" s="198"/>
      <c r="GY127" s="198"/>
      <c r="GZ127" s="198"/>
      <c r="HA127" s="198"/>
      <c r="HB127" s="198"/>
      <c r="HC127" s="199"/>
      <c r="HD127" s="197"/>
      <c r="HE127" s="198"/>
      <c r="HF127" s="198"/>
      <c r="HG127" s="198"/>
      <c r="HH127" s="198"/>
      <c r="HI127" s="198"/>
      <c r="HJ127" s="199"/>
      <c r="HK127" s="197"/>
      <c r="HL127" s="198"/>
      <c r="HM127" s="198"/>
      <c r="HN127" s="198"/>
      <c r="HO127" s="198"/>
      <c r="HP127" s="198"/>
      <c r="HQ127" s="198"/>
      <c r="HR127" s="197"/>
      <c r="HT127" s="198"/>
      <c r="HU127" s="198"/>
      <c r="HV127" s="198"/>
      <c r="HW127" s="198"/>
      <c r="HX127" s="198"/>
    </row>
    <row r="128" spans="1:233">
      <c r="A128" s="185" t="s">
        <v>491</v>
      </c>
      <c r="B128" s="197"/>
      <c r="C128" s="198"/>
      <c r="D128" s="198"/>
      <c r="E128" s="198"/>
      <c r="F128" s="198"/>
      <c r="G128" s="198"/>
      <c r="H128" s="199"/>
      <c r="I128" s="197"/>
      <c r="J128" s="198"/>
      <c r="K128" s="198"/>
      <c r="L128" s="198"/>
      <c r="M128" s="198"/>
      <c r="N128" s="198"/>
      <c r="O128" s="199"/>
      <c r="P128" s="198"/>
      <c r="Q128" s="198"/>
      <c r="R128" s="198"/>
      <c r="S128" s="198"/>
      <c r="T128" s="198"/>
      <c r="U128" s="198"/>
      <c r="V128" s="199"/>
      <c r="W128" s="198">
        <v>2003.9</v>
      </c>
      <c r="X128" s="198">
        <v>109.718</v>
      </c>
      <c r="Y128" s="198">
        <v>474.29199999999997</v>
      </c>
      <c r="Z128" s="198">
        <v>92.164000000000001</v>
      </c>
      <c r="AA128" s="198">
        <v>744.91099999999994</v>
      </c>
      <c r="AB128" s="198"/>
      <c r="AC128" s="199">
        <f t="shared" si="1"/>
        <v>582.81500000000017</v>
      </c>
      <c r="AD128" s="198">
        <f>[1]datos!$S260</f>
        <v>614.90099999999995</v>
      </c>
      <c r="AE128" s="198">
        <v>35.113</v>
      </c>
      <c r="AF128" s="198">
        <v>129.15600000000001</v>
      </c>
      <c r="AG128" s="198">
        <v>158.839</v>
      </c>
      <c r="AH128" s="198">
        <v>114.83</v>
      </c>
      <c r="AI128" s="198">
        <f>[1]datos!$U260</f>
        <v>61.91</v>
      </c>
      <c r="AJ128" s="198">
        <f>AD128-AE128-AF128-AG128-AH128-AI128</f>
        <v>115.05300000000003</v>
      </c>
      <c r="AK128" s="197"/>
      <c r="AL128" s="198"/>
      <c r="AM128" s="198"/>
      <c r="AN128" s="198"/>
      <c r="AO128" s="198"/>
      <c r="AP128" s="198"/>
      <c r="AQ128" s="199"/>
      <c r="AR128" s="198">
        <v>264250.73931483808</v>
      </c>
      <c r="AS128" s="198">
        <v>68703.64714290417</v>
      </c>
      <c r="AT128" s="198">
        <v>27839.947576413426</v>
      </c>
      <c r="AU128" s="198">
        <v>50696.021517370798</v>
      </c>
      <c r="AV128" s="198">
        <v>36037.847044379065</v>
      </c>
      <c r="AW128" s="198"/>
      <c r="AX128" s="198">
        <v>80973.276033770613</v>
      </c>
      <c r="AY128" s="197"/>
      <c r="AZ128" s="198"/>
      <c r="BA128" s="198"/>
      <c r="BB128" s="198"/>
      <c r="BC128" s="198"/>
      <c r="BD128" s="198"/>
      <c r="BE128" s="198"/>
      <c r="BF128" s="197">
        <v>50647094.530000001</v>
      </c>
      <c r="BG128" s="198"/>
      <c r="BH128" s="198">
        <v>27197101.060000002</v>
      </c>
      <c r="BI128" s="198">
        <v>14134847.410000004</v>
      </c>
      <c r="BJ128" s="198">
        <v>9315146.0600000005</v>
      </c>
      <c r="BK128" s="198">
        <v>0</v>
      </c>
      <c r="BL128" s="198"/>
      <c r="BM128" s="197"/>
      <c r="BN128" s="198"/>
      <c r="BO128" s="198"/>
      <c r="BP128" s="198"/>
      <c r="BQ128" s="198"/>
      <c r="BR128" s="198"/>
      <c r="BS128" s="198"/>
      <c r="BT128" s="197"/>
      <c r="BU128" s="198"/>
      <c r="BV128" s="198"/>
      <c r="BW128" s="198"/>
      <c r="BX128" s="198"/>
      <c r="BY128" s="198"/>
      <c r="BZ128" s="198"/>
      <c r="CA128" s="197"/>
      <c r="CB128" s="198"/>
      <c r="CC128" s="198"/>
      <c r="CD128" s="198"/>
      <c r="CE128" s="198"/>
      <c r="CF128" s="198"/>
      <c r="CG128" s="198"/>
      <c r="CH128" s="197"/>
      <c r="CI128" s="198"/>
      <c r="CJ128" s="198"/>
      <c r="CK128" s="198"/>
      <c r="CL128" s="198"/>
      <c r="CM128" s="198"/>
      <c r="CN128" s="198"/>
      <c r="CO128" s="197"/>
      <c r="CP128" s="198"/>
      <c r="CQ128" s="198"/>
      <c r="CR128" s="198"/>
      <c r="CS128" s="198"/>
      <c r="CT128" s="198"/>
      <c r="CU128" s="198"/>
      <c r="CV128" s="197"/>
      <c r="CW128" s="198"/>
      <c r="CX128" s="198"/>
      <c r="CY128" s="198"/>
      <c r="CZ128" s="198"/>
      <c r="DA128" s="198"/>
      <c r="DB128" s="198"/>
      <c r="DC128" s="197"/>
      <c r="DD128" s="198"/>
      <c r="DE128" s="198"/>
      <c r="DF128" s="198"/>
      <c r="DG128" s="198"/>
      <c r="DH128" s="198"/>
      <c r="DI128" s="198"/>
      <c r="DJ128" s="197"/>
      <c r="DK128" s="198"/>
      <c r="DL128" s="198"/>
      <c r="DM128" s="198"/>
      <c r="DN128" s="198"/>
      <c r="DO128" s="198"/>
      <c r="DP128" s="198"/>
      <c r="DQ128" s="197"/>
      <c r="DR128" s="198"/>
      <c r="DS128" s="198"/>
      <c r="DT128" s="198"/>
      <c r="DU128" s="198"/>
      <c r="DV128" s="198"/>
      <c r="DW128" s="198"/>
      <c r="DX128" s="197"/>
      <c r="DY128" s="198"/>
      <c r="DZ128" s="198"/>
      <c r="EA128" s="198"/>
      <c r="EB128" s="198"/>
      <c r="EC128" s="198"/>
      <c r="ED128" s="198"/>
      <c r="EE128" s="207"/>
      <c r="EL128" s="207"/>
      <c r="ES128" s="207"/>
      <c r="EZ128" s="197"/>
      <c r="FA128" s="198"/>
      <c r="FB128" s="198"/>
      <c r="FC128" s="198"/>
      <c r="FD128" s="198"/>
      <c r="FE128" s="198"/>
      <c r="FF128" s="198"/>
      <c r="FG128" s="197"/>
      <c r="FH128" s="198"/>
      <c r="FI128" s="198"/>
      <c r="FJ128" s="198"/>
      <c r="FK128" s="198"/>
      <c r="FL128" s="198"/>
      <c r="FM128" s="198"/>
      <c r="FN128" s="197">
        <v>38245756</v>
      </c>
      <c r="FO128" s="198">
        <v>8748819</v>
      </c>
      <c r="FP128" s="198">
        <v>6489299</v>
      </c>
      <c r="FQ128" s="198"/>
      <c r="FR128" s="198"/>
      <c r="FS128" s="198"/>
      <c r="FT128" s="199"/>
      <c r="FU128" s="197"/>
      <c r="FV128" s="198"/>
      <c r="FW128" s="198"/>
      <c r="FX128" s="198"/>
      <c r="FY128" s="198"/>
      <c r="FZ128" s="198"/>
      <c r="GA128" s="199"/>
      <c r="GB128" s="197"/>
      <c r="GC128" s="198"/>
      <c r="GD128" s="198"/>
      <c r="GE128" s="198"/>
      <c r="GF128" s="198"/>
      <c r="GG128" s="198"/>
      <c r="GH128" s="199"/>
      <c r="GI128" s="197"/>
      <c r="GJ128" s="198"/>
      <c r="GK128" s="198"/>
      <c r="GL128" s="198"/>
      <c r="GM128" s="198"/>
      <c r="GN128" s="198"/>
      <c r="GO128" s="199"/>
      <c r="GP128" s="197"/>
      <c r="GQ128" s="198"/>
      <c r="GR128" s="198"/>
      <c r="GS128" s="198"/>
      <c r="GT128" s="198"/>
      <c r="GU128" s="198"/>
      <c r="GV128" s="199"/>
      <c r="GW128" s="197"/>
      <c r="GX128" s="198"/>
      <c r="GY128" s="198"/>
      <c r="GZ128" s="198"/>
      <c r="HA128" s="198"/>
      <c r="HB128" s="198"/>
      <c r="HC128" s="199"/>
      <c r="HD128" s="197">
        <f>'[2]t&amp;t'!W260</f>
        <v>10026</v>
      </c>
      <c r="HE128" s="198">
        <f>'[2]t&amp;t'!X260</f>
        <v>1315.2</v>
      </c>
      <c r="HF128" s="198">
        <f>'[2]t&amp;t'!Y260</f>
        <v>1066.2</v>
      </c>
      <c r="HG128" s="198">
        <f>'[2]t&amp;t'!Z260</f>
        <v>846.19999999999993</v>
      </c>
      <c r="HH128" s="198">
        <f>'[2]t&amp;t'!AA260</f>
        <v>3706.3</v>
      </c>
      <c r="HI128" s="198"/>
      <c r="HJ128" s="199">
        <f>'[2]t&amp;t'!AC260</f>
        <v>3092.1</v>
      </c>
      <c r="HK128" s="197"/>
      <c r="HL128" s="198"/>
      <c r="HM128" s="198"/>
      <c r="HN128" s="198"/>
      <c r="HO128" s="198"/>
      <c r="HP128" s="198"/>
      <c r="HQ128" s="198"/>
      <c r="HR128" s="197"/>
      <c r="HT128" s="198"/>
      <c r="HU128" s="198"/>
      <c r="HV128" s="198"/>
      <c r="HW128" s="198"/>
      <c r="HX128" s="198"/>
    </row>
    <row r="129" spans="1:233">
      <c r="A129" s="185" t="s">
        <v>492</v>
      </c>
      <c r="B129" s="197"/>
      <c r="C129" s="198"/>
      <c r="D129" s="198"/>
      <c r="E129" s="198"/>
      <c r="F129" s="198"/>
      <c r="G129" s="198"/>
      <c r="H129" s="199"/>
      <c r="I129" s="197"/>
      <c r="J129" s="198"/>
      <c r="K129" s="198"/>
      <c r="L129" s="198"/>
      <c r="M129" s="198"/>
      <c r="N129" s="198"/>
      <c r="O129" s="199"/>
      <c r="P129" s="198"/>
      <c r="Q129" s="198"/>
      <c r="R129" s="198"/>
      <c r="S129" s="198"/>
      <c r="T129" s="198"/>
      <c r="U129" s="198"/>
      <c r="V129" s="199"/>
      <c r="W129" s="198">
        <v>2021.194</v>
      </c>
      <c r="X129" s="198">
        <v>106.622</v>
      </c>
      <c r="Y129" s="198">
        <v>478.58899999999994</v>
      </c>
      <c r="Z129" s="198">
        <v>93.155000000000001</v>
      </c>
      <c r="AA129" s="198">
        <v>759.54600000000005</v>
      </c>
      <c r="AB129" s="198"/>
      <c r="AC129" s="199">
        <f t="shared" si="1"/>
        <v>583.28199999999993</v>
      </c>
      <c r="AD129" s="198"/>
      <c r="AE129" s="198">
        <v>35.384</v>
      </c>
      <c r="AF129" s="198">
        <v>136.11600000000001</v>
      </c>
      <c r="AG129" s="198">
        <v>160.58100000000002</v>
      </c>
      <c r="AH129" s="198">
        <v>117.27</v>
      </c>
      <c r="AI129" s="198"/>
      <c r="AJ129" s="198"/>
      <c r="AK129" s="197"/>
      <c r="AL129" s="198"/>
      <c r="AM129" s="198"/>
      <c r="AN129" s="198"/>
      <c r="AO129" s="198"/>
      <c r="AP129" s="198"/>
      <c r="AQ129" s="199"/>
      <c r="AR129" s="198">
        <v>266187.98186897661</v>
      </c>
      <c r="AS129" s="198">
        <v>69430.534414933369</v>
      </c>
      <c r="AT129" s="198">
        <v>27929.532750735649</v>
      </c>
      <c r="AU129" s="198">
        <v>50628.637539197545</v>
      </c>
      <c r="AV129" s="198">
        <v>36573.093032496763</v>
      </c>
      <c r="AW129" s="198"/>
      <c r="AX129" s="198">
        <v>81626.184131613307</v>
      </c>
      <c r="AY129" s="197"/>
      <c r="AZ129" s="198"/>
      <c r="BA129" s="198"/>
      <c r="BB129" s="198"/>
      <c r="BC129" s="198"/>
      <c r="BD129" s="198"/>
      <c r="BE129" s="198"/>
      <c r="BF129" s="197">
        <v>51509366.520000011</v>
      </c>
      <c r="BG129" s="198"/>
      <c r="BH129" s="198">
        <v>27582396.690000005</v>
      </c>
      <c r="BI129" s="198">
        <v>14437395.59</v>
      </c>
      <c r="BJ129" s="198">
        <v>9489574.2400000002</v>
      </c>
      <c r="BK129" s="198">
        <v>0</v>
      </c>
      <c r="BL129" s="198"/>
      <c r="BM129" s="197"/>
      <c r="BN129" s="198"/>
      <c r="BO129" s="198"/>
      <c r="BP129" s="198"/>
      <c r="BQ129" s="198"/>
      <c r="BR129" s="198"/>
      <c r="BS129" s="198"/>
      <c r="BT129" s="197"/>
      <c r="BU129" s="198"/>
      <c r="BV129" s="198"/>
      <c r="BW129" s="198"/>
      <c r="BX129" s="198"/>
      <c r="BY129" s="198"/>
      <c r="BZ129" s="198"/>
      <c r="CA129" s="197"/>
      <c r="CB129" s="198"/>
      <c r="CC129" s="198"/>
      <c r="CD129" s="198"/>
      <c r="CE129" s="198"/>
      <c r="CF129" s="198"/>
      <c r="CG129" s="198"/>
      <c r="CH129" s="197"/>
      <c r="CI129" s="198"/>
      <c r="CJ129" s="198"/>
      <c r="CK129" s="198"/>
      <c r="CL129" s="198"/>
      <c r="CM129" s="198"/>
      <c r="CN129" s="198"/>
      <c r="CO129" s="197"/>
      <c r="CP129" s="198"/>
      <c r="CQ129" s="198"/>
      <c r="CR129" s="198"/>
      <c r="CS129" s="198"/>
      <c r="CT129" s="198"/>
      <c r="CU129" s="198"/>
      <c r="CV129" s="197"/>
      <c r="CW129" s="198"/>
      <c r="CX129" s="198"/>
      <c r="CY129" s="198"/>
      <c r="CZ129" s="198"/>
      <c r="DA129" s="198"/>
      <c r="DB129" s="198"/>
      <c r="DC129" s="197"/>
      <c r="DD129" s="198"/>
      <c r="DE129" s="198"/>
      <c r="DF129" s="198"/>
      <c r="DG129" s="198"/>
      <c r="DH129" s="198"/>
      <c r="DI129" s="198"/>
      <c r="DJ129" s="197"/>
      <c r="DK129" s="198"/>
      <c r="DL129" s="198"/>
      <c r="DM129" s="198"/>
      <c r="DN129" s="198"/>
      <c r="DO129" s="198"/>
      <c r="DP129" s="198"/>
      <c r="DQ129" s="197"/>
      <c r="DR129" s="198"/>
      <c r="DS129" s="198"/>
      <c r="DT129" s="198"/>
      <c r="DU129" s="198"/>
      <c r="DV129" s="198"/>
      <c r="DW129" s="198"/>
      <c r="DX129" s="197"/>
      <c r="DY129" s="198"/>
      <c r="DZ129" s="198"/>
      <c r="EA129" s="198"/>
      <c r="EB129" s="198"/>
      <c r="EC129" s="198"/>
      <c r="ED129" s="198"/>
      <c r="EE129" s="207"/>
      <c r="EL129" s="207"/>
      <c r="ES129" s="207"/>
      <c r="EZ129" s="197"/>
      <c r="FA129" s="198"/>
      <c r="FB129" s="198"/>
      <c r="FC129" s="198"/>
      <c r="FD129" s="198"/>
      <c r="FE129" s="198"/>
      <c r="FF129" s="198"/>
      <c r="FG129" s="197"/>
      <c r="FH129" s="198"/>
      <c r="FI129" s="198"/>
      <c r="FJ129" s="198"/>
      <c r="FK129" s="198"/>
      <c r="FL129" s="198"/>
      <c r="FM129" s="198"/>
      <c r="FN129" s="197">
        <v>38899395</v>
      </c>
      <c r="FO129" s="198">
        <v>9086439</v>
      </c>
      <c r="FP129" s="198">
        <v>6712224</v>
      </c>
      <c r="FQ129" s="198"/>
      <c r="FR129" s="198"/>
      <c r="FS129" s="198"/>
      <c r="FT129" s="199"/>
      <c r="FU129" s="197"/>
      <c r="FV129" s="198"/>
      <c r="FW129" s="198"/>
      <c r="FX129" s="198"/>
      <c r="FY129" s="198"/>
      <c r="FZ129" s="198"/>
      <c r="GA129" s="199"/>
      <c r="GB129" s="197"/>
      <c r="GC129" s="198"/>
      <c r="GD129" s="198"/>
      <c r="GE129" s="198"/>
      <c r="GF129" s="198"/>
      <c r="GG129" s="198"/>
      <c r="GH129" s="199"/>
      <c r="GI129" s="197"/>
      <c r="GJ129" s="198"/>
      <c r="GK129" s="198"/>
      <c r="GL129" s="198"/>
      <c r="GM129" s="198"/>
      <c r="GN129" s="198"/>
      <c r="GO129" s="199"/>
      <c r="GP129" s="197"/>
      <c r="GQ129" s="198"/>
      <c r="GR129" s="198"/>
      <c r="GS129" s="198"/>
      <c r="GT129" s="198"/>
      <c r="GU129" s="198"/>
      <c r="GV129" s="199"/>
      <c r="GW129" s="197"/>
      <c r="GX129" s="198"/>
      <c r="GY129" s="198"/>
      <c r="GZ129" s="198"/>
      <c r="HA129" s="198"/>
      <c r="HB129" s="198"/>
      <c r="HC129" s="199"/>
      <c r="HD129" s="197"/>
      <c r="HE129" s="198"/>
      <c r="HF129" s="198"/>
      <c r="HG129" s="198"/>
      <c r="HH129" s="198"/>
      <c r="HI129" s="198"/>
      <c r="HJ129" s="199"/>
      <c r="HK129" s="197"/>
      <c r="HL129" s="198"/>
      <c r="HM129" s="198"/>
      <c r="HN129" s="198"/>
      <c r="HO129" s="198"/>
      <c r="HP129" s="198"/>
      <c r="HQ129" s="198"/>
      <c r="HR129" s="197"/>
      <c r="HT129" s="198"/>
      <c r="HU129" s="198"/>
      <c r="HV129" s="198"/>
      <c r="HW129" s="198"/>
      <c r="HX129" s="198"/>
    </row>
    <row r="130" spans="1:233">
      <c r="A130" s="185" t="s">
        <v>493</v>
      </c>
      <c r="B130" s="197"/>
      <c r="C130" s="198"/>
      <c r="D130" s="198"/>
      <c r="E130" s="198"/>
      <c r="F130" s="198"/>
      <c r="G130" s="198"/>
      <c r="H130" s="199"/>
      <c r="I130" s="197"/>
      <c r="J130" s="198"/>
      <c r="K130" s="198"/>
      <c r="L130" s="198"/>
      <c r="M130" s="198"/>
      <c r="N130" s="198"/>
      <c r="O130" s="199"/>
      <c r="P130" s="198"/>
      <c r="Q130" s="198"/>
      <c r="R130" s="198"/>
      <c r="S130" s="198"/>
      <c r="T130" s="198"/>
      <c r="U130" s="198"/>
      <c r="V130" s="199"/>
      <c r="W130" s="198">
        <v>2039.002</v>
      </c>
      <c r="X130" s="198">
        <v>108.669</v>
      </c>
      <c r="Y130" s="198">
        <v>500.59399999999999</v>
      </c>
      <c r="Z130" s="198">
        <v>96.346999999999994</v>
      </c>
      <c r="AA130" s="198">
        <v>764.88900000000001</v>
      </c>
      <c r="AB130" s="198"/>
      <c r="AC130" s="199">
        <f t="shared" si="1"/>
        <v>568.50299999999982</v>
      </c>
      <c r="AD130" s="198"/>
      <c r="AE130" s="198">
        <v>34.305</v>
      </c>
      <c r="AF130" s="198">
        <v>136.12100000000001</v>
      </c>
      <c r="AG130" s="198">
        <v>163.77600000000001</v>
      </c>
      <c r="AH130" s="198">
        <v>116.289</v>
      </c>
      <c r="AI130" s="198"/>
      <c r="AJ130" s="198"/>
      <c r="AK130" s="197"/>
      <c r="AL130" s="198"/>
      <c r="AM130" s="198"/>
      <c r="AN130" s="198"/>
      <c r="AO130" s="198"/>
      <c r="AP130" s="198"/>
      <c r="AQ130" s="199"/>
      <c r="AR130" s="198">
        <v>268014.05690538842</v>
      </c>
      <c r="AS130" s="198">
        <v>70063.790158148171</v>
      </c>
      <c r="AT130" s="198">
        <v>28253.82789772785</v>
      </c>
      <c r="AU130" s="198">
        <v>50684.467852361624</v>
      </c>
      <c r="AV130" s="198">
        <v>36908.561673781835</v>
      </c>
      <c r="AW130" s="198"/>
      <c r="AX130" s="198">
        <v>82103.409323368978</v>
      </c>
      <c r="AY130" s="197"/>
      <c r="AZ130" s="198"/>
      <c r="BA130" s="198"/>
      <c r="BB130" s="198"/>
      <c r="BC130" s="198"/>
      <c r="BD130" s="198"/>
      <c r="BE130" s="198"/>
      <c r="BF130" s="197">
        <v>52575602.030000001</v>
      </c>
      <c r="BG130" s="198"/>
      <c r="BH130" s="198">
        <v>28109758.090000004</v>
      </c>
      <c r="BI130" s="198">
        <v>14756111.369999999</v>
      </c>
      <c r="BJ130" s="198">
        <v>9709732.5700000003</v>
      </c>
      <c r="BK130" s="198">
        <v>0</v>
      </c>
      <c r="BL130" s="198"/>
      <c r="BM130" s="197"/>
      <c r="BN130" s="198"/>
      <c r="BO130" s="198"/>
      <c r="BP130" s="198"/>
      <c r="BQ130" s="198"/>
      <c r="BR130" s="198"/>
      <c r="BS130" s="198"/>
      <c r="BT130" s="197"/>
      <c r="BU130" s="198"/>
      <c r="BV130" s="198"/>
      <c r="BW130" s="198"/>
      <c r="BX130" s="198"/>
      <c r="BY130" s="198"/>
      <c r="BZ130" s="198"/>
      <c r="CA130" s="197"/>
      <c r="CB130" s="198"/>
      <c r="CC130" s="198"/>
      <c r="CD130" s="198"/>
      <c r="CE130" s="198"/>
      <c r="CF130" s="198"/>
      <c r="CG130" s="198"/>
      <c r="CH130" s="197"/>
      <c r="CI130" s="198"/>
      <c r="CJ130" s="198"/>
      <c r="CK130" s="198"/>
      <c r="CL130" s="198"/>
      <c r="CM130" s="198"/>
      <c r="CN130" s="198"/>
      <c r="CO130" s="197"/>
      <c r="CP130" s="198"/>
      <c r="CQ130" s="198"/>
      <c r="CR130" s="198"/>
      <c r="CS130" s="198"/>
      <c r="CT130" s="198"/>
      <c r="CU130" s="198"/>
      <c r="CV130" s="197"/>
      <c r="CW130" s="198"/>
      <c r="CX130" s="198"/>
      <c r="CY130" s="198"/>
      <c r="CZ130" s="198"/>
      <c r="DA130" s="198"/>
      <c r="DB130" s="198"/>
      <c r="DC130" s="197"/>
      <c r="DD130" s="198"/>
      <c r="DE130" s="198"/>
      <c r="DF130" s="198"/>
      <c r="DG130" s="198"/>
      <c r="DH130" s="198"/>
      <c r="DI130" s="198"/>
      <c r="DJ130" s="197"/>
      <c r="DK130" s="198"/>
      <c r="DL130" s="198"/>
      <c r="DM130" s="198"/>
      <c r="DN130" s="198"/>
      <c r="DO130" s="198"/>
      <c r="DP130" s="198"/>
      <c r="DQ130" s="197"/>
      <c r="DR130" s="198"/>
      <c r="DS130" s="198"/>
      <c r="DT130" s="198"/>
      <c r="DU130" s="198"/>
      <c r="DV130" s="198"/>
      <c r="DW130" s="198"/>
      <c r="DX130" s="197"/>
      <c r="DY130" s="198"/>
      <c r="DZ130" s="198"/>
      <c r="EA130" s="198"/>
      <c r="EB130" s="198"/>
      <c r="EC130" s="198"/>
      <c r="ED130" s="198"/>
      <c r="EE130" s="197"/>
      <c r="EF130" s="198"/>
      <c r="EG130" s="198"/>
      <c r="EH130" s="198"/>
      <c r="EI130" s="198"/>
      <c r="EJ130" s="198"/>
      <c r="EK130" s="198"/>
      <c r="EL130" s="197"/>
      <c r="EM130" s="198"/>
      <c r="EN130" s="198"/>
      <c r="EO130" s="198"/>
      <c r="EP130" s="198"/>
      <c r="EQ130" s="198"/>
      <c r="ER130" s="198"/>
      <c r="ES130" s="197"/>
      <c r="ET130" s="198"/>
      <c r="EU130" s="198"/>
      <c r="EV130" s="198"/>
      <c r="EW130" s="198"/>
      <c r="EX130" s="198"/>
      <c r="EY130" s="198"/>
      <c r="EZ130" s="197"/>
      <c r="FA130" s="198"/>
      <c r="FB130" s="198"/>
      <c r="FC130" s="198"/>
      <c r="FD130" s="198"/>
      <c r="FE130" s="198"/>
      <c r="FF130" s="198"/>
      <c r="FG130" s="197"/>
      <c r="FH130" s="198"/>
      <c r="FI130" s="198"/>
      <c r="FJ130" s="198"/>
      <c r="FK130" s="198"/>
      <c r="FL130" s="198"/>
      <c r="FM130" s="198"/>
      <c r="FN130" s="197">
        <v>39890951</v>
      </c>
      <c r="FO130" s="198">
        <v>9023472</v>
      </c>
      <c r="FP130" s="198">
        <v>6941252</v>
      </c>
      <c r="FQ130" s="198"/>
      <c r="FR130" s="198"/>
      <c r="FS130" s="198"/>
      <c r="FT130" s="199"/>
      <c r="FU130" s="197"/>
      <c r="FV130" s="198"/>
      <c r="FW130" s="198"/>
      <c r="FX130" s="198"/>
      <c r="FY130" s="198"/>
      <c r="FZ130" s="198"/>
      <c r="GA130" s="199"/>
      <c r="GB130" s="197"/>
      <c r="GC130" s="198"/>
      <c r="GD130" s="198"/>
      <c r="GE130" s="198"/>
      <c r="GF130" s="198"/>
      <c r="GG130" s="198"/>
      <c r="GH130" s="199"/>
      <c r="GI130" s="197"/>
      <c r="GJ130" s="198"/>
      <c r="GK130" s="198"/>
      <c r="GL130" s="198"/>
      <c r="GM130" s="198"/>
      <c r="GN130" s="198"/>
      <c r="GO130" s="199"/>
      <c r="GP130" s="197"/>
      <c r="GQ130" s="198"/>
      <c r="GR130" s="198"/>
      <c r="GS130" s="198"/>
      <c r="GT130" s="198"/>
      <c r="GU130" s="198"/>
      <c r="GV130" s="199"/>
      <c r="GW130" s="197"/>
      <c r="GX130" s="198"/>
      <c r="GY130" s="198"/>
      <c r="GZ130" s="198"/>
      <c r="HA130" s="198"/>
      <c r="HB130" s="198"/>
      <c r="HC130" s="199"/>
      <c r="HD130" s="197"/>
      <c r="HE130" s="198"/>
      <c r="HF130" s="198"/>
      <c r="HG130" s="198"/>
      <c r="HH130" s="198"/>
      <c r="HI130" s="198"/>
      <c r="HJ130" s="199"/>
      <c r="HK130" s="197"/>
      <c r="HL130" s="198"/>
      <c r="HM130" s="198"/>
      <c r="HN130" s="198"/>
      <c r="HO130" s="198"/>
      <c r="HP130" s="198"/>
      <c r="HQ130" s="198"/>
      <c r="HR130" s="197"/>
      <c r="HT130" s="198"/>
      <c r="HU130" s="198"/>
      <c r="HV130" s="198"/>
      <c r="HW130" s="198"/>
      <c r="HX130" s="198"/>
    </row>
    <row r="131" spans="1:233">
      <c r="A131" s="185" t="s">
        <v>494</v>
      </c>
      <c r="B131" s="197"/>
      <c r="C131" s="198"/>
      <c r="D131" s="198"/>
      <c r="E131" s="198"/>
      <c r="F131" s="198"/>
      <c r="G131" s="198"/>
      <c r="H131" s="199"/>
      <c r="I131" s="197"/>
      <c r="J131" s="198"/>
      <c r="K131" s="198"/>
      <c r="L131" s="198"/>
      <c r="M131" s="198"/>
      <c r="N131" s="198"/>
      <c r="O131" s="199"/>
      <c r="P131" s="198"/>
      <c r="Q131" s="198"/>
      <c r="R131" s="198"/>
      <c r="S131" s="198"/>
      <c r="T131" s="198"/>
      <c r="U131" s="198"/>
      <c r="V131" s="199"/>
      <c r="W131" s="198">
        <v>2069.223</v>
      </c>
      <c r="X131" s="198">
        <v>105.828</v>
      </c>
      <c r="Y131" s="198">
        <v>485.32799999999997</v>
      </c>
      <c r="Z131" s="198">
        <v>91.072999999999993</v>
      </c>
      <c r="AA131" s="198">
        <v>799.60199999999998</v>
      </c>
      <c r="AB131" s="198"/>
      <c r="AC131" s="199">
        <f t="shared" si="1"/>
        <v>587.39199999999994</v>
      </c>
      <c r="AD131" s="198">
        <f>[1]datos!$S263</f>
        <v>635.06600000000003</v>
      </c>
      <c r="AE131" s="198">
        <v>37.811999999999998</v>
      </c>
      <c r="AF131" s="198">
        <v>135.27700000000002</v>
      </c>
      <c r="AG131" s="198">
        <v>161.81199999999998</v>
      </c>
      <c r="AH131" s="198">
        <v>117.529</v>
      </c>
      <c r="AI131" s="198">
        <f>[1]datos!$U263</f>
        <v>62.658999999999999</v>
      </c>
      <c r="AJ131" s="198">
        <f>AD131-AE131-AF131-AG131-AH131-AI131</f>
        <v>119.97699999999998</v>
      </c>
      <c r="AK131" s="197"/>
      <c r="AL131" s="198"/>
      <c r="AM131" s="198"/>
      <c r="AN131" s="198"/>
      <c r="AO131" s="198"/>
      <c r="AP131" s="198"/>
      <c r="AQ131" s="199"/>
      <c r="AR131" s="198">
        <v>267094.37615055079</v>
      </c>
      <c r="AS131" s="198">
        <v>69789.064431670646</v>
      </c>
      <c r="AT131" s="198">
        <v>28003.392288242212</v>
      </c>
      <c r="AU131" s="198">
        <v>51261.592348419879</v>
      </c>
      <c r="AV131" s="198">
        <v>36371.709322935516</v>
      </c>
      <c r="AW131" s="198"/>
      <c r="AX131" s="198">
        <v>81668.617759282526</v>
      </c>
      <c r="AY131" s="197"/>
      <c r="AZ131" s="198"/>
      <c r="BA131" s="198"/>
      <c r="BB131" s="198"/>
      <c r="BC131" s="198"/>
      <c r="BD131" s="198"/>
      <c r="BE131" s="198"/>
      <c r="BF131" s="197">
        <v>53115652.82</v>
      </c>
      <c r="BG131" s="198"/>
      <c r="BH131" s="198">
        <v>28010802.170000002</v>
      </c>
      <c r="BI131" s="198">
        <v>15004729.049999999</v>
      </c>
      <c r="BJ131" s="198">
        <v>10100121.6</v>
      </c>
      <c r="BK131" s="198">
        <v>0</v>
      </c>
      <c r="BL131" s="198"/>
      <c r="BM131" s="197"/>
      <c r="BN131" s="198"/>
      <c r="BO131" s="198"/>
      <c r="BP131" s="198"/>
      <c r="BQ131" s="198"/>
      <c r="BR131" s="198"/>
      <c r="BS131" s="198"/>
      <c r="BT131" s="197"/>
      <c r="BU131" s="198"/>
      <c r="BV131" s="198"/>
      <c r="BW131" s="198"/>
      <c r="BX131" s="198"/>
      <c r="BY131" s="198"/>
      <c r="BZ131" s="198"/>
      <c r="CA131" s="197"/>
      <c r="CB131" s="198"/>
      <c r="CC131" s="198"/>
      <c r="CD131" s="198"/>
      <c r="CE131" s="198"/>
      <c r="CF131" s="198"/>
      <c r="CG131" s="198"/>
      <c r="CH131" s="197"/>
      <c r="CI131" s="198"/>
      <c r="CJ131" s="198"/>
      <c r="CK131" s="198"/>
      <c r="CL131" s="198"/>
      <c r="CM131" s="198"/>
      <c r="CN131" s="198"/>
      <c r="CO131" s="197"/>
      <c r="CP131" s="198"/>
      <c r="CQ131" s="198"/>
      <c r="CR131" s="198"/>
      <c r="CS131" s="198"/>
      <c r="CT131" s="198"/>
      <c r="CU131" s="198"/>
      <c r="CV131" s="197"/>
      <c r="CW131" s="198"/>
      <c r="CX131" s="198"/>
      <c r="CY131" s="198"/>
      <c r="CZ131" s="198"/>
      <c r="DA131" s="198"/>
      <c r="DB131" s="198"/>
      <c r="DC131" s="197"/>
      <c r="DD131" s="198"/>
      <c r="DE131" s="198"/>
      <c r="DF131" s="198"/>
      <c r="DG131" s="198"/>
      <c r="DH131" s="198"/>
      <c r="DI131" s="198"/>
      <c r="DJ131" s="197"/>
      <c r="DK131" s="198"/>
      <c r="DL131" s="198"/>
      <c r="DM131" s="198"/>
      <c r="DN131" s="198"/>
      <c r="DO131" s="198"/>
      <c r="DP131" s="198"/>
      <c r="DQ131" s="197"/>
      <c r="DR131" s="198"/>
      <c r="DS131" s="198"/>
      <c r="DT131" s="198"/>
      <c r="DU131" s="198"/>
      <c r="DV131" s="198"/>
      <c r="DW131" s="198"/>
      <c r="DX131" s="197"/>
      <c r="DY131" s="198"/>
      <c r="DZ131" s="198"/>
      <c r="EA131" s="198"/>
      <c r="EB131" s="198"/>
      <c r="EC131" s="198"/>
      <c r="ED131" s="198"/>
      <c r="EE131" s="197"/>
      <c r="EF131" s="198"/>
      <c r="EG131" s="198"/>
      <c r="EH131" s="198"/>
      <c r="EI131" s="198"/>
      <c r="EJ131" s="198"/>
      <c r="EK131" s="198"/>
      <c r="EL131" s="197"/>
      <c r="EM131" s="198"/>
      <c r="EN131" s="198"/>
      <c r="EO131" s="198"/>
      <c r="EP131" s="198"/>
      <c r="EQ131" s="198"/>
      <c r="ER131" s="198"/>
      <c r="ES131" s="197"/>
      <c r="ET131" s="198"/>
      <c r="EU131" s="198"/>
      <c r="EV131" s="198"/>
      <c r="EW131" s="198"/>
      <c r="EX131" s="198"/>
      <c r="EY131" s="198"/>
      <c r="EZ131" s="197"/>
      <c r="FA131" s="198"/>
      <c r="FB131" s="198"/>
      <c r="FC131" s="198"/>
      <c r="FD131" s="198"/>
      <c r="FE131" s="198"/>
      <c r="FF131" s="198"/>
      <c r="FG131" s="197"/>
      <c r="FH131" s="198"/>
      <c r="FI131" s="198"/>
      <c r="FJ131" s="198"/>
      <c r="FK131" s="198"/>
      <c r="FL131" s="198"/>
      <c r="FM131" s="198"/>
      <c r="FN131" s="197">
        <v>41412343</v>
      </c>
      <c r="FO131" s="198">
        <v>9529819</v>
      </c>
      <c r="FP131" s="198">
        <v>6809600</v>
      </c>
      <c r="FQ131" s="198"/>
      <c r="FR131" s="198"/>
      <c r="FS131" s="198"/>
      <c r="FT131" s="199"/>
      <c r="FU131" s="197"/>
      <c r="FV131" s="198"/>
      <c r="FW131" s="198"/>
      <c r="FX131" s="198"/>
      <c r="FY131" s="198"/>
      <c r="FZ131" s="198"/>
      <c r="GA131" s="199"/>
      <c r="GB131" s="197"/>
      <c r="GC131" s="198"/>
      <c r="GD131" s="198"/>
      <c r="GE131" s="198"/>
      <c r="GF131" s="198"/>
      <c r="GG131" s="198"/>
      <c r="GH131" s="199"/>
      <c r="GI131" s="197"/>
      <c r="GJ131" s="198"/>
      <c r="GK131" s="198"/>
      <c r="GL131" s="198"/>
      <c r="GM131" s="198"/>
      <c r="GN131" s="198"/>
      <c r="GO131" s="199"/>
      <c r="GP131" s="197"/>
      <c r="GQ131" s="198"/>
      <c r="GR131" s="198"/>
      <c r="GS131" s="198"/>
      <c r="GT131" s="198"/>
      <c r="GU131" s="198"/>
      <c r="GV131" s="199"/>
      <c r="GW131" s="197"/>
      <c r="GX131" s="198"/>
      <c r="GY131" s="198"/>
      <c r="GZ131" s="198"/>
      <c r="HA131" s="198"/>
      <c r="HB131" s="198"/>
      <c r="HC131" s="199"/>
      <c r="HD131" s="197">
        <f>'[2]t&amp;t'!W263</f>
        <v>10635.2</v>
      </c>
      <c r="HE131" s="198">
        <f>'[2]t&amp;t'!X263</f>
        <v>1495.7</v>
      </c>
      <c r="HF131" s="198">
        <f>'[2]t&amp;t'!Y263</f>
        <v>1082.7</v>
      </c>
      <c r="HG131" s="198">
        <f>'[2]t&amp;t'!Z263</f>
        <v>892</v>
      </c>
      <c r="HH131" s="198">
        <f>'[2]t&amp;t'!AA263</f>
        <v>3894.2000000000003</v>
      </c>
      <c r="HI131" s="198"/>
      <c r="HJ131" s="199">
        <f>'[2]t&amp;t'!AC263</f>
        <v>3270.6000000000008</v>
      </c>
      <c r="HK131" s="197"/>
      <c r="HL131" s="198"/>
      <c r="HM131" s="198"/>
      <c r="HN131" s="198"/>
      <c r="HO131" s="198"/>
      <c r="HP131" s="198"/>
      <c r="HQ131" s="198"/>
      <c r="HR131" s="197"/>
      <c r="HT131" s="198"/>
      <c r="HU131" s="198"/>
      <c r="HV131" s="198"/>
      <c r="HW131" s="198"/>
      <c r="HX131" s="198"/>
    </row>
    <row r="132" spans="1:233">
      <c r="A132" s="185" t="s">
        <v>495</v>
      </c>
      <c r="B132" s="197"/>
      <c r="C132" s="198"/>
      <c r="D132" s="198"/>
      <c r="E132" s="198"/>
      <c r="F132" s="198"/>
      <c r="G132" s="198"/>
      <c r="H132" s="199"/>
      <c r="I132" s="197"/>
      <c r="J132" s="198"/>
      <c r="K132" s="198"/>
      <c r="L132" s="198"/>
      <c r="M132" s="198"/>
      <c r="N132" s="198"/>
      <c r="O132" s="199"/>
      <c r="P132" s="198"/>
      <c r="Q132" s="198"/>
      <c r="R132" s="198"/>
      <c r="S132" s="198"/>
      <c r="T132" s="198"/>
      <c r="U132" s="198"/>
      <c r="V132" s="199"/>
      <c r="W132" s="198">
        <v>2090.2310000000002</v>
      </c>
      <c r="X132" s="198">
        <v>105.27200000000001</v>
      </c>
      <c r="Y132" s="198">
        <v>472.57600000000002</v>
      </c>
      <c r="Z132" s="198">
        <v>93.287000000000006</v>
      </c>
      <c r="AA132" s="198">
        <v>812.42</v>
      </c>
      <c r="AB132" s="198"/>
      <c r="AC132" s="199">
        <f t="shared" si="1"/>
        <v>606.67600000000027</v>
      </c>
      <c r="AD132" s="198"/>
      <c r="AE132" s="198">
        <v>36.777000000000001</v>
      </c>
      <c r="AF132" s="198">
        <v>138.17599999999999</v>
      </c>
      <c r="AG132" s="198">
        <v>165.721</v>
      </c>
      <c r="AH132" s="198">
        <v>121.354</v>
      </c>
      <c r="AI132" s="198"/>
      <c r="AJ132" s="198"/>
      <c r="AK132" s="197"/>
      <c r="AL132" s="198"/>
      <c r="AM132" s="198"/>
      <c r="AN132" s="198"/>
      <c r="AO132" s="198"/>
      <c r="AP132" s="198"/>
      <c r="AQ132" s="199"/>
      <c r="AR132" s="198">
        <v>266780.68608306855</v>
      </c>
      <c r="AS132" s="198">
        <v>70858.502565761839</v>
      </c>
      <c r="AT132" s="198">
        <v>27686.120072552694</v>
      </c>
      <c r="AU132" s="198">
        <v>51362.844360879149</v>
      </c>
      <c r="AV132" s="198">
        <v>36793.42171828018</v>
      </c>
      <c r="AW132" s="198"/>
      <c r="AX132" s="198">
        <v>80079.797365594655</v>
      </c>
      <c r="AY132" s="197"/>
      <c r="AZ132" s="198"/>
      <c r="BA132" s="198"/>
      <c r="BB132" s="198"/>
      <c r="BC132" s="198"/>
      <c r="BD132" s="198"/>
      <c r="BE132" s="198"/>
      <c r="BF132" s="197">
        <v>53495615.31000001</v>
      </c>
      <c r="BG132" s="198"/>
      <c r="BH132" s="198">
        <v>28130081.900000002</v>
      </c>
      <c r="BI132" s="198">
        <v>15269789.500000002</v>
      </c>
      <c r="BJ132" s="198">
        <v>10095743.91</v>
      </c>
      <c r="BK132" s="198">
        <v>0</v>
      </c>
      <c r="BL132" s="198"/>
      <c r="BM132" s="197"/>
      <c r="BN132" s="198"/>
      <c r="BO132" s="198"/>
      <c r="BP132" s="198"/>
      <c r="BQ132" s="198"/>
      <c r="BR132" s="198"/>
      <c r="BS132" s="198"/>
      <c r="BT132" s="197"/>
      <c r="BU132" s="198"/>
      <c r="BV132" s="198"/>
      <c r="BW132" s="198"/>
      <c r="BX132" s="198"/>
      <c r="BY132" s="198"/>
      <c r="BZ132" s="198"/>
      <c r="CA132" s="197"/>
      <c r="CB132" s="198"/>
      <c r="CC132" s="198"/>
      <c r="CD132" s="198"/>
      <c r="CE132" s="198"/>
      <c r="CF132" s="198"/>
      <c r="CG132" s="198"/>
      <c r="CH132" s="197"/>
      <c r="CI132" s="198"/>
      <c r="CJ132" s="198"/>
      <c r="CK132" s="198"/>
      <c r="CL132" s="198"/>
      <c r="CM132" s="198"/>
      <c r="CN132" s="198"/>
      <c r="CO132" s="197"/>
      <c r="CP132" s="198"/>
      <c r="CQ132" s="198"/>
      <c r="CR132" s="198"/>
      <c r="CS132" s="198"/>
      <c r="CT132" s="198"/>
      <c r="CU132" s="198"/>
      <c r="CV132" s="197"/>
      <c r="CW132" s="198"/>
      <c r="CX132" s="198"/>
      <c r="CY132" s="198"/>
      <c r="CZ132" s="198"/>
      <c r="DA132" s="198"/>
      <c r="DB132" s="198"/>
      <c r="DC132" s="197"/>
      <c r="DD132" s="198"/>
      <c r="DE132" s="198"/>
      <c r="DF132" s="198"/>
      <c r="DG132" s="198"/>
      <c r="DH132" s="198"/>
      <c r="DI132" s="198"/>
      <c r="DJ132" s="197"/>
      <c r="DK132" s="198"/>
      <c r="DL132" s="198"/>
      <c r="DM132" s="198"/>
      <c r="DN132" s="198"/>
      <c r="DO132" s="198"/>
      <c r="DP132" s="198"/>
      <c r="DQ132" s="197"/>
      <c r="DR132" s="198"/>
      <c r="DS132" s="198"/>
      <c r="DT132" s="198"/>
      <c r="DU132" s="198"/>
      <c r="DV132" s="198"/>
      <c r="DW132" s="198"/>
      <c r="DX132" s="197"/>
      <c r="DY132" s="198"/>
      <c r="DZ132" s="198"/>
      <c r="EA132" s="198"/>
      <c r="EB132" s="198"/>
      <c r="EC132" s="198"/>
      <c r="ED132" s="198"/>
      <c r="EE132" s="197"/>
      <c r="EF132" s="198"/>
      <c r="EG132" s="198"/>
      <c r="EH132" s="198"/>
      <c r="EI132" s="198"/>
      <c r="EJ132" s="198"/>
      <c r="EK132" s="198"/>
      <c r="EL132" s="197"/>
      <c r="EM132" s="198"/>
      <c r="EN132" s="198"/>
      <c r="EO132" s="198"/>
      <c r="EP132" s="198"/>
      <c r="EQ132" s="198"/>
      <c r="ER132" s="198"/>
      <c r="ES132" s="197"/>
      <c r="ET132" s="198"/>
      <c r="EU132" s="198"/>
      <c r="EV132" s="198"/>
      <c r="EW132" s="198"/>
      <c r="EX132" s="198"/>
      <c r="EY132" s="198"/>
      <c r="EZ132" s="197"/>
      <c r="FA132" s="198"/>
      <c r="FB132" s="198"/>
      <c r="FC132" s="198"/>
      <c r="FD132" s="198"/>
      <c r="FE132" s="198"/>
      <c r="FF132" s="198"/>
      <c r="FG132" s="197"/>
      <c r="FH132" s="198"/>
      <c r="FI132" s="198"/>
      <c r="FJ132" s="198"/>
      <c r="FK132" s="198"/>
      <c r="FL132" s="198"/>
      <c r="FM132" s="198"/>
      <c r="FN132" s="197">
        <v>42067982</v>
      </c>
      <c r="FO132" s="198">
        <v>9943641</v>
      </c>
      <c r="FP132" s="198">
        <v>6994326</v>
      </c>
      <c r="FQ132" s="198"/>
      <c r="FR132" s="198"/>
      <c r="FS132" s="198"/>
      <c r="FT132" s="199"/>
      <c r="FU132" s="197"/>
      <c r="FV132" s="198"/>
      <c r="FW132" s="198"/>
      <c r="FX132" s="198"/>
      <c r="FY132" s="198"/>
      <c r="FZ132" s="198"/>
      <c r="GA132" s="199"/>
      <c r="GB132" s="197"/>
      <c r="GC132" s="198"/>
      <c r="GD132" s="198"/>
      <c r="GE132" s="198"/>
      <c r="GF132" s="198"/>
      <c r="GG132" s="198"/>
      <c r="GH132" s="199"/>
      <c r="GI132" s="197"/>
      <c r="GJ132" s="198"/>
      <c r="GK132" s="198"/>
      <c r="GL132" s="198"/>
      <c r="GM132" s="198"/>
      <c r="GN132" s="198"/>
      <c r="GO132" s="199"/>
      <c r="GP132" s="197"/>
      <c r="GQ132" s="198"/>
      <c r="GR132" s="198"/>
      <c r="GS132" s="198"/>
      <c r="GT132" s="198"/>
      <c r="GU132" s="198"/>
      <c r="GV132" s="199"/>
      <c r="GW132" s="197"/>
      <c r="GX132" s="198"/>
      <c r="GY132" s="198"/>
      <c r="GZ132" s="198"/>
      <c r="HA132" s="198"/>
      <c r="HB132" s="198"/>
      <c r="HC132" s="199"/>
      <c r="HD132" s="197"/>
      <c r="HE132" s="198"/>
      <c r="HF132" s="198"/>
      <c r="HG132" s="198"/>
      <c r="HH132" s="198"/>
      <c r="HI132" s="198"/>
      <c r="HJ132" s="199"/>
      <c r="HK132" s="197"/>
      <c r="HL132" s="198"/>
      <c r="HM132" s="198"/>
      <c r="HN132" s="198"/>
      <c r="HO132" s="198"/>
      <c r="HP132" s="198"/>
      <c r="HQ132" s="198"/>
      <c r="HR132" s="197"/>
      <c r="HT132" s="198"/>
      <c r="HU132" s="198"/>
      <c r="HV132" s="198"/>
      <c r="HW132" s="198"/>
      <c r="HX132" s="198"/>
    </row>
    <row r="133" spans="1:233">
      <c r="A133" s="185" t="s">
        <v>496</v>
      </c>
      <c r="B133" s="197"/>
      <c r="C133" s="198"/>
      <c r="D133" s="198"/>
      <c r="E133" s="198"/>
      <c r="F133" s="198"/>
      <c r="G133" s="198"/>
      <c r="H133" s="199"/>
      <c r="I133" s="197"/>
      <c r="J133" s="198"/>
      <c r="K133" s="198"/>
      <c r="L133" s="198"/>
      <c r="M133" s="198"/>
      <c r="N133" s="198"/>
      <c r="O133" s="199"/>
      <c r="P133" s="198"/>
      <c r="Q133" s="198"/>
      <c r="R133" s="198"/>
      <c r="S133" s="198"/>
      <c r="T133" s="198"/>
      <c r="U133" s="198"/>
      <c r="V133" s="199"/>
      <c r="W133" s="198">
        <v>2120.7449999999999</v>
      </c>
      <c r="X133" s="198">
        <v>107.30500000000001</v>
      </c>
      <c r="Y133" s="198">
        <v>484.05799999999999</v>
      </c>
      <c r="Z133" s="198">
        <v>91.671000000000006</v>
      </c>
      <c r="AA133" s="198">
        <v>830.14599999999996</v>
      </c>
      <c r="AB133" s="198"/>
      <c r="AC133" s="199">
        <f t="shared" si="1"/>
        <v>607.56499999999983</v>
      </c>
      <c r="AD133" s="198"/>
      <c r="AE133" s="198">
        <v>34.691000000000003</v>
      </c>
      <c r="AF133" s="198">
        <v>138.453</v>
      </c>
      <c r="AG133" s="198">
        <v>167.48000000000002</v>
      </c>
      <c r="AH133" s="198">
        <v>122.845</v>
      </c>
      <c r="AI133" s="198"/>
      <c r="AJ133" s="198"/>
      <c r="AK133" s="197"/>
      <c r="AL133" s="198"/>
      <c r="AM133" s="198"/>
      <c r="AN133" s="198"/>
      <c r="AO133" s="198"/>
      <c r="AP133" s="198"/>
      <c r="AQ133" s="199"/>
      <c r="AR133" s="198">
        <v>268188.9562584706</v>
      </c>
      <c r="AS133" s="198">
        <v>72044.061261715062</v>
      </c>
      <c r="AT133" s="198">
        <v>27770.792422411865</v>
      </c>
      <c r="AU133" s="198">
        <v>52471.927936608648</v>
      </c>
      <c r="AV133" s="198">
        <v>37220.679990592427</v>
      </c>
      <c r="AW133" s="198"/>
      <c r="AX133" s="198">
        <v>78681.494647142579</v>
      </c>
      <c r="AY133" s="197"/>
      <c r="AZ133" s="198"/>
      <c r="BA133" s="198"/>
      <c r="BB133" s="198"/>
      <c r="BC133" s="198"/>
      <c r="BD133" s="198"/>
      <c r="BE133" s="198"/>
      <c r="BF133" s="197">
        <v>54010987.45000001</v>
      </c>
      <c r="BG133" s="198"/>
      <c r="BH133" s="198">
        <v>28225607.590000007</v>
      </c>
      <c r="BI133" s="198">
        <v>15579217.020000001</v>
      </c>
      <c r="BJ133" s="198">
        <v>10206162.840000002</v>
      </c>
      <c r="BK133" s="198">
        <v>0</v>
      </c>
      <c r="BL133" s="198"/>
      <c r="BM133" s="197"/>
      <c r="BN133" s="198"/>
      <c r="BO133" s="198"/>
      <c r="BP133" s="198"/>
      <c r="BQ133" s="198"/>
      <c r="BR133" s="198"/>
      <c r="BS133" s="198"/>
      <c r="BT133" s="197"/>
      <c r="BU133" s="198"/>
      <c r="BV133" s="198"/>
      <c r="BW133" s="198"/>
      <c r="BX133" s="198"/>
      <c r="BY133" s="198"/>
      <c r="BZ133" s="198"/>
      <c r="CA133" s="197"/>
      <c r="CB133" s="198"/>
      <c r="CC133" s="198"/>
      <c r="CD133" s="198"/>
      <c r="CE133" s="198"/>
      <c r="CF133" s="198"/>
      <c r="CG133" s="198"/>
      <c r="CH133" s="197"/>
      <c r="CI133" s="198"/>
      <c r="CJ133" s="198"/>
      <c r="CK133" s="198"/>
      <c r="CL133" s="198"/>
      <c r="CM133" s="198"/>
      <c r="CN133" s="198"/>
      <c r="CO133" s="197"/>
      <c r="CP133" s="198"/>
      <c r="CQ133" s="198"/>
      <c r="CR133" s="198"/>
      <c r="CS133" s="198"/>
      <c r="CT133" s="198"/>
      <c r="CU133" s="198"/>
      <c r="CV133" s="197"/>
      <c r="CW133" s="198"/>
      <c r="CX133" s="198"/>
      <c r="CY133" s="198"/>
      <c r="CZ133" s="198"/>
      <c r="DA133" s="198"/>
      <c r="DB133" s="198"/>
      <c r="DC133" s="197"/>
      <c r="DD133" s="198"/>
      <c r="DE133" s="198"/>
      <c r="DF133" s="198"/>
      <c r="DG133" s="198"/>
      <c r="DH133" s="198"/>
      <c r="DI133" s="198"/>
      <c r="DJ133" s="197"/>
      <c r="DK133" s="198"/>
      <c r="DL133" s="198"/>
      <c r="DM133" s="198"/>
      <c r="DN133" s="198"/>
      <c r="DO133" s="198"/>
      <c r="DP133" s="198"/>
      <c r="DQ133" s="197"/>
      <c r="DR133" s="198"/>
      <c r="DS133" s="198"/>
      <c r="DT133" s="198"/>
      <c r="DU133" s="198"/>
      <c r="DV133" s="198"/>
      <c r="DW133" s="198"/>
      <c r="DX133" s="197"/>
      <c r="DY133" s="198"/>
      <c r="DZ133" s="198"/>
      <c r="EA133" s="198"/>
      <c r="EB133" s="198"/>
      <c r="EC133" s="198"/>
      <c r="ED133" s="198"/>
      <c r="EE133" s="197"/>
      <c r="EF133" s="198"/>
      <c r="EG133" s="198"/>
      <c r="EH133" s="198"/>
      <c r="EI133" s="198"/>
      <c r="EJ133" s="198"/>
      <c r="EK133" s="198"/>
      <c r="EL133" s="197"/>
      <c r="EM133" s="198"/>
      <c r="EN133" s="198"/>
      <c r="EO133" s="198"/>
      <c r="EP133" s="198"/>
      <c r="EQ133" s="198"/>
      <c r="ER133" s="198"/>
      <c r="ES133" s="197"/>
      <c r="ET133" s="198"/>
      <c r="EU133" s="198"/>
      <c r="EV133" s="198"/>
      <c r="EW133" s="198"/>
      <c r="EX133" s="198"/>
      <c r="EY133" s="198"/>
      <c r="EZ133" s="197"/>
      <c r="FA133" s="198"/>
      <c r="FB133" s="198"/>
      <c r="FC133" s="198"/>
      <c r="FD133" s="198"/>
      <c r="FE133" s="198"/>
      <c r="FF133" s="198"/>
      <c r="FG133" s="197"/>
      <c r="FH133" s="198"/>
      <c r="FI133" s="198"/>
      <c r="FJ133" s="198"/>
      <c r="FK133" s="198"/>
      <c r="FL133" s="198"/>
      <c r="FM133" s="198"/>
      <c r="FN133" s="197">
        <v>42694531</v>
      </c>
      <c r="FO133" s="198">
        <v>9632321</v>
      </c>
      <c r="FP133" s="198">
        <v>7228386</v>
      </c>
      <c r="FQ133" s="198"/>
      <c r="FR133" s="198"/>
      <c r="FS133" s="198"/>
      <c r="FT133" s="199"/>
      <c r="FU133" s="197"/>
      <c r="FV133" s="198"/>
      <c r="FW133" s="198"/>
      <c r="FX133" s="198"/>
      <c r="FY133" s="198"/>
      <c r="FZ133" s="198"/>
      <c r="GA133" s="199"/>
      <c r="GB133" s="197"/>
      <c r="GC133" s="198"/>
      <c r="GD133" s="198"/>
      <c r="GE133" s="198"/>
      <c r="GF133" s="198"/>
      <c r="GG133" s="198"/>
      <c r="GH133" s="199"/>
      <c r="GI133" s="197"/>
      <c r="GJ133" s="198"/>
      <c r="GK133" s="198"/>
      <c r="GL133" s="198"/>
      <c r="GM133" s="198"/>
      <c r="GN133" s="198"/>
      <c r="GO133" s="199"/>
      <c r="GP133" s="197"/>
      <c r="GQ133" s="198"/>
      <c r="GR133" s="198"/>
      <c r="GS133" s="198"/>
      <c r="GT133" s="198"/>
      <c r="GU133" s="198"/>
      <c r="GV133" s="199"/>
      <c r="GW133" s="197"/>
      <c r="GX133" s="198"/>
      <c r="GY133" s="198"/>
      <c r="GZ133" s="198"/>
      <c r="HA133" s="198"/>
      <c r="HB133" s="198"/>
      <c r="HC133" s="199"/>
      <c r="HD133" s="197"/>
      <c r="HE133" s="198"/>
      <c r="HF133" s="198"/>
      <c r="HG133" s="198"/>
      <c r="HH133" s="198"/>
      <c r="HI133" s="198"/>
      <c r="HJ133" s="199"/>
      <c r="HK133" s="197"/>
      <c r="HL133" s="198"/>
      <c r="HM133" s="198"/>
      <c r="HN133" s="198"/>
      <c r="HO133" s="198"/>
      <c r="HP133" s="198"/>
      <c r="HQ133" s="198"/>
      <c r="HR133" s="197"/>
      <c r="HT133" s="198"/>
      <c r="HU133" s="198"/>
      <c r="HV133" s="198"/>
      <c r="HW133" s="198"/>
      <c r="HX133" s="198"/>
    </row>
    <row r="134" spans="1:233">
      <c r="A134" s="185" t="s">
        <v>497</v>
      </c>
      <c r="B134" s="197"/>
      <c r="C134" s="198"/>
      <c r="D134" s="198"/>
      <c r="E134" s="198"/>
      <c r="F134" s="198"/>
      <c r="G134" s="198"/>
      <c r="H134" s="199"/>
      <c r="I134" s="197"/>
      <c r="J134" s="198"/>
      <c r="K134" s="198"/>
      <c r="L134" s="198"/>
      <c r="M134" s="198"/>
      <c r="N134" s="198"/>
      <c r="O134" s="199"/>
      <c r="P134" s="198"/>
      <c r="Q134" s="198"/>
      <c r="R134" s="198"/>
      <c r="S134" s="198"/>
      <c r="T134" s="198"/>
      <c r="U134" s="198"/>
      <c r="V134" s="199"/>
      <c r="W134" s="198">
        <v>2134.2950000000001</v>
      </c>
      <c r="X134" s="198">
        <v>105.729</v>
      </c>
      <c r="Y134" s="198">
        <v>489.00999999999993</v>
      </c>
      <c r="Z134" s="198">
        <v>92.622</v>
      </c>
      <c r="AA134" s="198">
        <v>830.13300000000004</v>
      </c>
      <c r="AB134" s="198"/>
      <c r="AC134" s="199">
        <f t="shared" si="1"/>
        <v>616.80099999999993</v>
      </c>
      <c r="AD134" s="198">
        <f>[1]datos!$S266</f>
        <v>646.27099999999996</v>
      </c>
      <c r="AE134" s="198">
        <v>34.345999999999997</v>
      </c>
      <c r="AF134" s="198">
        <v>140.28199999999998</v>
      </c>
      <c r="AG134" s="198">
        <v>167.727</v>
      </c>
      <c r="AH134" s="198">
        <v>129.08799999999999</v>
      </c>
      <c r="AI134" s="198">
        <f>[1]datos!$U266</f>
        <v>65.203999999999994</v>
      </c>
      <c r="AJ134" s="198">
        <f>AD134-AE134-AF134-AG134-AH134-AI134</f>
        <v>109.62399999999995</v>
      </c>
      <c r="AK134" s="197"/>
      <c r="AL134" s="198"/>
      <c r="AM134" s="198"/>
      <c r="AN134" s="198"/>
      <c r="AO134" s="198"/>
      <c r="AP134" s="198"/>
      <c r="AQ134" s="199"/>
      <c r="AR134" s="198">
        <v>271290.38738895376</v>
      </c>
      <c r="AS134" s="198">
        <v>72066.191365530103</v>
      </c>
      <c r="AT134" s="198">
        <v>26690.166124755586</v>
      </c>
      <c r="AU134" s="198">
        <v>53142.296815423731</v>
      </c>
      <c r="AV134" s="198">
        <v>37060.729821369467</v>
      </c>
      <c r="AW134" s="198"/>
      <c r="AX134" s="198">
        <v>82331.003261874896</v>
      </c>
      <c r="AY134" s="197"/>
      <c r="AZ134" s="198"/>
      <c r="BA134" s="198"/>
      <c r="BB134" s="198"/>
      <c r="BC134" s="198"/>
      <c r="BD134" s="198"/>
      <c r="BE134" s="198"/>
      <c r="BF134" s="197">
        <v>55208282.079999998</v>
      </c>
      <c r="BG134" s="198"/>
      <c r="BH134" s="198">
        <v>28873621.010000002</v>
      </c>
      <c r="BI134" s="198">
        <v>15848110.909999996</v>
      </c>
      <c r="BJ134" s="198">
        <v>10486550.159999998</v>
      </c>
      <c r="BK134" s="198">
        <v>0</v>
      </c>
      <c r="BL134" s="198"/>
      <c r="BM134" s="197">
        <v>828636.40099999995</v>
      </c>
      <c r="BN134" s="198">
        <v>89230.467999999993</v>
      </c>
      <c r="BO134" s="198">
        <v>129677.049</v>
      </c>
      <c r="BP134" s="198">
        <v>156262.451</v>
      </c>
      <c r="BQ134" s="198">
        <v>198176.13699999999</v>
      </c>
      <c r="BR134" s="198"/>
      <c r="BS134" s="198">
        <f t="shared" ref="BS134:BS294" si="2">BM134-SUM(BN134:BQ134)</f>
        <v>255290.29599999997</v>
      </c>
      <c r="BT134" s="197"/>
      <c r="BU134" s="198"/>
      <c r="BV134" s="198"/>
      <c r="BW134" s="198"/>
      <c r="BX134" s="198"/>
      <c r="BY134" s="198"/>
      <c r="BZ134" s="198"/>
      <c r="CA134" s="197"/>
      <c r="CB134" s="198"/>
      <c r="CC134" s="198"/>
      <c r="CD134" s="198"/>
      <c r="CE134" s="198"/>
      <c r="CF134" s="198"/>
      <c r="CG134" s="198"/>
      <c r="CH134" s="197"/>
      <c r="CI134" s="198"/>
      <c r="CJ134" s="198"/>
      <c r="CK134" s="198"/>
      <c r="CL134" s="198"/>
      <c r="CM134" s="198"/>
      <c r="CN134" s="198"/>
      <c r="CO134" s="197"/>
      <c r="CP134" s="198"/>
      <c r="CQ134" s="198"/>
      <c r="CR134" s="198"/>
      <c r="CS134" s="198"/>
      <c r="CT134" s="198"/>
      <c r="CU134" s="198"/>
      <c r="CV134" s="197"/>
      <c r="CW134" s="198"/>
      <c r="CX134" s="198"/>
      <c r="CY134" s="198"/>
      <c r="CZ134" s="198"/>
      <c r="DA134" s="198"/>
      <c r="DB134" s="198"/>
      <c r="DC134" s="197"/>
      <c r="DD134" s="198"/>
      <c r="DE134" s="198"/>
      <c r="DF134" s="198"/>
      <c r="DG134" s="198"/>
      <c r="DH134" s="198"/>
      <c r="DI134" s="198"/>
      <c r="DJ134" s="197"/>
      <c r="DK134" s="198"/>
      <c r="DL134" s="198"/>
      <c r="DM134" s="198"/>
      <c r="DN134" s="198"/>
      <c r="DO134" s="198"/>
      <c r="DP134" s="198"/>
      <c r="DQ134" s="197"/>
      <c r="DR134" s="198"/>
      <c r="DS134" s="198"/>
      <c r="DT134" s="198"/>
      <c r="DU134" s="198"/>
      <c r="DV134" s="198"/>
      <c r="DW134" s="198"/>
      <c r="DX134" s="197"/>
      <c r="DY134" s="198"/>
      <c r="DZ134" s="198"/>
      <c r="EA134" s="198"/>
      <c r="EB134" s="198"/>
      <c r="EC134" s="198"/>
      <c r="ED134" s="198"/>
      <c r="EE134" s="197"/>
      <c r="EF134" s="198"/>
      <c r="EG134" s="198"/>
      <c r="EH134" s="198"/>
      <c r="EI134" s="198"/>
      <c r="EJ134" s="198"/>
      <c r="EK134" s="198"/>
      <c r="EL134" s="197"/>
      <c r="EM134" s="198"/>
      <c r="EN134" s="198"/>
      <c r="EO134" s="198"/>
      <c r="EP134" s="198"/>
      <c r="EQ134" s="198"/>
      <c r="ER134" s="198"/>
      <c r="ES134" s="197"/>
      <c r="ET134" s="198"/>
      <c r="EU134" s="198"/>
      <c r="EV134" s="198"/>
      <c r="EW134" s="198"/>
      <c r="EX134" s="198"/>
      <c r="EY134" s="198"/>
      <c r="EZ134" s="197"/>
      <c r="FA134" s="198"/>
      <c r="FB134" s="198"/>
      <c r="FC134" s="198"/>
      <c r="FD134" s="198"/>
      <c r="FE134" s="198"/>
      <c r="FF134" s="198"/>
      <c r="FG134" s="197"/>
      <c r="FH134" s="198"/>
      <c r="FI134" s="198"/>
      <c r="FJ134" s="198"/>
      <c r="FK134" s="198"/>
      <c r="FL134" s="198"/>
      <c r="FM134" s="198"/>
      <c r="FN134" s="197">
        <v>41851518</v>
      </c>
      <c r="FO134" s="198">
        <v>10015437</v>
      </c>
      <c r="FP134" s="198">
        <v>6774597</v>
      </c>
      <c r="FQ134" s="198"/>
      <c r="FR134" s="198"/>
      <c r="FS134" s="198"/>
      <c r="FT134" s="199"/>
      <c r="FU134" s="197"/>
      <c r="FV134" s="198"/>
      <c r="FW134" s="198"/>
      <c r="FX134" s="198"/>
      <c r="FY134" s="198"/>
      <c r="FZ134" s="198"/>
      <c r="GA134" s="199"/>
      <c r="GB134" s="197"/>
      <c r="GC134" s="198"/>
      <c r="GD134" s="198"/>
      <c r="GE134" s="198"/>
      <c r="GF134" s="198"/>
      <c r="GG134" s="198"/>
      <c r="GH134" s="199"/>
      <c r="GI134" s="197"/>
      <c r="GJ134" s="198"/>
      <c r="GK134" s="198"/>
      <c r="GL134" s="198"/>
      <c r="GM134" s="198"/>
      <c r="GN134" s="198"/>
      <c r="GO134" s="199"/>
      <c r="GP134" s="197"/>
      <c r="GQ134" s="198"/>
      <c r="GR134" s="198"/>
      <c r="GS134" s="198"/>
      <c r="GT134" s="198"/>
      <c r="GU134" s="198"/>
      <c r="GV134" s="199"/>
      <c r="GW134" s="197"/>
      <c r="GX134" s="198"/>
      <c r="GY134" s="198"/>
      <c r="GZ134" s="198"/>
      <c r="HA134" s="198"/>
      <c r="HB134" s="198"/>
      <c r="HC134" s="199"/>
      <c r="HD134" s="197">
        <f>'[2]t&amp;t'!W266</f>
        <v>11003.5</v>
      </c>
      <c r="HE134" s="198">
        <f>'[2]t&amp;t'!X266</f>
        <v>1437</v>
      </c>
      <c r="HF134" s="198">
        <f>'[2]t&amp;t'!Y266</f>
        <v>990.5</v>
      </c>
      <c r="HG134" s="198">
        <f>'[2]t&amp;t'!Z266</f>
        <v>894.1</v>
      </c>
      <c r="HH134" s="198">
        <f>'[2]t&amp;t'!AA266</f>
        <v>4089.7999999999997</v>
      </c>
      <c r="HI134" s="198"/>
      <c r="HJ134" s="199">
        <f>'[2]t&amp;t'!AC266</f>
        <v>3592.1000000000004</v>
      </c>
      <c r="HK134" s="197"/>
      <c r="HL134" s="198"/>
      <c r="HM134" s="198"/>
      <c r="HN134" s="198"/>
      <c r="HO134" s="198"/>
      <c r="HP134" s="198"/>
      <c r="HQ134" s="198"/>
      <c r="HR134" s="197"/>
      <c r="HT134" s="198"/>
      <c r="HU134" s="198"/>
      <c r="HV134" s="198"/>
      <c r="HW134" s="198"/>
      <c r="HX134" s="198"/>
    </row>
    <row r="135" spans="1:233">
      <c r="A135" s="185" t="s">
        <v>498</v>
      </c>
      <c r="B135" s="197"/>
      <c r="C135" s="198"/>
      <c r="D135" s="198"/>
      <c r="E135" s="198"/>
      <c r="F135" s="198"/>
      <c r="G135" s="198"/>
      <c r="H135" s="199"/>
      <c r="I135" s="197"/>
      <c r="J135" s="198"/>
      <c r="K135" s="198"/>
      <c r="L135" s="198"/>
      <c r="M135" s="198"/>
      <c r="N135" s="198"/>
      <c r="O135" s="199"/>
      <c r="P135" s="198"/>
      <c r="Q135" s="198"/>
      <c r="R135" s="198"/>
      <c r="S135" s="198"/>
      <c r="T135" s="198"/>
      <c r="U135" s="198"/>
      <c r="V135" s="199"/>
      <c r="W135" s="198">
        <v>2238.2460000000001</v>
      </c>
      <c r="X135" s="198">
        <v>117.559</v>
      </c>
      <c r="Y135" s="198">
        <v>534.471</v>
      </c>
      <c r="Z135" s="198">
        <v>94.664000000000001</v>
      </c>
      <c r="AA135" s="198">
        <v>851.68100000000004</v>
      </c>
      <c r="AB135" s="198"/>
      <c r="AC135" s="199">
        <f t="shared" si="1"/>
        <v>639.87099999999987</v>
      </c>
      <c r="AD135" s="198"/>
      <c r="AE135" s="198">
        <v>36.92</v>
      </c>
      <c r="AF135" s="198">
        <v>143.96899999999999</v>
      </c>
      <c r="AG135" s="198">
        <v>169.63400000000001</v>
      </c>
      <c r="AH135" s="198">
        <v>130.62299999999999</v>
      </c>
      <c r="AI135" s="198"/>
      <c r="AJ135" s="198"/>
      <c r="AK135" s="197"/>
      <c r="AL135" s="198"/>
      <c r="AM135" s="198"/>
      <c r="AN135" s="198"/>
      <c r="AO135" s="198"/>
      <c r="AP135" s="198"/>
      <c r="AQ135" s="199"/>
      <c r="AR135" s="198">
        <v>271371.94442068401</v>
      </c>
      <c r="AS135" s="198">
        <v>72575.057509195976</v>
      </c>
      <c r="AT135" s="198">
        <v>26218.685711457507</v>
      </c>
      <c r="AU135" s="198">
        <v>53627.443268532879</v>
      </c>
      <c r="AV135" s="198">
        <v>36558.068592656098</v>
      </c>
      <c r="AW135" s="198"/>
      <c r="AX135" s="198">
        <v>82392.689338841534</v>
      </c>
      <c r="AY135" s="197"/>
      <c r="AZ135" s="198"/>
      <c r="BA135" s="198"/>
      <c r="BB135" s="198"/>
      <c r="BC135" s="198"/>
      <c r="BD135" s="198"/>
      <c r="BE135" s="198"/>
      <c r="BF135" s="197">
        <v>54537088.309999995</v>
      </c>
      <c r="BG135" s="198"/>
      <c r="BH135" s="198">
        <v>28853280.859999999</v>
      </c>
      <c r="BI135" s="198">
        <v>15197390.189999998</v>
      </c>
      <c r="BJ135" s="198">
        <v>10486417.259999998</v>
      </c>
      <c r="BK135" s="198">
        <v>0</v>
      </c>
      <c r="BL135" s="198"/>
      <c r="BM135" s="197">
        <v>838139.35800000001</v>
      </c>
      <c r="BN135" s="198">
        <v>89592.258000000002</v>
      </c>
      <c r="BO135" s="198">
        <v>129694.86599999999</v>
      </c>
      <c r="BP135" s="198">
        <v>159764.33300000001</v>
      </c>
      <c r="BQ135" s="198">
        <v>200914.136</v>
      </c>
      <c r="BR135" s="198"/>
      <c r="BS135" s="198">
        <f t="shared" si="2"/>
        <v>258173.7649999999</v>
      </c>
      <c r="BT135" s="197"/>
      <c r="BU135" s="198"/>
      <c r="BV135" s="198"/>
      <c r="BW135" s="198"/>
      <c r="BX135" s="198"/>
      <c r="BY135" s="198"/>
      <c r="BZ135" s="198"/>
      <c r="CA135" s="197"/>
      <c r="CB135" s="198"/>
      <c r="CC135" s="198"/>
      <c r="CD135" s="198"/>
      <c r="CE135" s="198"/>
      <c r="CF135" s="198"/>
      <c r="CG135" s="198"/>
      <c r="CH135" s="197"/>
      <c r="CI135" s="198"/>
      <c r="CJ135" s="198"/>
      <c r="CK135" s="198"/>
      <c r="CL135" s="198"/>
      <c r="CM135" s="198"/>
      <c r="CN135" s="198"/>
      <c r="CO135" s="197"/>
      <c r="CP135" s="198"/>
      <c r="CQ135" s="198"/>
      <c r="CR135" s="198"/>
      <c r="CS135" s="198"/>
      <c r="CT135" s="198"/>
      <c r="CU135" s="198"/>
      <c r="CV135" s="197"/>
      <c r="CW135" s="198"/>
      <c r="CX135" s="198"/>
      <c r="CY135" s="198"/>
      <c r="CZ135" s="198"/>
      <c r="DA135" s="198"/>
      <c r="DB135" s="198"/>
      <c r="DC135" s="197"/>
      <c r="DD135" s="198"/>
      <c r="DE135" s="198"/>
      <c r="DF135" s="198"/>
      <c r="DG135" s="198"/>
      <c r="DH135" s="198"/>
      <c r="DI135" s="198"/>
      <c r="DJ135" s="197"/>
      <c r="DK135" s="198"/>
      <c r="DL135" s="198"/>
      <c r="DM135" s="198"/>
      <c r="DN135" s="198"/>
      <c r="DO135" s="198"/>
      <c r="DP135" s="198"/>
      <c r="DQ135" s="197"/>
      <c r="DR135" s="198"/>
      <c r="DS135" s="198"/>
      <c r="DT135" s="198"/>
      <c r="DU135" s="198"/>
      <c r="DV135" s="198"/>
      <c r="DW135" s="198"/>
      <c r="DX135" s="197"/>
      <c r="DY135" s="198"/>
      <c r="DZ135" s="198"/>
      <c r="EA135" s="198"/>
      <c r="EB135" s="198"/>
      <c r="EC135" s="198"/>
      <c r="ED135" s="198"/>
      <c r="EE135" s="197"/>
      <c r="EF135" s="198"/>
      <c r="EG135" s="198"/>
      <c r="EH135" s="198"/>
      <c r="EI135" s="198"/>
      <c r="EJ135" s="198"/>
      <c r="EK135" s="198"/>
      <c r="EL135" s="197"/>
      <c r="EM135" s="198"/>
      <c r="EN135" s="198"/>
      <c r="EO135" s="198"/>
      <c r="EP135" s="198"/>
      <c r="EQ135" s="198"/>
      <c r="ER135" s="198"/>
      <c r="ES135" s="197"/>
      <c r="ET135" s="198"/>
      <c r="EU135" s="198"/>
      <c r="EV135" s="198"/>
      <c r="EW135" s="198"/>
      <c r="EX135" s="198"/>
      <c r="EY135" s="198"/>
      <c r="EZ135" s="197"/>
      <c r="FA135" s="198"/>
      <c r="FB135" s="198"/>
      <c r="FC135" s="198"/>
      <c r="FD135" s="198"/>
      <c r="FE135" s="198"/>
      <c r="FF135" s="198"/>
      <c r="FG135" s="197"/>
      <c r="FH135" s="198"/>
      <c r="FI135" s="198"/>
      <c r="FJ135" s="198"/>
      <c r="FK135" s="198"/>
      <c r="FL135" s="198"/>
      <c r="FM135" s="198"/>
      <c r="FN135" s="197">
        <v>41674088</v>
      </c>
      <c r="FO135" s="198">
        <v>10298382</v>
      </c>
      <c r="FP135" s="198">
        <v>6407486</v>
      </c>
      <c r="FQ135" s="198"/>
      <c r="FR135" s="198"/>
      <c r="FS135" s="198"/>
      <c r="FT135" s="199"/>
      <c r="FU135" s="197"/>
      <c r="FV135" s="198"/>
      <c r="FW135" s="198"/>
      <c r="FX135" s="198"/>
      <c r="FY135" s="198"/>
      <c r="FZ135" s="198"/>
      <c r="GA135" s="199"/>
      <c r="GB135" s="197"/>
      <c r="GC135" s="198"/>
      <c r="GD135" s="198"/>
      <c r="GE135" s="198"/>
      <c r="GF135" s="198"/>
      <c r="GG135" s="198"/>
      <c r="GH135" s="199"/>
      <c r="GI135" s="197"/>
      <c r="GJ135" s="198"/>
      <c r="GK135" s="198"/>
      <c r="GL135" s="198"/>
      <c r="GM135" s="198"/>
      <c r="GN135" s="198"/>
      <c r="GO135" s="199"/>
      <c r="GP135" s="197"/>
      <c r="GQ135" s="198"/>
      <c r="GR135" s="198"/>
      <c r="GS135" s="198"/>
      <c r="GT135" s="198"/>
      <c r="GU135" s="198"/>
      <c r="GV135" s="199"/>
      <c r="GW135" s="197"/>
      <c r="GX135" s="198"/>
      <c r="GY135" s="198"/>
      <c r="GZ135" s="198"/>
      <c r="HA135" s="198"/>
      <c r="HB135" s="198"/>
      <c r="HC135" s="199"/>
      <c r="HD135" s="197"/>
      <c r="HE135" s="198"/>
      <c r="HF135" s="198"/>
      <c r="HG135" s="198"/>
      <c r="HH135" s="198"/>
      <c r="HI135" s="198"/>
      <c r="HJ135" s="199"/>
      <c r="HK135" s="197"/>
      <c r="HL135" s="198"/>
      <c r="HM135" s="198"/>
      <c r="HN135" s="198"/>
      <c r="HO135" s="198"/>
      <c r="HP135" s="198"/>
      <c r="HQ135" s="198"/>
      <c r="HR135" s="197"/>
      <c r="HT135" s="198"/>
      <c r="HU135" s="198"/>
      <c r="HV135" s="198"/>
      <c r="HW135" s="198"/>
      <c r="HX135" s="198"/>
    </row>
    <row r="136" spans="1:233">
      <c r="A136" s="185" t="s">
        <v>499</v>
      </c>
      <c r="B136" s="197"/>
      <c r="C136" s="198"/>
      <c r="D136" s="198"/>
      <c r="E136" s="198"/>
      <c r="F136" s="198"/>
      <c r="G136" s="198"/>
      <c r="H136" s="199"/>
      <c r="I136" s="197"/>
      <c r="J136" s="198"/>
      <c r="K136" s="198"/>
      <c r="L136" s="198"/>
      <c r="M136" s="198"/>
      <c r="N136" s="198"/>
      <c r="O136" s="199"/>
      <c r="P136" s="198"/>
      <c r="Q136" s="198"/>
      <c r="R136" s="198"/>
      <c r="S136" s="198"/>
      <c r="T136" s="198"/>
      <c r="U136" s="198"/>
      <c r="V136" s="199"/>
      <c r="W136" s="198">
        <v>2293.3200000000002</v>
      </c>
      <c r="X136" s="198">
        <v>111.492</v>
      </c>
      <c r="Y136" s="198">
        <v>534.52299999999991</v>
      </c>
      <c r="Z136" s="198">
        <v>97.698999999999998</v>
      </c>
      <c r="AA136" s="198">
        <v>876.55200000000002</v>
      </c>
      <c r="AB136" s="198"/>
      <c r="AC136" s="199">
        <f t="shared" si="1"/>
        <v>673.05399999999997</v>
      </c>
      <c r="AD136" s="198"/>
      <c r="AE136" s="198">
        <v>34.137999999999998</v>
      </c>
      <c r="AF136" s="198">
        <v>154.08799999999999</v>
      </c>
      <c r="AG136" s="198">
        <v>169.339</v>
      </c>
      <c r="AH136" s="198">
        <v>135.34100000000001</v>
      </c>
      <c r="AI136" s="198"/>
      <c r="AJ136" s="198"/>
      <c r="AK136" s="197"/>
      <c r="AL136" s="198"/>
      <c r="AM136" s="198"/>
      <c r="AN136" s="198"/>
      <c r="AO136" s="198"/>
      <c r="AP136" s="198"/>
      <c r="AQ136" s="199"/>
      <c r="AR136" s="198">
        <v>278753.81946129061</v>
      </c>
      <c r="AS136" s="198">
        <v>72303.04949451705</v>
      </c>
      <c r="AT136" s="198">
        <v>26186.344407267687</v>
      </c>
      <c r="AU136" s="198">
        <v>53974.8679321534</v>
      </c>
      <c r="AV136" s="198">
        <v>35979.616451784968</v>
      </c>
      <c r="AW136" s="198"/>
      <c r="AX136" s="198">
        <v>90309.94117556751</v>
      </c>
      <c r="AY136" s="197"/>
      <c r="AZ136" s="198"/>
      <c r="BA136" s="198"/>
      <c r="BB136" s="198"/>
      <c r="BC136" s="198"/>
      <c r="BD136" s="198"/>
      <c r="BE136" s="198"/>
      <c r="BF136" s="197">
        <v>53238636.120000012</v>
      </c>
      <c r="BG136" s="198"/>
      <c r="BH136" s="198">
        <v>28607717.460000005</v>
      </c>
      <c r="BI136" s="198">
        <v>14283148.619999999</v>
      </c>
      <c r="BJ136" s="198">
        <v>10347770.040000001</v>
      </c>
      <c r="BK136" s="198">
        <v>0</v>
      </c>
      <c r="BL136" s="198"/>
      <c r="BM136" s="197">
        <v>863742.04599999997</v>
      </c>
      <c r="BN136" s="198">
        <v>93723.501000000004</v>
      </c>
      <c r="BO136" s="198">
        <v>137632.38099999999</v>
      </c>
      <c r="BP136" s="198">
        <v>165872.12</v>
      </c>
      <c r="BQ136" s="198">
        <v>207008.734</v>
      </c>
      <c r="BR136" s="198"/>
      <c r="BS136" s="198">
        <f t="shared" si="2"/>
        <v>259505.30999999994</v>
      </c>
      <c r="BT136" s="197"/>
      <c r="BU136" s="198"/>
      <c r="BV136" s="198"/>
      <c r="BW136" s="198"/>
      <c r="BX136" s="198"/>
      <c r="BY136" s="198"/>
      <c r="BZ136" s="198"/>
      <c r="CA136" s="197"/>
      <c r="CB136" s="198"/>
      <c r="CC136" s="198"/>
      <c r="CD136" s="198"/>
      <c r="CE136" s="198"/>
      <c r="CF136" s="198"/>
      <c r="CG136" s="198"/>
      <c r="CH136" s="197"/>
      <c r="CI136" s="198"/>
      <c r="CJ136" s="198"/>
      <c r="CK136" s="198"/>
      <c r="CL136" s="198"/>
      <c r="CM136" s="198"/>
      <c r="CN136" s="198"/>
      <c r="CO136" s="197"/>
      <c r="CP136" s="198"/>
      <c r="CQ136" s="198"/>
      <c r="CR136" s="198"/>
      <c r="CS136" s="198"/>
      <c r="CT136" s="198"/>
      <c r="CU136" s="198"/>
      <c r="CV136" s="197"/>
      <c r="CW136" s="198"/>
      <c r="CX136" s="198"/>
      <c r="CY136" s="198"/>
      <c r="CZ136" s="198"/>
      <c r="DA136" s="198"/>
      <c r="DB136" s="198"/>
      <c r="DC136" s="197"/>
      <c r="DD136" s="198"/>
      <c r="DE136" s="198"/>
      <c r="DF136" s="198"/>
      <c r="DG136" s="198"/>
      <c r="DH136" s="198"/>
      <c r="DI136" s="198"/>
      <c r="DJ136" s="197"/>
      <c r="DK136" s="198"/>
      <c r="DL136" s="198"/>
      <c r="DM136" s="198"/>
      <c r="DN136" s="198"/>
      <c r="DO136" s="198"/>
      <c r="DP136" s="198"/>
      <c r="DQ136" s="197"/>
      <c r="DR136" s="198"/>
      <c r="DS136" s="198"/>
      <c r="DT136" s="198"/>
      <c r="DU136" s="198"/>
      <c r="DV136" s="198"/>
      <c r="DW136" s="198"/>
      <c r="DX136" s="197"/>
      <c r="DY136" s="198"/>
      <c r="DZ136" s="198"/>
      <c r="EA136" s="198"/>
      <c r="EB136" s="198"/>
      <c r="EC136" s="198"/>
      <c r="ED136" s="198"/>
      <c r="EE136" s="197"/>
      <c r="EF136" s="198"/>
      <c r="EG136" s="198"/>
      <c r="EH136" s="198"/>
      <c r="EI136" s="198"/>
      <c r="EJ136" s="198"/>
      <c r="EK136" s="198"/>
      <c r="EL136" s="197"/>
      <c r="EM136" s="198"/>
      <c r="EN136" s="198"/>
      <c r="EO136" s="198"/>
      <c r="EP136" s="198"/>
      <c r="EQ136" s="198"/>
      <c r="ER136" s="198"/>
      <c r="ES136" s="197"/>
      <c r="ET136" s="198"/>
      <c r="EU136" s="198"/>
      <c r="EV136" s="198"/>
      <c r="EW136" s="198"/>
      <c r="EX136" s="198"/>
      <c r="EY136" s="198"/>
      <c r="EZ136" s="197"/>
      <c r="FA136" s="198"/>
      <c r="FB136" s="198"/>
      <c r="FC136" s="198"/>
      <c r="FD136" s="198"/>
      <c r="FE136" s="198"/>
      <c r="FF136" s="198"/>
      <c r="FG136" s="197"/>
      <c r="FH136" s="198"/>
      <c r="FI136" s="198"/>
      <c r="FJ136" s="198"/>
      <c r="FK136" s="198"/>
      <c r="FL136" s="198"/>
      <c r="FM136" s="198"/>
      <c r="FN136" s="197">
        <v>44343370</v>
      </c>
      <c r="FO136" s="198">
        <v>10817170</v>
      </c>
      <c r="FP136" s="198">
        <v>6911456</v>
      </c>
      <c r="FQ136" s="198"/>
      <c r="FR136" s="198"/>
      <c r="FS136" s="198"/>
      <c r="FT136" s="199"/>
      <c r="FU136" s="197"/>
      <c r="FV136" s="198"/>
      <c r="FW136" s="198"/>
      <c r="FX136" s="198"/>
      <c r="FY136" s="198"/>
      <c r="FZ136" s="198"/>
      <c r="GA136" s="199"/>
      <c r="GB136" s="197"/>
      <c r="GC136" s="198"/>
      <c r="GD136" s="198"/>
      <c r="GE136" s="198"/>
      <c r="GF136" s="198"/>
      <c r="GG136" s="198"/>
      <c r="GH136" s="199"/>
      <c r="GI136" s="197"/>
      <c r="GJ136" s="198"/>
      <c r="GK136" s="198"/>
      <c r="GL136" s="198"/>
      <c r="GM136" s="198"/>
      <c r="GN136" s="198"/>
      <c r="GO136" s="199"/>
      <c r="GP136" s="197"/>
      <c r="GQ136" s="198"/>
      <c r="GR136" s="198"/>
      <c r="GS136" s="198"/>
      <c r="GT136" s="198"/>
      <c r="GU136" s="198"/>
      <c r="GV136" s="199"/>
      <c r="GW136" s="197"/>
      <c r="GX136" s="198"/>
      <c r="GY136" s="198"/>
      <c r="GZ136" s="198"/>
      <c r="HA136" s="198"/>
      <c r="HB136" s="198"/>
      <c r="HC136" s="199"/>
      <c r="HD136" s="197"/>
      <c r="HE136" s="198"/>
      <c r="HF136" s="198"/>
      <c r="HG136" s="198"/>
      <c r="HH136" s="198"/>
      <c r="HI136" s="198"/>
      <c r="HJ136" s="199"/>
      <c r="HK136" s="197"/>
      <c r="HL136" s="198"/>
      <c r="HM136" s="198"/>
      <c r="HN136" s="198"/>
      <c r="HO136" s="198"/>
      <c r="HP136" s="198"/>
      <c r="HQ136" s="198"/>
      <c r="HR136" s="197"/>
      <c r="HT136" s="198"/>
      <c r="HU136" s="198"/>
      <c r="HV136" s="198"/>
      <c r="HW136" s="198"/>
      <c r="HX136" s="198"/>
    </row>
    <row r="137" spans="1:233">
      <c r="A137" s="202" t="s">
        <v>500</v>
      </c>
      <c r="B137" s="203">
        <v>1393.5830000000001</v>
      </c>
      <c r="C137" s="204">
        <v>32.093000000000004</v>
      </c>
      <c r="D137" s="204">
        <f>184.02+101.445+23.573</f>
        <v>309.03800000000001</v>
      </c>
      <c r="E137" s="204">
        <v>295.85700000000003</v>
      </c>
      <c r="F137" s="204">
        <f>614.099-E137</f>
        <v>318.24200000000002</v>
      </c>
      <c r="G137" s="204"/>
      <c r="H137" s="205">
        <f>B137-C137-D137-E137-F137</f>
        <v>438.35300000000001</v>
      </c>
      <c r="I137" s="203"/>
      <c r="J137" s="204"/>
      <c r="K137" s="204"/>
      <c r="L137" s="204"/>
      <c r="M137" s="204"/>
      <c r="N137" s="204"/>
      <c r="O137" s="205"/>
      <c r="P137" s="204">
        <v>3037.0010000000002</v>
      </c>
      <c r="Q137" s="204">
        <v>58.368000000000002</v>
      </c>
      <c r="R137" s="204">
        <v>415.25899999999996</v>
      </c>
      <c r="S137" s="204">
        <v>156.08199999999999</v>
      </c>
      <c r="T137" s="204">
        <v>1910.79</v>
      </c>
      <c r="U137" s="204"/>
      <c r="V137" s="205">
        <f>P137-Q137-R137-S137-T137</f>
        <v>496.50200000000041</v>
      </c>
      <c r="W137" s="204">
        <v>2315.4549999999999</v>
      </c>
      <c r="X137" s="204">
        <v>113.43300000000001</v>
      </c>
      <c r="Y137" s="204">
        <v>525.14199999999994</v>
      </c>
      <c r="Z137" s="204">
        <v>87.784000000000006</v>
      </c>
      <c r="AA137" s="204">
        <v>887.33699999999999</v>
      </c>
      <c r="AB137" s="204"/>
      <c r="AC137" s="205">
        <f t="shared" si="1"/>
        <v>701.75900000000001</v>
      </c>
      <c r="AD137" s="204">
        <f>[1]datos!$S269</f>
        <v>691.60400000000004</v>
      </c>
      <c r="AE137" s="204">
        <v>28.553999999999998</v>
      </c>
      <c r="AF137" s="204">
        <v>160.083</v>
      </c>
      <c r="AG137" s="204">
        <v>169.46899999999999</v>
      </c>
      <c r="AH137" s="204">
        <v>145.19200000000001</v>
      </c>
      <c r="AI137" s="204">
        <f>[1]datos!$U269</f>
        <v>65.988</v>
      </c>
      <c r="AJ137" s="204">
        <f>AD137-AE137-AF137-AG137-AH137-AI137</f>
        <v>122.3180000000001</v>
      </c>
      <c r="AK137" s="203"/>
      <c r="AL137" s="204"/>
      <c r="AM137" s="204"/>
      <c r="AN137" s="204"/>
      <c r="AO137" s="204"/>
      <c r="AP137" s="204"/>
      <c r="AQ137" s="205"/>
      <c r="AR137" s="204">
        <v>276888.15588180337</v>
      </c>
      <c r="AS137" s="204">
        <v>71975.644713958434</v>
      </c>
      <c r="AT137" s="204">
        <v>25344.235460717704</v>
      </c>
      <c r="AU137" s="204">
        <v>53955.736169162359</v>
      </c>
      <c r="AV137" s="204">
        <v>36277.034304686938</v>
      </c>
      <c r="AW137" s="204"/>
      <c r="AX137" s="204">
        <v>89335.505233277945</v>
      </c>
      <c r="AY137" s="203"/>
      <c r="AZ137" s="204"/>
      <c r="BA137" s="204"/>
      <c r="BB137" s="204"/>
      <c r="BC137" s="204"/>
      <c r="BD137" s="204"/>
      <c r="BE137" s="204"/>
      <c r="BF137" s="203">
        <v>53700422.589999989</v>
      </c>
      <c r="BG137" s="204"/>
      <c r="BH137" s="204">
        <v>28217977.739999991</v>
      </c>
      <c r="BI137" s="204">
        <v>15560602.880000001</v>
      </c>
      <c r="BJ137" s="204">
        <v>9921841.9700000007</v>
      </c>
      <c r="BK137" s="204">
        <v>0</v>
      </c>
      <c r="BL137" s="204"/>
      <c r="BM137" s="203"/>
      <c r="BN137" s="204"/>
      <c r="BO137" s="204"/>
      <c r="BP137" s="204"/>
      <c r="BQ137" s="204"/>
      <c r="BR137" s="204"/>
      <c r="BS137" s="204"/>
      <c r="BT137" s="203"/>
      <c r="BU137" s="204"/>
      <c r="BV137" s="204"/>
      <c r="BW137" s="204"/>
      <c r="BX137" s="204"/>
      <c r="BY137" s="204"/>
      <c r="BZ137" s="204"/>
      <c r="CA137" s="203">
        <v>510.76600000000002</v>
      </c>
      <c r="CB137" s="204">
        <v>34.052</v>
      </c>
      <c r="CC137" s="204">
        <f>78.944+25.082+2.847</f>
        <v>106.873</v>
      </c>
      <c r="CD137" s="204">
        <v>120.93600000000001</v>
      </c>
      <c r="CE137" s="204">
        <f>190.387-CD137</f>
        <v>69.450999999999993</v>
      </c>
      <c r="CF137" s="204"/>
      <c r="CG137" s="204">
        <f>CA137-CB137-CC137-CD137-CE137</f>
        <v>179.45400000000001</v>
      </c>
      <c r="CH137" s="203"/>
      <c r="CI137" s="204"/>
      <c r="CJ137" s="204"/>
      <c r="CK137" s="204"/>
      <c r="CL137" s="204"/>
      <c r="CM137" s="204"/>
      <c r="CN137" s="204"/>
      <c r="CO137" s="203"/>
      <c r="CP137" s="204"/>
      <c r="CQ137" s="204"/>
      <c r="CR137" s="204"/>
      <c r="CS137" s="204"/>
      <c r="CT137" s="204"/>
      <c r="CU137" s="204"/>
      <c r="CV137" s="203">
        <v>797.06200000000001</v>
      </c>
      <c r="CW137" s="204">
        <v>23.331</v>
      </c>
      <c r="CX137" s="204">
        <f>104.866+61.017+12.904</f>
        <v>178.78700000000001</v>
      </c>
      <c r="CY137" s="204">
        <v>230.60599999999999</v>
      </c>
      <c r="CZ137" s="204">
        <f>385.106-CY137</f>
        <v>154.5</v>
      </c>
      <c r="DA137" s="204"/>
      <c r="DB137" s="204">
        <f>CV137-CW137-CX137-CY137-CZ137</f>
        <v>209.83799999999997</v>
      </c>
      <c r="DC137" s="203"/>
      <c r="DD137" s="204"/>
      <c r="DE137" s="204"/>
      <c r="DF137" s="204"/>
      <c r="DG137" s="204"/>
      <c r="DH137" s="204"/>
      <c r="DI137" s="204"/>
      <c r="DJ137" s="203">
        <f>440.6+49037.8</f>
        <v>49478.400000000001</v>
      </c>
      <c r="DK137" s="204">
        <f>131.7+13749.2</f>
        <v>13880.900000000001</v>
      </c>
      <c r="DL137" s="204">
        <f>0.3+1103.6+8715</f>
        <v>9818.9</v>
      </c>
      <c r="DM137" s="204">
        <v>2943.2</v>
      </c>
      <c r="DN137" s="204">
        <f>9946.8-DM137</f>
        <v>7003.5999999999995</v>
      </c>
      <c r="DO137" s="204"/>
      <c r="DP137" s="204">
        <f>DJ137-SUM(DK137:DN137)</f>
        <v>15831.799999999996</v>
      </c>
      <c r="DQ137" s="203"/>
      <c r="DR137" s="204"/>
      <c r="DS137" s="204"/>
      <c r="DT137" s="204"/>
      <c r="DU137" s="204"/>
      <c r="DV137" s="204"/>
      <c r="DW137" s="204"/>
      <c r="DX137" s="203"/>
      <c r="DY137" s="204"/>
      <c r="DZ137" s="204"/>
      <c r="EA137" s="204"/>
      <c r="EB137" s="204"/>
      <c r="EC137" s="204"/>
      <c r="ED137" s="204"/>
      <c r="EE137" s="203">
        <v>43083.847000000002</v>
      </c>
      <c r="EF137" s="204">
        <v>4001.96</v>
      </c>
      <c r="EG137" s="204">
        <v>7995.8020000000006</v>
      </c>
      <c r="EH137" s="204">
        <v>2540.172</v>
      </c>
      <c r="EI137" s="204">
        <v>10625.813</v>
      </c>
      <c r="EJ137" s="204"/>
      <c r="EK137" s="204">
        <f>EE137-EF137-EG137-EH137-EI137</f>
        <v>17920.100000000006</v>
      </c>
      <c r="EL137" s="203"/>
      <c r="EM137" s="204"/>
      <c r="EN137" s="204"/>
      <c r="EO137" s="204"/>
      <c r="EP137" s="204"/>
      <c r="EQ137" s="204"/>
      <c r="ER137" s="204"/>
      <c r="ES137" s="203">
        <v>10322.508472319996</v>
      </c>
      <c r="ET137" s="204">
        <v>1558.45484351</v>
      </c>
      <c r="EU137" s="204">
        <v>2002.0850967199999</v>
      </c>
      <c r="EV137" s="204">
        <v>202.03826058999999</v>
      </c>
      <c r="EW137" s="204">
        <v>2310.2753824599999</v>
      </c>
      <c r="EX137" s="204"/>
      <c r="EY137" s="204">
        <f>ES137-ET137-EU137-EV137-EW137</f>
        <v>4249.6548890399954</v>
      </c>
      <c r="EZ137" s="203"/>
      <c r="FA137" s="204"/>
      <c r="FB137" s="204"/>
      <c r="FC137" s="204"/>
      <c r="FD137" s="204"/>
      <c r="FE137" s="204"/>
      <c r="FF137" s="204"/>
      <c r="FG137" s="203"/>
      <c r="FH137" s="204"/>
      <c r="FI137" s="204"/>
      <c r="FJ137" s="204"/>
      <c r="FK137" s="204"/>
      <c r="FL137" s="204"/>
      <c r="FM137" s="204"/>
      <c r="FN137" s="203">
        <v>44547950</v>
      </c>
      <c r="FO137" s="204">
        <v>11298598</v>
      </c>
      <c r="FP137" s="204">
        <v>6523595</v>
      </c>
      <c r="FQ137" s="204"/>
      <c r="FR137" s="204"/>
      <c r="FS137" s="204"/>
      <c r="FT137" s="205"/>
      <c r="FU137" s="203"/>
      <c r="FV137" s="204"/>
      <c r="FW137" s="204"/>
      <c r="FX137" s="204"/>
      <c r="FY137" s="204"/>
      <c r="FZ137" s="204"/>
      <c r="GA137" s="205"/>
      <c r="GB137" s="203">
        <v>853.02800000000002</v>
      </c>
      <c r="GC137" s="204">
        <v>27.85</v>
      </c>
      <c r="GD137" s="204">
        <f>101.003+52.526+12.219</f>
        <v>165.74799999999999</v>
      </c>
      <c r="GE137" s="204">
        <v>179.71799999999999</v>
      </c>
      <c r="GF137" s="204">
        <f>302.621-GE137</f>
        <v>122.90299999999999</v>
      </c>
      <c r="GG137" s="204"/>
      <c r="GH137" s="205">
        <f>GB137-GC137-GD137-GE137-GF137</f>
        <v>356.80900000000008</v>
      </c>
      <c r="GI137" s="203">
        <v>576.67100000000005</v>
      </c>
      <c r="GJ137" s="204">
        <v>23.399000000000001</v>
      </c>
      <c r="GK137" s="204">
        <f>74.6+26.7+6.553</f>
        <v>107.85299999999999</v>
      </c>
      <c r="GL137" s="204">
        <v>172.541</v>
      </c>
      <c r="GM137" s="204">
        <f>297.111-GL137</f>
        <v>124.57</v>
      </c>
      <c r="GN137" s="204"/>
      <c r="GO137" s="205">
        <f>GI137-GJ137-GK137-GL137-GM137</f>
        <v>148.30800000000005</v>
      </c>
      <c r="GP137" s="203">
        <v>1422.16</v>
      </c>
      <c r="GQ137" s="204">
        <v>51.372999999999998</v>
      </c>
      <c r="GR137" s="204">
        <f>178.584+118.673+15.128</f>
        <v>312.38499999999999</v>
      </c>
      <c r="GS137" s="204">
        <v>303.34399999999999</v>
      </c>
      <c r="GT137" s="204">
        <f>703.106-GS137</f>
        <v>399.762</v>
      </c>
      <c r="GU137" s="204"/>
      <c r="GV137" s="205">
        <f>GP137-GQ137-GR137-GS137-GT137</f>
        <v>355.29599999999999</v>
      </c>
      <c r="GW137" s="203"/>
      <c r="GX137" s="204"/>
      <c r="GY137" s="204"/>
      <c r="GZ137" s="204"/>
      <c r="HA137" s="204"/>
      <c r="HB137" s="204"/>
      <c r="HC137" s="205"/>
      <c r="HD137" s="203">
        <f>'[2]t&amp;t'!W269</f>
        <v>11451.1</v>
      </c>
      <c r="HE137" s="204">
        <f>'[2]t&amp;t'!X269</f>
        <v>1430.3999999999999</v>
      </c>
      <c r="HF137" s="204">
        <f>'[2]t&amp;t'!Y269</f>
        <v>1093.8</v>
      </c>
      <c r="HG137" s="204">
        <f>'[2]t&amp;t'!Z269</f>
        <v>844.3</v>
      </c>
      <c r="HH137" s="204">
        <f>'[2]t&amp;t'!AA269</f>
        <v>4364.8</v>
      </c>
      <c r="HI137" s="204"/>
      <c r="HJ137" s="205">
        <f>'[2]t&amp;t'!AC269</f>
        <v>3717.7999999999997</v>
      </c>
      <c r="HK137" s="203"/>
      <c r="HL137" s="204"/>
      <c r="HM137" s="204"/>
      <c r="HN137" s="204"/>
      <c r="HO137" s="204"/>
      <c r="HP137" s="204"/>
      <c r="HQ137" s="204"/>
      <c r="HR137" s="197"/>
      <c r="HS137" s="206"/>
      <c r="HT137" s="204"/>
      <c r="HU137" s="204"/>
      <c r="HV137" s="204"/>
      <c r="HW137" s="204"/>
      <c r="HX137" s="204"/>
      <c r="HY137" s="198"/>
    </row>
    <row r="138" spans="1:233">
      <c r="A138" s="185" t="s">
        <v>666</v>
      </c>
      <c r="B138" s="197"/>
      <c r="C138" s="198"/>
      <c r="D138" s="198"/>
      <c r="E138" s="198"/>
      <c r="F138" s="198"/>
      <c r="G138" s="198"/>
      <c r="H138" s="199"/>
      <c r="I138" s="197"/>
      <c r="J138" s="198"/>
      <c r="K138" s="198"/>
      <c r="L138" s="198"/>
      <c r="M138" s="198"/>
      <c r="N138" s="198"/>
      <c r="O138" s="199"/>
      <c r="P138" s="198"/>
      <c r="Q138" s="198"/>
      <c r="R138" s="198"/>
      <c r="S138" s="198"/>
      <c r="T138" s="198"/>
      <c r="U138" s="198"/>
      <c r="V138" s="199"/>
      <c r="W138" s="198">
        <v>2336.1190000000001</v>
      </c>
      <c r="X138" s="198">
        <v>108.872</v>
      </c>
      <c r="Y138" s="198">
        <v>526.21</v>
      </c>
      <c r="Z138" s="198">
        <v>97.16</v>
      </c>
      <c r="AA138" s="198">
        <v>894.33100000000002</v>
      </c>
      <c r="AB138" s="198"/>
      <c r="AC138" s="199">
        <f t="shared" si="1"/>
        <v>709.54600000000016</v>
      </c>
      <c r="AD138" s="198"/>
      <c r="AE138" s="198">
        <v>42.872</v>
      </c>
      <c r="AF138" s="198">
        <v>155.386</v>
      </c>
      <c r="AG138" s="198">
        <v>168.19200000000001</v>
      </c>
      <c r="AH138" s="198">
        <v>140.797</v>
      </c>
      <c r="AI138" s="198"/>
      <c r="AJ138" s="198"/>
      <c r="AK138" s="197"/>
      <c r="AL138" s="198"/>
      <c r="AM138" s="198"/>
      <c r="AN138" s="198"/>
      <c r="AO138" s="198"/>
      <c r="AP138" s="198"/>
      <c r="AQ138" s="199"/>
      <c r="AR138" s="198">
        <v>285571.94550052355</v>
      </c>
      <c r="AS138" s="198">
        <v>82747.710855547397</v>
      </c>
      <c r="AT138" s="198">
        <v>27187.335164963424</v>
      </c>
      <c r="AU138" s="198">
        <v>54140.516413380356</v>
      </c>
      <c r="AV138" s="198">
        <v>36578.836377006388</v>
      </c>
      <c r="AW138" s="198"/>
      <c r="AX138" s="198">
        <v>84917.54668962599</v>
      </c>
      <c r="AY138" s="197"/>
      <c r="AZ138" s="198"/>
      <c r="BA138" s="198"/>
      <c r="BB138" s="198"/>
      <c r="BC138" s="198"/>
      <c r="BD138" s="198"/>
      <c r="BE138" s="198"/>
      <c r="BF138" s="197">
        <v>53928004.900000013</v>
      </c>
      <c r="BG138" s="198"/>
      <c r="BH138" s="198">
        <v>28225323.720000006</v>
      </c>
      <c r="BI138" s="198">
        <v>15538595.260000002</v>
      </c>
      <c r="BJ138" s="198">
        <v>10164085.920000002</v>
      </c>
      <c r="BK138" s="198">
        <v>0</v>
      </c>
      <c r="BL138" s="198"/>
      <c r="BM138" s="197">
        <v>893037.38</v>
      </c>
      <c r="BN138" s="198">
        <v>99292.214999999997</v>
      </c>
      <c r="BO138" s="198">
        <v>143340.43100000001</v>
      </c>
      <c r="BP138" s="198">
        <v>168186.45300000001</v>
      </c>
      <c r="BQ138" s="198">
        <v>203966.845</v>
      </c>
      <c r="BR138" s="198"/>
      <c r="BS138" s="198">
        <f t="shared" si="2"/>
        <v>278251.43599999999</v>
      </c>
      <c r="BT138" s="197"/>
      <c r="BU138" s="198"/>
      <c r="BV138" s="198"/>
      <c r="BW138" s="198"/>
      <c r="BX138" s="198"/>
      <c r="BY138" s="198"/>
      <c r="BZ138" s="198"/>
      <c r="CA138" s="197"/>
      <c r="CB138" s="198"/>
      <c r="CC138" s="198"/>
      <c r="CD138" s="198"/>
      <c r="CE138" s="198"/>
      <c r="CF138" s="198"/>
      <c r="CG138" s="198"/>
      <c r="CH138" s="197"/>
      <c r="CI138" s="198"/>
      <c r="CJ138" s="198"/>
      <c r="CK138" s="198"/>
      <c r="CL138" s="198"/>
      <c r="CM138" s="198"/>
      <c r="CN138" s="198"/>
      <c r="CO138" s="197"/>
      <c r="CP138" s="198"/>
      <c r="CQ138" s="198"/>
      <c r="CR138" s="198"/>
      <c r="CS138" s="198"/>
      <c r="CT138" s="198"/>
      <c r="CU138" s="198"/>
      <c r="CV138" s="197"/>
      <c r="CW138" s="198"/>
      <c r="CX138" s="198"/>
      <c r="CY138" s="198"/>
      <c r="CZ138" s="198"/>
      <c r="DA138" s="198"/>
      <c r="DB138" s="198"/>
      <c r="DC138" s="197"/>
      <c r="DD138" s="198"/>
      <c r="DE138" s="198"/>
      <c r="DF138" s="198"/>
      <c r="DG138" s="198"/>
      <c r="DH138" s="198"/>
      <c r="DI138" s="198"/>
      <c r="DJ138" s="197"/>
      <c r="DK138" s="198"/>
      <c r="DL138" s="198"/>
      <c r="DM138" s="198"/>
      <c r="DN138" s="198"/>
      <c r="DO138" s="198"/>
      <c r="DP138" s="198"/>
      <c r="DQ138" s="197"/>
      <c r="DR138" s="198"/>
      <c r="DS138" s="198"/>
      <c r="DT138" s="198"/>
      <c r="DU138" s="198"/>
      <c r="DV138" s="198"/>
      <c r="DW138" s="198"/>
      <c r="DX138" s="197"/>
      <c r="DY138" s="198"/>
      <c r="DZ138" s="198"/>
      <c r="EA138" s="198"/>
      <c r="EB138" s="198"/>
      <c r="EC138" s="198"/>
      <c r="ED138" s="198"/>
      <c r="EE138" s="207"/>
      <c r="EL138" s="207"/>
      <c r="ES138" s="207"/>
      <c r="EZ138" s="197"/>
      <c r="FA138" s="198"/>
      <c r="FB138" s="198"/>
      <c r="FC138" s="198"/>
      <c r="FD138" s="198"/>
      <c r="FE138" s="198"/>
      <c r="FF138" s="198"/>
      <c r="FG138" s="197"/>
      <c r="FH138" s="198"/>
      <c r="FI138" s="198"/>
      <c r="FJ138" s="198"/>
      <c r="FK138" s="198"/>
      <c r="FL138" s="198"/>
      <c r="FM138" s="198"/>
      <c r="FN138" s="197">
        <v>45313428</v>
      </c>
      <c r="FO138" s="198">
        <v>11533511</v>
      </c>
      <c r="FP138" s="198">
        <v>6591541</v>
      </c>
      <c r="FQ138" s="198"/>
      <c r="FR138" s="198"/>
      <c r="FS138" s="198"/>
      <c r="FT138" s="199"/>
      <c r="FU138" s="197"/>
      <c r="FV138" s="198"/>
      <c r="FW138" s="198"/>
      <c r="FX138" s="198"/>
      <c r="FY138" s="198"/>
      <c r="FZ138" s="198"/>
      <c r="GA138" s="199"/>
      <c r="GB138" s="197"/>
      <c r="GC138" s="198"/>
      <c r="GD138" s="198"/>
      <c r="GE138" s="198"/>
      <c r="GF138" s="198"/>
      <c r="GG138" s="198"/>
      <c r="GH138" s="199"/>
      <c r="GI138" s="197"/>
      <c r="GJ138" s="198"/>
      <c r="GK138" s="198"/>
      <c r="GL138" s="198"/>
      <c r="GM138" s="198"/>
      <c r="GN138" s="198"/>
      <c r="GO138" s="199"/>
      <c r="GP138" s="197"/>
      <c r="GQ138" s="198"/>
      <c r="GR138" s="198"/>
      <c r="GS138" s="198"/>
      <c r="GT138" s="198"/>
      <c r="GU138" s="198"/>
      <c r="GV138" s="199"/>
      <c r="GW138" s="197"/>
      <c r="GX138" s="198"/>
      <c r="GY138" s="198"/>
      <c r="GZ138" s="198"/>
      <c r="HA138" s="198"/>
      <c r="HB138" s="198"/>
      <c r="HC138" s="199"/>
      <c r="HD138" s="197"/>
      <c r="HE138" s="198"/>
      <c r="HF138" s="198"/>
      <c r="HG138" s="198"/>
      <c r="HH138" s="198"/>
      <c r="HI138" s="198"/>
      <c r="HJ138" s="199"/>
      <c r="HK138" s="197"/>
      <c r="HL138" s="198"/>
      <c r="HM138" s="198"/>
      <c r="HN138" s="198"/>
      <c r="HO138" s="198"/>
      <c r="HP138" s="198"/>
      <c r="HQ138" s="198"/>
      <c r="HR138" s="197"/>
      <c r="HT138" s="201"/>
      <c r="HU138" s="201"/>
      <c r="HV138" s="201"/>
      <c r="HW138" s="201"/>
      <c r="HX138" s="198"/>
    </row>
    <row r="139" spans="1:233">
      <c r="A139" s="185" t="s">
        <v>490</v>
      </c>
      <c r="B139" s="197"/>
      <c r="C139" s="198"/>
      <c r="D139" s="198"/>
      <c r="E139" s="198"/>
      <c r="F139" s="198"/>
      <c r="G139" s="198"/>
      <c r="H139" s="199"/>
      <c r="I139" s="197"/>
      <c r="J139" s="198"/>
      <c r="K139" s="198"/>
      <c r="L139" s="198"/>
      <c r="M139" s="198"/>
      <c r="N139" s="198"/>
      <c r="O139" s="199"/>
      <c r="P139" s="198"/>
      <c r="Q139" s="198"/>
      <c r="R139" s="198"/>
      <c r="S139" s="198"/>
      <c r="T139" s="198"/>
      <c r="U139" s="198"/>
      <c r="V139" s="199"/>
      <c r="W139" s="198">
        <v>2359.8980000000001</v>
      </c>
      <c r="X139" s="198">
        <v>106.622</v>
      </c>
      <c r="Y139" s="198">
        <v>543.71900000000005</v>
      </c>
      <c r="Z139" s="198">
        <v>100.911</v>
      </c>
      <c r="AA139" s="198">
        <v>895.01599999999996</v>
      </c>
      <c r="AB139" s="198"/>
      <c r="AC139" s="199">
        <f t="shared" si="1"/>
        <v>713.63000000000022</v>
      </c>
      <c r="AD139" s="198"/>
      <c r="AE139" s="198">
        <v>46.009</v>
      </c>
      <c r="AF139" s="198">
        <v>159.636</v>
      </c>
      <c r="AG139" s="198">
        <v>163.577</v>
      </c>
      <c r="AH139" s="198">
        <v>142.01400000000001</v>
      </c>
      <c r="AI139" s="198"/>
      <c r="AJ139" s="198"/>
      <c r="AK139" s="197"/>
      <c r="AL139" s="198"/>
      <c r="AM139" s="198"/>
      <c r="AN139" s="198"/>
      <c r="AO139" s="198"/>
      <c r="AP139" s="198"/>
      <c r="AQ139" s="199"/>
      <c r="AR139" s="198">
        <v>288519.39976149582</v>
      </c>
      <c r="AS139" s="198">
        <v>85970.117733196326</v>
      </c>
      <c r="AT139" s="198">
        <v>27292.321358481724</v>
      </c>
      <c r="AU139" s="198">
        <v>54050.974226292608</v>
      </c>
      <c r="AV139" s="198">
        <v>36283.992723089847</v>
      </c>
      <c r="AW139" s="198"/>
      <c r="AX139" s="198">
        <v>84921.993720435334</v>
      </c>
      <c r="AY139" s="197"/>
      <c r="AZ139" s="198"/>
      <c r="BA139" s="198"/>
      <c r="BB139" s="198"/>
      <c r="BC139" s="198"/>
      <c r="BD139" s="198"/>
      <c r="BE139" s="198"/>
      <c r="BF139" s="197">
        <v>53609436.479999989</v>
      </c>
      <c r="BG139" s="198"/>
      <c r="BH139" s="198">
        <v>27955254.819999997</v>
      </c>
      <c r="BI139" s="198">
        <v>15671810.109999999</v>
      </c>
      <c r="BJ139" s="198">
        <v>9982371.5499999989</v>
      </c>
      <c r="BK139" s="198">
        <v>0</v>
      </c>
      <c r="BL139" s="198"/>
      <c r="BM139" s="197"/>
      <c r="BN139" s="198"/>
      <c r="BO139" s="198"/>
      <c r="BP139" s="198"/>
      <c r="BQ139" s="198"/>
      <c r="BR139" s="198"/>
      <c r="BS139" s="198"/>
      <c r="BT139" s="197"/>
      <c r="BU139" s="198"/>
      <c r="BV139" s="198"/>
      <c r="BW139" s="198"/>
      <c r="BX139" s="198"/>
      <c r="BY139" s="198"/>
      <c r="BZ139" s="198"/>
      <c r="CA139" s="197"/>
      <c r="CB139" s="198"/>
      <c r="CC139" s="198"/>
      <c r="CD139" s="198"/>
      <c r="CE139" s="198"/>
      <c r="CF139" s="198"/>
      <c r="CG139" s="198"/>
      <c r="CH139" s="197"/>
      <c r="CI139" s="198"/>
      <c r="CJ139" s="198"/>
      <c r="CK139" s="198"/>
      <c r="CL139" s="198"/>
      <c r="CM139" s="198"/>
      <c r="CN139" s="198"/>
      <c r="CO139" s="197"/>
      <c r="CP139" s="198"/>
      <c r="CQ139" s="198"/>
      <c r="CR139" s="198"/>
      <c r="CS139" s="198"/>
      <c r="CT139" s="198"/>
      <c r="CU139" s="198"/>
      <c r="CV139" s="197"/>
      <c r="CW139" s="198"/>
      <c r="CX139" s="198"/>
      <c r="CY139" s="198"/>
      <c r="CZ139" s="198"/>
      <c r="DA139" s="198"/>
      <c r="DB139" s="198"/>
      <c r="DC139" s="197"/>
      <c r="DD139" s="198"/>
      <c r="DE139" s="198"/>
      <c r="DF139" s="198"/>
      <c r="DG139" s="198"/>
      <c r="DH139" s="198"/>
      <c r="DI139" s="198"/>
      <c r="DJ139" s="197"/>
      <c r="DK139" s="198"/>
      <c r="DL139" s="198"/>
      <c r="DM139" s="198"/>
      <c r="DN139" s="198"/>
      <c r="DO139" s="198"/>
      <c r="DP139" s="198"/>
      <c r="DQ139" s="197"/>
      <c r="DR139" s="198"/>
      <c r="DS139" s="198"/>
      <c r="DT139" s="198"/>
      <c r="DU139" s="198"/>
      <c r="DV139" s="198"/>
      <c r="DW139" s="198"/>
      <c r="DX139" s="197"/>
      <c r="DY139" s="198"/>
      <c r="DZ139" s="198"/>
      <c r="EA139" s="198"/>
      <c r="EB139" s="198"/>
      <c r="EC139" s="198"/>
      <c r="ED139" s="198"/>
      <c r="EE139" s="207"/>
      <c r="EL139" s="207"/>
      <c r="ES139" s="207"/>
      <c r="EZ139" s="197"/>
      <c r="FA139" s="198"/>
      <c r="FB139" s="198"/>
      <c r="FC139" s="198"/>
      <c r="FD139" s="198"/>
      <c r="FE139" s="198"/>
      <c r="FF139" s="198"/>
      <c r="FG139" s="197"/>
      <c r="FH139" s="198"/>
      <c r="FI139" s="198"/>
      <c r="FJ139" s="198"/>
      <c r="FK139" s="198"/>
      <c r="FL139" s="198"/>
      <c r="FM139" s="198"/>
      <c r="FN139" s="197">
        <v>47125842</v>
      </c>
      <c r="FO139" s="198">
        <v>12295145</v>
      </c>
      <c r="FP139" s="198">
        <v>6998188</v>
      </c>
      <c r="FQ139" s="198"/>
      <c r="FR139" s="198"/>
      <c r="FS139" s="198"/>
      <c r="FT139" s="199"/>
      <c r="FU139" s="197"/>
      <c r="FV139" s="198"/>
      <c r="FW139" s="198"/>
      <c r="FX139" s="198"/>
      <c r="FY139" s="198"/>
      <c r="FZ139" s="198"/>
      <c r="GA139" s="199"/>
      <c r="GB139" s="197"/>
      <c r="GC139" s="198"/>
      <c r="GD139" s="198"/>
      <c r="GE139" s="198"/>
      <c r="GF139" s="198"/>
      <c r="GG139" s="198"/>
      <c r="GH139" s="199"/>
      <c r="GI139" s="197"/>
      <c r="GJ139" s="198"/>
      <c r="GK139" s="198"/>
      <c r="GL139" s="198"/>
      <c r="GM139" s="198"/>
      <c r="GN139" s="198"/>
      <c r="GO139" s="199"/>
      <c r="GP139" s="197"/>
      <c r="GQ139" s="198"/>
      <c r="GR139" s="198"/>
      <c r="GS139" s="198"/>
      <c r="GT139" s="198"/>
      <c r="GU139" s="198"/>
      <c r="GV139" s="199"/>
      <c r="GW139" s="197"/>
      <c r="GX139" s="198"/>
      <c r="GY139" s="198"/>
      <c r="GZ139" s="198"/>
      <c r="HA139" s="198"/>
      <c r="HB139" s="198"/>
      <c r="HC139" s="199"/>
      <c r="HD139" s="197"/>
      <c r="HE139" s="198"/>
      <c r="HF139" s="198"/>
      <c r="HG139" s="198"/>
      <c r="HH139" s="198"/>
      <c r="HI139" s="198"/>
      <c r="HJ139" s="199"/>
      <c r="HK139" s="197"/>
      <c r="HL139" s="198"/>
      <c r="HM139" s="198"/>
      <c r="HN139" s="198"/>
      <c r="HO139" s="198"/>
      <c r="HP139" s="198"/>
      <c r="HQ139" s="198"/>
      <c r="HR139" s="197"/>
      <c r="HT139" s="198"/>
      <c r="HU139" s="198"/>
      <c r="HV139" s="198"/>
      <c r="HW139" s="198"/>
      <c r="HX139" s="198"/>
    </row>
    <row r="140" spans="1:233">
      <c r="A140" s="185" t="s">
        <v>491</v>
      </c>
      <c r="B140" s="197">
        <v>1421.7729999999999</v>
      </c>
      <c r="C140" s="198">
        <v>36.634</v>
      </c>
      <c r="D140" s="198">
        <f>191.853+99.436+21.348</f>
        <v>312.637</v>
      </c>
      <c r="E140" s="198">
        <v>300.017</v>
      </c>
      <c r="F140" s="198">
        <f>633.457-E140</f>
        <v>333.44</v>
      </c>
      <c r="G140" s="198"/>
      <c r="H140" s="199">
        <f>B140-C140-D140-E140-F140</f>
        <v>439.0449999999999</v>
      </c>
      <c r="I140" s="197"/>
      <c r="J140" s="198"/>
      <c r="K140" s="198"/>
      <c r="L140" s="198"/>
      <c r="M140" s="198"/>
      <c r="N140" s="198"/>
      <c r="O140" s="199"/>
      <c r="P140" s="198"/>
      <c r="Q140" s="198"/>
      <c r="R140" s="198"/>
      <c r="S140" s="198"/>
      <c r="T140" s="198"/>
      <c r="U140" s="198"/>
      <c r="V140" s="199"/>
      <c r="W140" s="198">
        <v>2401.8969999999999</v>
      </c>
      <c r="X140" s="198">
        <v>118.40769999999999</v>
      </c>
      <c r="Y140" s="198">
        <v>551.33979999999997</v>
      </c>
      <c r="Z140" s="198">
        <v>105.375</v>
      </c>
      <c r="AA140" s="198">
        <v>907.1946999999999</v>
      </c>
      <c r="AB140" s="198"/>
      <c r="AC140" s="199">
        <f t="shared" si="1"/>
        <v>719.57979999999986</v>
      </c>
      <c r="AD140" s="198">
        <f>[1]datos!$S272</f>
        <v>705.68299999999999</v>
      </c>
      <c r="AE140" s="198">
        <v>46.212000000000003</v>
      </c>
      <c r="AF140" s="198">
        <v>160.096</v>
      </c>
      <c r="AG140" s="198">
        <v>162.85999999999999</v>
      </c>
      <c r="AH140" s="198">
        <v>142.411</v>
      </c>
      <c r="AI140" s="198">
        <f>[1]datos!$U272</f>
        <v>67.625</v>
      </c>
      <c r="AJ140" s="198">
        <f>AD140-AE140-AF140-AG140-AH140-AI140</f>
        <v>126.47899999999998</v>
      </c>
      <c r="AK140" s="197"/>
      <c r="AL140" s="198"/>
      <c r="AM140" s="198"/>
      <c r="AN140" s="198"/>
      <c r="AO140" s="198"/>
      <c r="AP140" s="198"/>
      <c r="AQ140" s="199"/>
      <c r="AR140" s="198">
        <v>281128.47458938899</v>
      </c>
      <c r="AS140" s="198">
        <v>81030.77988005479</v>
      </c>
      <c r="AT140" s="198">
        <v>26377.087699806765</v>
      </c>
      <c r="AU140" s="198">
        <v>54680.009311876478</v>
      </c>
      <c r="AV140" s="198">
        <v>36268.910610980587</v>
      </c>
      <c r="AW140" s="198"/>
      <c r="AX140" s="198">
        <v>82771.687086670383</v>
      </c>
      <c r="AY140" s="197"/>
      <c r="AZ140" s="198"/>
      <c r="BA140" s="198"/>
      <c r="BB140" s="198"/>
      <c r="BC140" s="198"/>
      <c r="BD140" s="198"/>
      <c r="BE140" s="198"/>
      <c r="BF140" s="197">
        <v>53163968.479999997</v>
      </c>
      <c r="BG140" s="198"/>
      <c r="BH140" s="198">
        <v>27595848.77</v>
      </c>
      <c r="BI140" s="198">
        <v>15785131.91</v>
      </c>
      <c r="BJ140" s="198">
        <v>9782987.8000000007</v>
      </c>
      <c r="BK140" s="198">
        <v>0</v>
      </c>
      <c r="BL140" s="198"/>
      <c r="BM140" s="197">
        <v>921544.62899999996</v>
      </c>
      <c r="BN140" s="198">
        <v>102294.777</v>
      </c>
      <c r="BO140" s="198">
        <v>150537.935</v>
      </c>
      <c r="BP140" s="198">
        <v>172955.27100000001</v>
      </c>
      <c r="BQ140" s="198">
        <v>216726.63</v>
      </c>
      <c r="BR140" s="198"/>
      <c r="BS140" s="198">
        <f t="shared" si="2"/>
        <v>279030.01599999995</v>
      </c>
      <c r="BT140" s="197"/>
      <c r="BU140" s="198"/>
      <c r="BV140" s="198"/>
      <c r="BW140" s="198"/>
      <c r="BX140" s="198"/>
      <c r="BY140" s="198"/>
      <c r="BZ140" s="198"/>
      <c r="CA140" s="197">
        <v>517.22299999999996</v>
      </c>
      <c r="CB140" s="198">
        <v>39.149000000000001</v>
      </c>
      <c r="CC140" s="198">
        <f>75.578+25.229+3.088</f>
        <v>103.895</v>
      </c>
      <c r="CD140" s="198">
        <v>122.51300000000001</v>
      </c>
      <c r="CE140" s="198">
        <f>192.199-CD140</f>
        <v>69.686000000000007</v>
      </c>
      <c r="CF140" s="198"/>
      <c r="CG140" s="198">
        <f>CA140-CB140-CC140-CD140-CE140</f>
        <v>181.97999999999996</v>
      </c>
      <c r="CH140" s="197"/>
      <c r="CI140" s="198"/>
      <c r="CJ140" s="198"/>
      <c r="CK140" s="198"/>
      <c r="CL140" s="198"/>
      <c r="CM140" s="198"/>
      <c r="CN140" s="198"/>
      <c r="CO140" s="197"/>
      <c r="CP140" s="198"/>
      <c r="CQ140" s="198"/>
      <c r="CR140" s="198"/>
      <c r="CS140" s="198"/>
      <c r="CT140" s="198"/>
      <c r="CU140" s="198"/>
      <c r="CV140" s="197">
        <v>799.90700000000004</v>
      </c>
      <c r="CW140" s="198">
        <v>27.734999999999999</v>
      </c>
      <c r="CX140" s="198">
        <f>91.678+53.492+13.034</f>
        <v>158.20399999999998</v>
      </c>
      <c r="CY140" s="198">
        <v>243.76300000000001</v>
      </c>
      <c r="CZ140" s="198">
        <f>403.491-CY140</f>
        <v>159.72799999999998</v>
      </c>
      <c r="DA140" s="198"/>
      <c r="DB140" s="198">
        <f>CV140-CW140-CX140-CY140-CZ140</f>
        <v>210.47700000000006</v>
      </c>
      <c r="DC140" s="197"/>
      <c r="DD140" s="198"/>
      <c r="DE140" s="198"/>
      <c r="DF140" s="198"/>
      <c r="DG140" s="198"/>
      <c r="DH140" s="198"/>
      <c r="DI140" s="198"/>
      <c r="DJ140" s="197">
        <f>340.2+50985.3</f>
        <v>51325.5</v>
      </c>
      <c r="DK140" s="198">
        <f>127.6+14506.5</f>
        <v>14634.1</v>
      </c>
      <c r="DL140" s="198">
        <f>8.7+1324.2+9224.2</f>
        <v>10557.1</v>
      </c>
      <c r="DM140" s="198">
        <v>3563.6</v>
      </c>
      <c r="DN140" s="198">
        <f>10084.3-DM140</f>
        <v>6520.6999999999989</v>
      </c>
      <c r="DO140" s="198"/>
      <c r="DP140" s="198">
        <f>DJ140-SUM(DK140:DN140)</f>
        <v>16050</v>
      </c>
      <c r="DQ140" s="197"/>
      <c r="DR140" s="198"/>
      <c r="DS140" s="198"/>
      <c r="DT140" s="198"/>
      <c r="DU140" s="198"/>
      <c r="DV140" s="198"/>
      <c r="DW140" s="198"/>
      <c r="DX140" s="197">
        <v>12645.109478339999</v>
      </c>
      <c r="DY140" s="198"/>
      <c r="DZ140" s="198">
        <v>10364.833872270001</v>
      </c>
      <c r="EA140" s="198">
        <v>1694.0784187599997</v>
      </c>
      <c r="EB140" s="198">
        <v>540.57025978999991</v>
      </c>
      <c r="EC140" s="198"/>
      <c r="ED140" s="198">
        <v>45.626927519999995</v>
      </c>
      <c r="EE140" s="207"/>
      <c r="EL140" s="207"/>
      <c r="ES140" s="207"/>
      <c r="EZ140" s="197"/>
      <c r="FA140" s="198"/>
      <c r="FB140" s="198"/>
      <c r="FC140" s="198"/>
      <c r="FD140" s="198"/>
      <c r="FE140" s="198"/>
      <c r="FF140" s="198"/>
      <c r="FG140" s="197"/>
      <c r="FH140" s="198"/>
      <c r="FI140" s="198"/>
      <c r="FJ140" s="198"/>
      <c r="FK140" s="198"/>
      <c r="FL140" s="198"/>
      <c r="FM140" s="198"/>
      <c r="FN140" s="197">
        <v>47083156</v>
      </c>
      <c r="FO140" s="198">
        <v>12129267</v>
      </c>
      <c r="FP140" s="198">
        <v>6968822</v>
      </c>
      <c r="FQ140" s="198"/>
      <c r="FR140" s="198"/>
      <c r="FS140" s="198"/>
      <c r="FT140" s="199"/>
      <c r="FU140" s="197"/>
      <c r="FV140" s="198"/>
      <c r="FW140" s="198"/>
      <c r="FX140" s="198"/>
      <c r="FY140" s="198"/>
      <c r="FZ140" s="198"/>
      <c r="GA140" s="199"/>
      <c r="GB140" s="197">
        <v>858.36099999999999</v>
      </c>
      <c r="GC140" s="198">
        <v>25.658000000000001</v>
      </c>
      <c r="GD140" s="198">
        <f>108.854+49.559+12.055</f>
        <v>170.46800000000002</v>
      </c>
      <c r="GE140" s="198">
        <v>176.79</v>
      </c>
      <c r="GF140" s="198">
        <f>301.093-GE140</f>
        <v>124.30300000000003</v>
      </c>
      <c r="GG140" s="198"/>
      <c r="GH140" s="199">
        <f>GB140-GC140-GD140-GE140-GF140</f>
        <v>361.14199999999994</v>
      </c>
      <c r="GI140" s="197">
        <v>586.80600000000004</v>
      </c>
      <c r="GJ140" s="198">
        <v>23.18</v>
      </c>
      <c r="GK140" s="198">
        <f>80.567+26.382+6.506</f>
        <v>113.455</v>
      </c>
      <c r="GL140" s="198">
        <v>172.001</v>
      </c>
      <c r="GM140" s="198">
        <f>300.054-GL140</f>
        <v>128.05299999999997</v>
      </c>
      <c r="GN140" s="198"/>
      <c r="GO140" s="199">
        <f>GI140-GJ140-GK140-GL140-GM140</f>
        <v>150.1170000000001</v>
      </c>
      <c r="GP140" s="197">
        <v>1435.614</v>
      </c>
      <c r="GQ140" s="198">
        <v>52.356000000000002</v>
      </c>
      <c r="GR140" s="198">
        <f>176.945+112.943+15.277</f>
        <v>305.16499999999996</v>
      </c>
      <c r="GS140" s="198">
        <v>316.22800000000001</v>
      </c>
      <c r="GT140" s="198">
        <f>728.78-GS140</f>
        <v>412.55199999999996</v>
      </c>
      <c r="GU140" s="198"/>
      <c r="GV140" s="199">
        <f>GP140-GQ140-GR140-GS140-GT140</f>
        <v>349.31300000000005</v>
      </c>
      <c r="GW140" s="197"/>
      <c r="GX140" s="198"/>
      <c r="GY140" s="198"/>
      <c r="GZ140" s="198"/>
      <c r="HA140" s="198"/>
      <c r="HB140" s="198"/>
      <c r="HC140" s="199"/>
      <c r="HD140" s="197">
        <f>'[2]t&amp;t'!W272</f>
        <v>11609.5</v>
      </c>
      <c r="HE140" s="198">
        <f>'[2]t&amp;t'!X272</f>
        <v>1189</v>
      </c>
      <c r="HF140" s="198">
        <f>'[2]t&amp;t'!Y272</f>
        <v>1083.5</v>
      </c>
      <c r="HG140" s="198">
        <f>'[2]t&amp;t'!Z272</f>
        <v>809.3</v>
      </c>
      <c r="HH140" s="198">
        <f>'[2]t&amp;t'!AA272</f>
        <v>4625.0999999999995</v>
      </c>
      <c r="HI140" s="198"/>
      <c r="HJ140" s="199">
        <f>'[2]t&amp;t'!AC272</f>
        <v>3902.5999999999995</v>
      </c>
      <c r="HK140" s="197"/>
      <c r="HL140" s="198"/>
      <c r="HM140" s="198"/>
      <c r="HN140" s="198"/>
      <c r="HO140" s="198"/>
      <c r="HP140" s="198"/>
      <c r="HQ140" s="198"/>
      <c r="HR140" s="197"/>
      <c r="HT140" s="198"/>
      <c r="HU140" s="198"/>
      <c r="HV140" s="198"/>
      <c r="HW140" s="198"/>
      <c r="HX140" s="198"/>
    </row>
    <row r="141" spans="1:233">
      <c r="A141" s="185" t="s">
        <v>492</v>
      </c>
      <c r="B141" s="197"/>
      <c r="C141" s="198"/>
      <c r="D141" s="198"/>
      <c r="E141" s="198"/>
      <c r="F141" s="198"/>
      <c r="G141" s="198"/>
      <c r="H141" s="199"/>
      <c r="I141" s="197"/>
      <c r="J141" s="198"/>
      <c r="K141" s="198"/>
      <c r="L141" s="198"/>
      <c r="M141" s="198"/>
      <c r="N141" s="198"/>
      <c r="O141" s="199"/>
      <c r="P141" s="198"/>
      <c r="Q141" s="198"/>
      <c r="R141" s="198"/>
      <c r="S141" s="198"/>
      <c r="T141" s="198"/>
      <c r="U141" s="198"/>
      <c r="V141" s="199"/>
      <c r="W141" s="198">
        <v>2467.0439999999999</v>
      </c>
      <c r="X141" s="198">
        <v>119.869</v>
      </c>
      <c r="Y141" s="198">
        <v>531.75599999999997</v>
      </c>
      <c r="Z141" s="198">
        <v>110.48699999999999</v>
      </c>
      <c r="AA141" s="198">
        <v>998.43299999999999</v>
      </c>
      <c r="AB141" s="198"/>
      <c r="AC141" s="199">
        <f t="shared" si="1"/>
        <v>706.4989999999998</v>
      </c>
      <c r="AD141" s="198"/>
      <c r="AE141" s="198">
        <v>47.713999999999999</v>
      </c>
      <c r="AF141" s="198">
        <v>167.09800000000001</v>
      </c>
      <c r="AG141" s="198">
        <v>164.82</v>
      </c>
      <c r="AH141" s="198">
        <v>139.054</v>
      </c>
      <c r="AI141" s="198"/>
      <c r="AJ141" s="198"/>
      <c r="AK141" s="197"/>
      <c r="AL141" s="198"/>
      <c r="AM141" s="198"/>
      <c r="AN141" s="198"/>
      <c r="AO141" s="198"/>
      <c r="AP141" s="198"/>
      <c r="AQ141" s="199"/>
      <c r="AR141" s="198">
        <v>278606.89608869405</v>
      </c>
      <c r="AS141" s="198">
        <v>78976.235373125659</v>
      </c>
      <c r="AT141" s="198">
        <v>26024.309470238295</v>
      </c>
      <c r="AU141" s="198">
        <v>54695.80319873277</v>
      </c>
      <c r="AV141" s="198">
        <v>35926.731323792643</v>
      </c>
      <c r="AW141" s="198"/>
      <c r="AX141" s="198">
        <v>82983.81672280471</v>
      </c>
      <c r="AY141" s="197"/>
      <c r="AZ141" s="198"/>
      <c r="BA141" s="198"/>
      <c r="BB141" s="198"/>
      <c r="BC141" s="198"/>
      <c r="BD141" s="198"/>
      <c r="BE141" s="198"/>
      <c r="BF141" s="197">
        <v>53024155.299999997</v>
      </c>
      <c r="BG141" s="198"/>
      <c r="BH141" s="198">
        <v>27540445.889999993</v>
      </c>
      <c r="BI141" s="198">
        <v>15799148.830000002</v>
      </c>
      <c r="BJ141" s="198">
        <v>9684560.5800000001</v>
      </c>
      <c r="BK141" s="198">
        <v>0</v>
      </c>
      <c r="BL141" s="198"/>
      <c r="BM141" s="197">
        <v>926478.22600000002</v>
      </c>
      <c r="BN141" s="198">
        <v>105084.6</v>
      </c>
      <c r="BO141" s="198">
        <v>150876.43</v>
      </c>
      <c r="BP141" s="198">
        <v>173335.70499999999</v>
      </c>
      <c r="BQ141" s="198">
        <v>220265.63200000001</v>
      </c>
      <c r="BR141" s="198"/>
      <c r="BS141" s="198">
        <f t="shared" si="2"/>
        <v>276915.85900000005</v>
      </c>
      <c r="BT141" s="197"/>
      <c r="BU141" s="198"/>
      <c r="BV141" s="198"/>
      <c r="BW141" s="198"/>
      <c r="BX141" s="198"/>
      <c r="BY141" s="198"/>
      <c r="BZ141" s="198"/>
      <c r="CA141" s="197"/>
      <c r="CB141" s="198"/>
      <c r="CC141" s="198"/>
      <c r="CD141" s="198"/>
      <c r="CE141" s="198"/>
      <c r="CF141" s="198"/>
      <c r="CG141" s="198"/>
      <c r="CH141" s="197"/>
      <c r="CI141" s="198"/>
      <c r="CJ141" s="198"/>
      <c r="CK141" s="198"/>
      <c r="CL141" s="198"/>
      <c r="CM141" s="198"/>
      <c r="CN141" s="198"/>
      <c r="CO141" s="197"/>
      <c r="CP141" s="198"/>
      <c r="CQ141" s="198"/>
      <c r="CR141" s="198"/>
      <c r="CS141" s="198"/>
      <c r="CT141" s="198"/>
      <c r="CU141" s="198"/>
      <c r="CV141" s="197"/>
      <c r="CW141" s="198"/>
      <c r="CX141" s="198"/>
      <c r="CY141" s="198"/>
      <c r="CZ141" s="198"/>
      <c r="DA141" s="198"/>
      <c r="DB141" s="198"/>
      <c r="DC141" s="197"/>
      <c r="DD141" s="198"/>
      <c r="DE141" s="198"/>
      <c r="DF141" s="198"/>
      <c r="DG141" s="198"/>
      <c r="DH141" s="198"/>
      <c r="DI141" s="198"/>
      <c r="DJ141" s="197"/>
      <c r="DK141" s="198"/>
      <c r="DL141" s="198"/>
      <c r="DM141" s="198"/>
      <c r="DN141" s="198"/>
      <c r="DO141" s="198"/>
      <c r="DP141" s="198"/>
      <c r="DQ141" s="197"/>
      <c r="DR141" s="198"/>
      <c r="DS141" s="198"/>
      <c r="DT141" s="198"/>
      <c r="DU141" s="198"/>
      <c r="DV141" s="198"/>
      <c r="DW141" s="198"/>
      <c r="DX141" s="197">
        <v>14150.895286429999</v>
      </c>
      <c r="DY141" s="198"/>
      <c r="DZ141" s="198">
        <v>10900.870950989998</v>
      </c>
      <c r="EA141" s="198">
        <v>2029.33158144</v>
      </c>
      <c r="EB141" s="198">
        <v>1169.4428589299998</v>
      </c>
      <c r="EC141" s="198"/>
      <c r="ED141" s="198">
        <v>51.249895070000001</v>
      </c>
      <c r="EE141" s="197"/>
      <c r="EF141" s="198"/>
      <c r="EG141" s="198"/>
      <c r="EH141" s="198"/>
      <c r="EI141" s="198"/>
      <c r="EJ141" s="198"/>
      <c r="EK141" s="198"/>
      <c r="EL141" s="197"/>
      <c r="EM141" s="198"/>
      <c r="EN141" s="198"/>
      <c r="EO141" s="198"/>
      <c r="EP141" s="198"/>
      <c r="EQ141" s="198"/>
      <c r="ER141" s="198"/>
      <c r="ES141" s="197"/>
      <c r="ET141" s="198"/>
      <c r="EU141" s="198"/>
      <c r="EV141" s="198"/>
      <c r="EW141" s="198"/>
      <c r="EX141" s="198"/>
      <c r="EY141" s="198"/>
      <c r="EZ141" s="197"/>
      <c r="FA141" s="198"/>
      <c r="FB141" s="198"/>
      <c r="FC141" s="198"/>
      <c r="FD141" s="198"/>
      <c r="FE141" s="198"/>
      <c r="FF141" s="198"/>
      <c r="FG141" s="197"/>
      <c r="FH141" s="198"/>
      <c r="FI141" s="198"/>
      <c r="FJ141" s="198"/>
      <c r="FK141" s="198"/>
      <c r="FL141" s="198"/>
      <c r="FM141" s="198"/>
      <c r="FN141" s="197"/>
      <c r="FO141" s="198"/>
      <c r="FP141" s="198"/>
      <c r="FQ141" s="198"/>
      <c r="FR141" s="198"/>
      <c r="FS141" s="198"/>
      <c r="FT141" s="199"/>
      <c r="FU141" s="197"/>
      <c r="FV141" s="198"/>
      <c r="FW141" s="198"/>
      <c r="FX141" s="198"/>
      <c r="FY141" s="198"/>
      <c r="FZ141" s="198"/>
      <c r="GA141" s="199"/>
      <c r="GB141" s="197"/>
      <c r="GC141" s="198"/>
      <c r="GD141" s="198"/>
      <c r="GE141" s="198"/>
      <c r="GF141" s="198"/>
      <c r="GG141" s="198"/>
      <c r="GH141" s="199"/>
      <c r="GI141" s="197"/>
      <c r="GJ141" s="198"/>
      <c r="GK141" s="198"/>
      <c r="GL141" s="198"/>
      <c r="GM141" s="198"/>
      <c r="GN141" s="198"/>
      <c r="GO141" s="199"/>
      <c r="GP141" s="197"/>
      <c r="GQ141" s="198"/>
      <c r="GR141" s="198"/>
      <c r="GS141" s="198"/>
      <c r="GT141" s="198"/>
      <c r="GU141" s="198"/>
      <c r="GV141" s="199"/>
      <c r="GW141" s="197"/>
      <c r="GX141" s="198"/>
      <c r="GY141" s="198"/>
      <c r="GZ141" s="198"/>
      <c r="HA141" s="198"/>
      <c r="HB141" s="198"/>
      <c r="HC141" s="199"/>
      <c r="HD141" s="197"/>
      <c r="HE141" s="198"/>
      <c r="HF141" s="198"/>
      <c r="HG141" s="198"/>
      <c r="HH141" s="198"/>
      <c r="HI141" s="198"/>
      <c r="HJ141" s="199"/>
      <c r="HK141" s="197"/>
      <c r="HL141" s="198"/>
      <c r="HM141" s="198"/>
      <c r="HN141" s="198"/>
      <c r="HO141" s="198"/>
      <c r="HP141" s="198"/>
      <c r="HQ141" s="198"/>
      <c r="HR141" s="197"/>
      <c r="HT141" s="198"/>
      <c r="HU141" s="198"/>
      <c r="HV141" s="198"/>
      <c r="HW141" s="198"/>
      <c r="HX141" s="198"/>
    </row>
    <row r="142" spans="1:233">
      <c r="A142" s="185" t="s">
        <v>493</v>
      </c>
      <c r="B142" s="197"/>
      <c r="C142" s="198"/>
      <c r="D142" s="198"/>
      <c r="E142" s="198"/>
      <c r="F142" s="198"/>
      <c r="G142" s="198"/>
      <c r="H142" s="199"/>
      <c r="I142" s="197"/>
      <c r="J142" s="198"/>
      <c r="K142" s="198"/>
      <c r="L142" s="198"/>
      <c r="M142" s="198"/>
      <c r="N142" s="198"/>
      <c r="O142" s="199"/>
      <c r="P142" s="198"/>
      <c r="Q142" s="198"/>
      <c r="R142" s="198"/>
      <c r="S142" s="198"/>
      <c r="T142" s="198"/>
      <c r="U142" s="198"/>
      <c r="V142" s="199"/>
      <c r="W142" s="198">
        <v>2472.3449999999998</v>
      </c>
      <c r="X142" s="198">
        <v>113.95699999999999</v>
      </c>
      <c r="Y142" s="198">
        <v>524.125</v>
      </c>
      <c r="Z142" s="198">
        <v>134.15700000000001</v>
      </c>
      <c r="AA142" s="198">
        <v>1007.12</v>
      </c>
      <c r="AB142" s="198"/>
      <c r="AC142" s="199">
        <f t="shared" si="1"/>
        <v>692.98599999999999</v>
      </c>
      <c r="AD142" s="198"/>
      <c r="AE142" s="198">
        <v>45.390999999999998</v>
      </c>
      <c r="AF142" s="198">
        <v>170.94499999999999</v>
      </c>
      <c r="AG142" s="198">
        <v>161.96299999999999</v>
      </c>
      <c r="AH142" s="198">
        <v>141.08199999999999</v>
      </c>
      <c r="AI142" s="198"/>
      <c r="AJ142" s="198"/>
      <c r="AK142" s="197"/>
      <c r="AL142" s="198"/>
      <c r="AM142" s="198"/>
      <c r="AN142" s="198"/>
      <c r="AO142" s="198"/>
      <c r="AP142" s="198"/>
      <c r="AQ142" s="199"/>
      <c r="AR142" s="198">
        <v>280167.79663203901</v>
      </c>
      <c r="AS142" s="198">
        <v>80233.98569352401</v>
      </c>
      <c r="AT142" s="198">
        <v>26008.759912237841</v>
      </c>
      <c r="AU142" s="198">
        <v>54639.265827532479</v>
      </c>
      <c r="AV142" s="198">
        <v>36402.432482511475</v>
      </c>
      <c r="AW142" s="198"/>
      <c r="AX142" s="198">
        <v>82883.352716233203</v>
      </c>
      <c r="AY142" s="197">
        <v>24701528</v>
      </c>
      <c r="AZ142" s="198"/>
      <c r="BA142" s="198">
        <v>18670419</v>
      </c>
      <c r="BB142" s="198">
        <v>3870991</v>
      </c>
      <c r="BC142" s="198">
        <v>2160118</v>
      </c>
      <c r="BD142" s="198"/>
      <c r="BE142" s="198"/>
      <c r="BF142" s="197">
        <v>52968413.239999995</v>
      </c>
      <c r="BG142" s="198"/>
      <c r="BH142" s="198">
        <v>27669486.130000003</v>
      </c>
      <c r="BI142" s="198">
        <v>15885794.109999998</v>
      </c>
      <c r="BJ142" s="198">
        <v>9413133</v>
      </c>
      <c r="BK142" s="198">
        <v>0</v>
      </c>
      <c r="BL142" s="198"/>
      <c r="BM142" s="197">
        <v>921923.03200000001</v>
      </c>
      <c r="BN142" s="198">
        <v>103239.31600000001</v>
      </c>
      <c r="BO142" s="198">
        <v>149409.81899999999</v>
      </c>
      <c r="BP142" s="198">
        <v>177809.27499999999</v>
      </c>
      <c r="BQ142" s="198">
        <v>216291.62899999999</v>
      </c>
      <c r="BR142" s="198"/>
      <c r="BS142" s="198">
        <f t="shared" si="2"/>
        <v>275172.99300000002</v>
      </c>
      <c r="BT142" s="197"/>
      <c r="BU142" s="198"/>
      <c r="BV142" s="198"/>
      <c r="BW142" s="198"/>
      <c r="BX142" s="198"/>
      <c r="BY142" s="198"/>
      <c r="BZ142" s="198"/>
      <c r="CA142" s="197"/>
      <c r="CB142" s="198"/>
      <c r="CC142" s="198"/>
      <c r="CD142" s="198"/>
      <c r="CE142" s="198"/>
      <c r="CF142" s="198"/>
      <c r="CG142" s="198"/>
      <c r="CH142" s="197"/>
      <c r="CI142" s="198"/>
      <c r="CJ142" s="198"/>
      <c r="CK142" s="198"/>
      <c r="CL142" s="198"/>
      <c r="CM142" s="198"/>
      <c r="CN142" s="198"/>
      <c r="CO142" s="197"/>
      <c r="CP142" s="198"/>
      <c r="CQ142" s="198"/>
      <c r="CR142" s="198"/>
      <c r="CS142" s="198"/>
      <c r="CT142" s="198"/>
      <c r="CU142" s="198"/>
      <c r="CV142" s="197"/>
      <c r="CW142" s="198"/>
      <c r="CX142" s="198"/>
      <c r="CY142" s="198"/>
      <c r="CZ142" s="198"/>
      <c r="DA142" s="198"/>
      <c r="DB142" s="198"/>
      <c r="DC142" s="197"/>
      <c r="DD142" s="198"/>
      <c r="DE142" s="198"/>
      <c r="DF142" s="198"/>
      <c r="DG142" s="198"/>
      <c r="DH142" s="198"/>
      <c r="DI142" s="198"/>
      <c r="DJ142" s="197"/>
      <c r="DK142" s="198"/>
      <c r="DL142" s="198"/>
      <c r="DM142" s="198"/>
      <c r="DN142" s="198"/>
      <c r="DO142" s="198"/>
      <c r="DP142" s="198"/>
      <c r="DQ142" s="197"/>
      <c r="DR142" s="198"/>
      <c r="DS142" s="198"/>
      <c r="DT142" s="198"/>
      <c r="DU142" s="198"/>
      <c r="DV142" s="198"/>
      <c r="DW142" s="198"/>
      <c r="DX142" s="197">
        <v>22404.840613430002</v>
      </c>
      <c r="DY142" s="198"/>
      <c r="DZ142" s="198">
        <v>18658.606247650001</v>
      </c>
      <c r="EA142" s="198">
        <v>2220.9326391699997</v>
      </c>
      <c r="EB142" s="198">
        <v>1475.7431380699998</v>
      </c>
      <c r="EC142" s="198"/>
      <c r="ED142" s="198">
        <v>49.558588539999995</v>
      </c>
      <c r="EE142" s="197"/>
      <c r="EF142" s="198"/>
      <c r="EG142" s="198"/>
      <c r="EH142" s="198"/>
      <c r="EI142" s="198"/>
      <c r="EJ142" s="198"/>
      <c r="EK142" s="198"/>
      <c r="EL142" s="197"/>
      <c r="EM142" s="198"/>
      <c r="EN142" s="198"/>
      <c r="EO142" s="198"/>
      <c r="EP142" s="198"/>
      <c r="EQ142" s="198"/>
      <c r="ER142" s="198"/>
      <c r="ES142" s="197"/>
      <c r="ET142" s="198"/>
      <c r="EU142" s="198"/>
      <c r="EV142" s="198"/>
      <c r="EW142" s="198"/>
      <c r="EX142" s="198"/>
      <c r="EY142" s="198"/>
      <c r="EZ142" s="197"/>
      <c r="FA142" s="198"/>
      <c r="FB142" s="198"/>
      <c r="FC142" s="198"/>
      <c r="FD142" s="198"/>
      <c r="FE142" s="198"/>
      <c r="FF142" s="198"/>
      <c r="FG142" s="197"/>
      <c r="FH142" s="198"/>
      <c r="FI142" s="198"/>
      <c r="FJ142" s="198"/>
      <c r="FK142" s="198"/>
      <c r="FL142" s="198"/>
      <c r="FM142" s="198"/>
      <c r="FN142" s="197">
        <v>45535.716</v>
      </c>
      <c r="FO142" s="198">
        <v>12009.2</v>
      </c>
      <c r="FP142" s="198">
        <v>6419.9449999999997</v>
      </c>
      <c r="FQ142" s="198"/>
      <c r="FR142" s="198"/>
      <c r="FS142" s="198"/>
      <c r="FT142" s="199"/>
      <c r="FU142" s="197"/>
      <c r="FV142" s="198"/>
      <c r="FW142" s="198"/>
      <c r="FX142" s="198"/>
      <c r="FY142" s="198"/>
      <c r="FZ142" s="198"/>
      <c r="GA142" s="199"/>
      <c r="GB142" s="197"/>
      <c r="GC142" s="198"/>
      <c r="GD142" s="198"/>
      <c r="GE142" s="198"/>
      <c r="GF142" s="198"/>
      <c r="GG142" s="198"/>
      <c r="GH142" s="199"/>
      <c r="GI142" s="197"/>
      <c r="GJ142" s="198"/>
      <c r="GK142" s="198"/>
      <c r="GL142" s="198"/>
      <c r="GM142" s="198"/>
      <c r="GN142" s="198"/>
      <c r="GO142" s="199"/>
      <c r="GP142" s="197"/>
      <c r="GQ142" s="198"/>
      <c r="GR142" s="198"/>
      <c r="GS142" s="198"/>
      <c r="GT142" s="198"/>
      <c r="GU142" s="198"/>
      <c r="GV142" s="199"/>
      <c r="GW142" s="197"/>
      <c r="GX142" s="198"/>
      <c r="GY142" s="198"/>
      <c r="GZ142" s="198"/>
      <c r="HA142" s="198"/>
      <c r="HB142" s="198"/>
      <c r="HC142" s="199"/>
      <c r="HD142" s="197"/>
      <c r="HE142" s="198"/>
      <c r="HF142" s="198"/>
      <c r="HG142" s="198"/>
      <c r="HH142" s="198"/>
      <c r="HI142" s="198"/>
      <c r="HJ142" s="199"/>
      <c r="HK142" s="197"/>
      <c r="HL142" s="198"/>
      <c r="HM142" s="198"/>
      <c r="HN142" s="198"/>
      <c r="HO142" s="198"/>
      <c r="HP142" s="198"/>
      <c r="HQ142" s="198"/>
      <c r="HR142" s="197"/>
      <c r="HT142" s="198"/>
      <c r="HU142" s="198"/>
      <c r="HV142" s="198"/>
      <c r="HW142" s="198"/>
      <c r="HX142" s="198"/>
    </row>
    <row r="143" spans="1:233">
      <c r="A143" s="185" t="s">
        <v>494</v>
      </c>
      <c r="B143" s="197">
        <v>1476.8989999999999</v>
      </c>
      <c r="C143" s="198">
        <v>39.755000000000003</v>
      </c>
      <c r="D143" s="198">
        <f>186.324+101.113+21.73</f>
        <v>309.16700000000003</v>
      </c>
      <c r="E143" s="198">
        <v>329.54</v>
      </c>
      <c r="F143" s="198">
        <f>653.315-E143</f>
        <v>323.77500000000003</v>
      </c>
      <c r="G143" s="198"/>
      <c r="H143" s="199">
        <f>B143-C143-D143-E143-F143</f>
        <v>474.66199999999986</v>
      </c>
      <c r="I143" s="197"/>
      <c r="J143" s="198"/>
      <c r="K143" s="198"/>
      <c r="L143" s="198"/>
      <c r="M143" s="198"/>
      <c r="N143" s="198"/>
      <c r="O143" s="199"/>
      <c r="P143" s="198"/>
      <c r="Q143" s="198"/>
      <c r="R143" s="198"/>
      <c r="S143" s="198"/>
      <c r="T143" s="198"/>
      <c r="U143" s="198"/>
      <c r="V143" s="199"/>
      <c r="W143" s="198">
        <v>2494.7289999999998</v>
      </c>
      <c r="X143" s="198">
        <v>118.17400000000001</v>
      </c>
      <c r="Y143" s="198">
        <v>536.07000000000005</v>
      </c>
      <c r="Z143" s="198">
        <v>131.98699999999999</v>
      </c>
      <c r="AA143" s="198">
        <v>1022.872</v>
      </c>
      <c r="AB143" s="198"/>
      <c r="AC143" s="199">
        <f t="shared" si="1"/>
        <v>685.62599999999964</v>
      </c>
      <c r="AD143" s="198">
        <f>[1]datos!$S275</f>
        <v>686.79200000000003</v>
      </c>
      <c r="AE143" s="198">
        <v>38.384</v>
      </c>
      <c r="AF143" s="198">
        <v>169.11199999999997</v>
      </c>
      <c r="AG143" s="198">
        <v>170.16899999999998</v>
      </c>
      <c r="AH143" s="198">
        <v>145.58799999999999</v>
      </c>
      <c r="AI143" s="198">
        <f>[1]datos!$U275</f>
        <v>46.887999999999998</v>
      </c>
      <c r="AJ143" s="198">
        <f>AD143-AE143-AF143-AG143-AH143-AI143</f>
        <v>116.65100000000007</v>
      </c>
      <c r="AK143" s="197"/>
      <c r="AL143" s="198"/>
      <c r="AM143" s="198"/>
      <c r="AN143" s="198"/>
      <c r="AO143" s="198"/>
      <c r="AP143" s="198"/>
      <c r="AQ143" s="199"/>
      <c r="AR143" s="198">
        <v>280153.85290530685</v>
      </c>
      <c r="AS143" s="198">
        <v>80576.312848873727</v>
      </c>
      <c r="AT143" s="198">
        <v>25750.083954275367</v>
      </c>
      <c r="AU143" s="198">
        <v>54326.196858615011</v>
      </c>
      <c r="AV143" s="198">
        <v>37637.31194155597</v>
      </c>
      <c r="AW143" s="198"/>
      <c r="AX143" s="198">
        <v>81863.947301986802</v>
      </c>
      <c r="AY143" s="197">
        <v>24723103</v>
      </c>
      <c r="AZ143" s="198"/>
      <c r="BA143" s="198">
        <v>18666177</v>
      </c>
      <c r="BB143" s="198">
        <v>3916055</v>
      </c>
      <c r="BC143" s="198">
        <v>2140871</v>
      </c>
      <c r="BD143" s="198"/>
      <c r="BE143" s="198"/>
      <c r="BF143" s="197">
        <v>53180972.590000004</v>
      </c>
      <c r="BG143" s="198"/>
      <c r="BH143" s="198">
        <v>27917647.050000008</v>
      </c>
      <c r="BI143" s="198">
        <v>16118534.120000003</v>
      </c>
      <c r="BJ143" s="198">
        <v>9144791.4199999999</v>
      </c>
      <c r="BK143" s="198">
        <v>0</v>
      </c>
      <c r="BL143" s="198"/>
      <c r="BM143" s="197">
        <v>947787.21299999999</v>
      </c>
      <c r="BN143" s="198">
        <v>104176.80499999999</v>
      </c>
      <c r="BO143" s="198">
        <v>149423.75099999999</v>
      </c>
      <c r="BP143" s="198">
        <v>173890.87299999999</v>
      </c>
      <c r="BQ143" s="198">
        <v>227608.86600000001</v>
      </c>
      <c r="BR143" s="198"/>
      <c r="BS143" s="198">
        <f t="shared" si="2"/>
        <v>292686.91799999995</v>
      </c>
      <c r="BT143" s="197"/>
      <c r="BU143" s="198"/>
      <c r="BV143" s="198"/>
      <c r="BW143" s="198"/>
      <c r="BX143" s="198"/>
      <c r="BY143" s="198"/>
      <c r="BZ143" s="198"/>
      <c r="CA143" s="197">
        <v>502.40199999999999</v>
      </c>
      <c r="CB143" s="198">
        <v>38.923000000000002</v>
      </c>
      <c r="CC143" s="198">
        <f>77.205+25.286+3.001</f>
        <v>105.492</v>
      </c>
      <c r="CD143" s="198">
        <v>123.12</v>
      </c>
      <c r="CE143" s="198">
        <f>195.994-CD143</f>
        <v>72.873999999999995</v>
      </c>
      <c r="CF143" s="198"/>
      <c r="CG143" s="198">
        <f>CA143-CB143-CC143-CD143-CE143</f>
        <v>161.99299999999997</v>
      </c>
      <c r="CH143" s="197"/>
      <c r="CI143" s="198"/>
      <c r="CJ143" s="198"/>
      <c r="CK143" s="198"/>
      <c r="CL143" s="198"/>
      <c r="CM143" s="198"/>
      <c r="CN143" s="198"/>
      <c r="CO143" s="197"/>
      <c r="CP143" s="198"/>
      <c r="CQ143" s="198"/>
      <c r="CR143" s="198"/>
      <c r="CS143" s="198"/>
      <c r="CT143" s="198"/>
      <c r="CU143" s="198"/>
      <c r="CV143" s="197">
        <v>829.94200000000001</v>
      </c>
      <c r="CW143" s="198">
        <v>25.486999999999998</v>
      </c>
      <c r="CX143" s="198">
        <f>97.057+49.128+12.952</f>
        <v>159.137</v>
      </c>
      <c r="CY143" s="198">
        <v>261.91699999999997</v>
      </c>
      <c r="CZ143" s="198">
        <f>427.379-CY143</f>
        <v>165.46200000000005</v>
      </c>
      <c r="DA143" s="198"/>
      <c r="DB143" s="198">
        <f>CV143-CW143-CX143-CY143-CZ143</f>
        <v>217.93899999999996</v>
      </c>
      <c r="DC143" s="197"/>
      <c r="DD143" s="198"/>
      <c r="DE143" s="198"/>
      <c r="DF143" s="198"/>
      <c r="DG143" s="198"/>
      <c r="DH143" s="198"/>
      <c r="DI143" s="198"/>
      <c r="DJ143" s="197">
        <f>363.7+51344.1</f>
        <v>51707.799999999996</v>
      </c>
      <c r="DK143" s="198">
        <f>186.3+15925.2</f>
        <v>16111.5</v>
      </c>
      <c r="DL143" s="198">
        <f>2.8+1253.8+9035.9</f>
        <v>10292.5</v>
      </c>
      <c r="DM143" s="198">
        <v>3205.9</v>
      </c>
      <c r="DN143" s="198">
        <f>9620.8-DM143</f>
        <v>6414.9</v>
      </c>
      <c r="DO143" s="198"/>
      <c r="DP143" s="198">
        <f>DJ143-SUM(DK143:DN143)</f>
        <v>15682.999999999993</v>
      </c>
      <c r="DQ143" s="197"/>
      <c r="DR143" s="198"/>
      <c r="DS143" s="198"/>
      <c r="DT143" s="198"/>
      <c r="DU143" s="198"/>
      <c r="DV143" s="198"/>
      <c r="DW143" s="198"/>
      <c r="DX143" s="197">
        <v>27501.160852499997</v>
      </c>
      <c r="DY143" s="198"/>
      <c r="DZ143" s="198">
        <v>22894.342530370006</v>
      </c>
      <c r="EA143" s="198">
        <v>2725.1384289799998</v>
      </c>
      <c r="EB143" s="198">
        <v>1721.9968911199999</v>
      </c>
      <c r="EC143" s="198"/>
      <c r="ED143" s="198">
        <v>159.68300203000001</v>
      </c>
      <c r="EE143" s="197"/>
      <c r="EF143" s="198"/>
      <c r="EG143" s="198"/>
      <c r="EH143" s="198"/>
      <c r="EI143" s="198"/>
      <c r="EJ143" s="198"/>
      <c r="EK143" s="198"/>
      <c r="EL143" s="197"/>
      <c r="EM143" s="198"/>
      <c r="EN143" s="198"/>
      <c r="EO143" s="198"/>
      <c r="EP143" s="198"/>
      <c r="EQ143" s="198"/>
      <c r="ER143" s="198"/>
      <c r="ES143" s="197"/>
      <c r="ET143" s="198"/>
      <c r="EU143" s="198"/>
      <c r="EV143" s="198"/>
      <c r="EW143" s="198"/>
      <c r="EX143" s="198"/>
      <c r="EY143" s="198"/>
      <c r="EZ143" s="197"/>
      <c r="FA143" s="198"/>
      <c r="FB143" s="198"/>
      <c r="FC143" s="198"/>
      <c r="FD143" s="198"/>
      <c r="FE143" s="198"/>
      <c r="FF143" s="198"/>
      <c r="FG143" s="197"/>
      <c r="FH143" s="198"/>
      <c r="FI143" s="198"/>
      <c r="FJ143" s="198"/>
      <c r="FK143" s="198"/>
      <c r="FL143" s="198"/>
      <c r="FM143" s="198"/>
      <c r="FN143" s="197">
        <v>43824.241000000002</v>
      </c>
      <c r="FO143" s="198">
        <v>11129.999</v>
      </c>
      <c r="FP143" s="198">
        <v>6362.0349999999999</v>
      </c>
      <c r="FQ143" s="198"/>
      <c r="FR143" s="198"/>
      <c r="FS143" s="198"/>
      <c r="FT143" s="199"/>
      <c r="FU143" s="197"/>
      <c r="FV143" s="198"/>
      <c r="FW143" s="198"/>
      <c r="FX143" s="198"/>
      <c r="FY143" s="198"/>
      <c r="FZ143" s="198"/>
      <c r="GA143" s="199"/>
      <c r="GB143" s="197">
        <v>890.97400000000005</v>
      </c>
      <c r="GC143" s="198">
        <v>28.667999999999999</v>
      </c>
      <c r="GD143" s="198">
        <f>106.587+54.608+11.869</f>
        <v>173.06399999999999</v>
      </c>
      <c r="GE143" s="198">
        <v>179.61099999999999</v>
      </c>
      <c r="GF143" s="198">
        <f>310.567-GE143</f>
        <v>130.95600000000002</v>
      </c>
      <c r="GG143" s="198"/>
      <c r="GH143" s="199">
        <f>GB143-GC143-GD143-GE143-GF143</f>
        <v>378.67500000000007</v>
      </c>
      <c r="GI143" s="197">
        <v>603.22900000000004</v>
      </c>
      <c r="GJ143" s="198">
        <v>22.962</v>
      </c>
      <c r="GK143" s="198">
        <f>79.861+25.603+6.551</f>
        <v>112.015</v>
      </c>
      <c r="GL143" s="198">
        <v>198.12</v>
      </c>
      <c r="GM143" s="198">
        <f>303.848-GL143</f>
        <v>105.72800000000001</v>
      </c>
      <c r="GN143" s="198"/>
      <c r="GO143" s="199">
        <f>GI143-GJ143-GK143-GL143-GM143</f>
        <v>164.40400000000005</v>
      </c>
      <c r="GP143" s="197">
        <v>1478.684</v>
      </c>
      <c r="GQ143" s="198">
        <v>52.582999999999998</v>
      </c>
      <c r="GR143" s="198">
        <f>190.902+118.997+15.141</f>
        <v>325.04000000000002</v>
      </c>
      <c r="GS143" s="198">
        <v>345.517</v>
      </c>
      <c r="GT143" s="198">
        <f>714.211-GS143</f>
        <v>368.69400000000002</v>
      </c>
      <c r="GU143" s="198"/>
      <c r="GV143" s="199">
        <f>GP143-GQ143-GR143-GS143-GT143</f>
        <v>386.84999999999985</v>
      </c>
      <c r="GW143" s="197"/>
      <c r="GX143" s="198"/>
      <c r="GY143" s="198"/>
      <c r="GZ143" s="198"/>
      <c r="HA143" s="198"/>
      <c r="HB143" s="198"/>
      <c r="HC143" s="199"/>
      <c r="HD143" s="197">
        <f>'[2]t&amp;t'!W275</f>
        <v>12147.900000000001</v>
      </c>
      <c r="HE143" s="198">
        <f>'[2]t&amp;t'!X275</f>
        <v>1340.8</v>
      </c>
      <c r="HF143" s="198">
        <f>'[2]t&amp;t'!Y275</f>
        <v>1043.2</v>
      </c>
      <c r="HG143" s="198">
        <f>'[2]t&amp;t'!Z275</f>
        <v>823.5</v>
      </c>
      <c r="HH143" s="198">
        <f>'[2]t&amp;t'!AA275</f>
        <v>4715.3999999999996</v>
      </c>
      <c r="HI143" s="198"/>
      <c r="HJ143" s="199">
        <f>'[2]t&amp;t'!AC275</f>
        <v>4225.0000000000009</v>
      </c>
      <c r="HK143" s="197"/>
      <c r="HL143" s="198"/>
      <c r="HM143" s="198"/>
      <c r="HN143" s="198"/>
      <c r="HO143" s="198"/>
      <c r="HP143" s="198"/>
      <c r="HQ143" s="198"/>
      <c r="HR143" s="197"/>
      <c r="HT143" s="198"/>
      <c r="HU143" s="198"/>
      <c r="HV143" s="198"/>
      <c r="HW143" s="198"/>
      <c r="HX143" s="198"/>
    </row>
    <row r="144" spans="1:233">
      <c r="A144" s="185" t="s">
        <v>495</v>
      </c>
      <c r="B144" s="197"/>
      <c r="C144" s="198"/>
      <c r="D144" s="198"/>
      <c r="E144" s="198"/>
      <c r="F144" s="198"/>
      <c r="G144" s="198"/>
      <c r="H144" s="199"/>
      <c r="I144" s="197"/>
      <c r="J144" s="198"/>
      <c r="K144" s="198"/>
      <c r="L144" s="198"/>
      <c r="M144" s="198"/>
      <c r="N144" s="198"/>
      <c r="O144" s="199"/>
      <c r="P144" s="198"/>
      <c r="Q144" s="198"/>
      <c r="R144" s="198"/>
      <c r="S144" s="198"/>
      <c r="T144" s="198"/>
      <c r="U144" s="198"/>
      <c r="V144" s="199"/>
      <c r="W144" s="198">
        <v>2513.7150000000001</v>
      </c>
      <c r="X144" s="198">
        <v>98.438000000000002</v>
      </c>
      <c r="Y144" s="198">
        <v>557.17100000000005</v>
      </c>
      <c r="Z144" s="198">
        <v>186.333</v>
      </c>
      <c r="AA144" s="198">
        <v>1059.82</v>
      </c>
      <c r="AB144" s="198"/>
      <c r="AC144" s="199">
        <f t="shared" si="1"/>
        <v>611.95299999999997</v>
      </c>
      <c r="AD144" s="198"/>
      <c r="AE144" s="198">
        <v>44.238</v>
      </c>
      <c r="AF144" s="198">
        <v>163.27199999999999</v>
      </c>
      <c r="AG144" s="198">
        <v>170.31800000000001</v>
      </c>
      <c r="AH144" s="198">
        <v>149.26499999999999</v>
      </c>
      <c r="AI144" s="198"/>
      <c r="AJ144" s="198"/>
      <c r="AK144" s="197"/>
      <c r="AL144" s="198"/>
      <c r="AM144" s="198"/>
      <c r="AN144" s="198"/>
      <c r="AO144" s="198"/>
      <c r="AP144" s="198"/>
      <c r="AQ144" s="199"/>
      <c r="AR144" s="198">
        <v>282090.5411987048</v>
      </c>
      <c r="AS144" s="198">
        <v>81019.753560633602</v>
      </c>
      <c r="AT144" s="198">
        <v>26139.210655067487</v>
      </c>
      <c r="AU144" s="198">
        <v>54190.036184893295</v>
      </c>
      <c r="AV144" s="198">
        <v>38201.587139699361</v>
      </c>
      <c r="AW144" s="198"/>
      <c r="AX144" s="198">
        <v>82539.953658411046</v>
      </c>
      <c r="AY144" s="197">
        <v>25073794</v>
      </c>
      <c r="AZ144" s="198"/>
      <c r="BA144" s="198">
        <v>18985049</v>
      </c>
      <c r="BB144" s="198">
        <v>3948420</v>
      </c>
      <c r="BC144" s="198">
        <v>2140325</v>
      </c>
      <c r="BD144" s="198"/>
      <c r="BE144" s="198"/>
      <c r="BF144" s="197">
        <v>52368024.759999998</v>
      </c>
      <c r="BG144" s="198"/>
      <c r="BH144" s="198">
        <v>27946698.630000003</v>
      </c>
      <c r="BI144" s="198">
        <v>16012829.109999999</v>
      </c>
      <c r="BJ144" s="198">
        <v>8408497.0199999996</v>
      </c>
      <c r="BK144" s="198">
        <v>0</v>
      </c>
      <c r="BL144" s="198"/>
      <c r="BM144" s="197">
        <v>956312.51199999999</v>
      </c>
      <c r="BN144" s="198">
        <v>102631.595</v>
      </c>
      <c r="BO144" s="198">
        <v>150455.549</v>
      </c>
      <c r="BP144" s="198">
        <v>174794.23</v>
      </c>
      <c r="BQ144" s="198">
        <v>255918.30600000001</v>
      </c>
      <c r="BR144" s="198"/>
      <c r="BS144" s="198">
        <f t="shared" si="2"/>
        <v>272512.83199999994</v>
      </c>
      <c r="BT144" s="197"/>
      <c r="BU144" s="198"/>
      <c r="BV144" s="198"/>
      <c r="BW144" s="198"/>
      <c r="BX144" s="198"/>
      <c r="BY144" s="198"/>
      <c r="BZ144" s="198"/>
      <c r="CA144" s="197"/>
      <c r="CB144" s="198"/>
      <c r="CC144" s="198"/>
      <c r="CD144" s="198"/>
      <c r="CE144" s="198"/>
      <c r="CF144" s="198"/>
      <c r="CG144" s="198"/>
      <c r="CH144" s="197"/>
      <c r="CI144" s="198"/>
      <c r="CJ144" s="198"/>
      <c r="CK144" s="198"/>
      <c r="CL144" s="198"/>
      <c r="CM144" s="198"/>
      <c r="CN144" s="198"/>
      <c r="CO144" s="197"/>
      <c r="CP144" s="198"/>
      <c r="CQ144" s="198"/>
      <c r="CR144" s="198"/>
      <c r="CS144" s="198"/>
      <c r="CT144" s="198"/>
      <c r="CU144" s="198"/>
      <c r="CV144" s="197"/>
      <c r="CW144" s="198"/>
      <c r="CX144" s="198"/>
      <c r="CY144" s="198"/>
      <c r="CZ144" s="198"/>
      <c r="DA144" s="198"/>
      <c r="DB144" s="198"/>
      <c r="DC144" s="197"/>
      <c r="DD144" s="198"/>
      <c r="DE144" s="198"/>
      <c r="DF144" s="198"/>
      <c r="DG144" s="198"/>
      <c r="DH144" s="198"/>
      <c r="DI144" s="198"/>
      <c r="DJ144" s="197"/>
      <c r="DK144" s="198"/>
      <c r="DL144" s="198"/>
      <c r="DM144" s="198"/>
      <c r="DN144" s="198"/>
      <c r="DO144" s="198"/>
      <c r="DP144" s="198"/>
      <c r="DQ144" s="197"/>
      <c r="DR144" s="198"/>
      <c r="DS144" s="198"/>
      <c r="DT144" s="198"/>
      <c r="DU144" s="198"/>
      <c r="DV144" s="198"/>
      <c r="DW144" s="198"/>
      <c r="DX144" s="197">
        <v>28345.660506550012</v>
      </c>
      <c r="DY144" s="198"/>
      <c r="DZ144" s="198">
        <v>23410.16096581001</v>
      </c>
      <c r="EA144" s="198">
        <v>2837.6312116600006</v>
      </c>
      <c r="EB144" s="198">
        <v>1877.2932043200005</v>
      </c>
      <c r="EC144" s="198"/>
      <c r="ED144" s="198">
        <v>220.57512475999997</v>
      </c>
      <c r="EE144" s="197"/>
      <c r="EF144" s="198"/>
      <c r="EG144" s="198"/>
      <c r="EH144" s="198"/>
      <c r="EI144" s="198"/>
      <c r="EJ144" s="198"/>
      <c r="EK144" s="198"/>
      <c r="EL144" s="197"/>
      <c r="EM144" s="198"/>
      <c r="EN144" s="198"/>
      <c r="EO144" s="198"/>
      <c r="EP144" s="198"/>
      <c r="EQ144" s="198"/>
      <c r="ER144" s="198"/>
      <c r="ES144" s="197"/>
      <c r="ET144" s="198"/>
      <c r="EU144" s="198"/>
      <c r="EV144" s="198"/>
      <c r="EW144" s="198"/>
      <c r="EX144" s="198"/>
      <c r="EY144" s="198"/>
      <c r="EZ144" s="197"/>
      <c r="FA144" s="198"/>
      <c r="FB144" s="198"/>
      <c r="FC144" s="198"/>
      <c r="FD144" s="198"/>
      <c r="FE144" s="198"/>
      <c r="FF144" s="198"/>
      <c r="FG144" s="197"/>
      <c r="FH144" s="198"/>
      <c r="FI144" s="198"/>
      <c r="FJ144" s="198"/>
      <c r="FK144" s="198"/>
      <c r="FL144" s="198"/>
      <c r="FM144" s="198"/>
      <c r="FN144" s="197">
        <v>42561.72</v>
      </c>
      <c r="FO144" s="198">
        <v>10942.941000000001</v>
      </c>
      <c r="FP144" s="198">
        <v>6128.1689999999999</v>
      </c>
      <c r="FQ144" s="198"/>
      <c r="FR144" s="198"/>
      <c r="FS144" s="198"/>
      <c r="FT144" s="199"/>
      <c r="FU144" s="197"/>
      <c r="FV144" s="198"/>
      <c r="FW144" s="198"/>
      <c r="FX144" s="198"/>
      <c r="FY144" s="198"/>
      <c r="FZ144" s="198"/>
      <c r="GA144" s="199"/>
      <c r="GB144" s="197"/>
      <c r="GC144" s="198"/>
      <c r="GD144" s="198"/>
      <c r="GE144" s="198"/>
      <c r="GF144" s="198"/>
      <c r="GG144" s="198"/>
      <c r="GH144" s="199"/>
      <c r="GI144" s="197"/>
      <c r="GJ144" s="198"/>
      <c r="GK144" s="198"/>
      <c r="GL144" s="198"/>
      <c r="GM144" s="198"/>
      <c r="GN144" s="198"/>
      <c r="GO144" s="199"/>
      <c r="GP144" s="197"/>
      <c r="GQ144" s="198"/>
      <c r="GR144" s="198"/>
      <c r="GS144" s="198"/>
      <c r="GT144" s="198"/>
      <c r="GU144" s="198"/>
      <c r="GV144" s="199"/>
      <c r="GW144" s="197"/>
      <c r="GX144" s="198"/>
      <c r="GY144" s="198"/>
      <c r="GZ144" s="198"/>
      <c r="HA144" s="198"/>
      <c r="HB144" s="198"/>
      <c r="HC144" s="199"/>
      <c r="HD144" s="197"/>
      <c r="HE144" s="198"/>
      <c r="HF144" s="198"/>
      <c r="HG144" s="198"/>
      <c r="HH144" s="198"/>
      <c r="HI144" s="198"/>
      <c r="HJ144" s="199"/>
      <c r="HK144" s="197"/>
      <c r="HL144" s="198"/>
      <c r="HM144" s="198"/>
      <c r="HN144" s="198"/>
      <c r="HO144" s="198"/>
      <c r="HP144" s="198"/>
      <c r="HQ144" s="198"/>
      <c r="HR144" s="197"/>
      <c r="HT144" s="198"/>
      <c r="HU144" s="198"/>
      <c r="HV144" s="198"/>
      <c r="HW144" s="198"/>
      <c r="HX144" s="198"/>
    </row>
    <row r="145" spans="1:233">
      <c r="A145" s="185" t="s">
        <v>496</v>
      </c>
      <c r="B145" s="197"/>
      <c r="C145" s="198"/>
      <c r="D145" s="198"/>
      <c r="E145" s="198"/>
      <c r="F145" s="198"/>
      <c r="G145" s="198"/>
      <c r="H145" s="199"/>
      <c r="I145" s="197"/>
      <c r="J145" s="198"/>
      <c r="K145" s="198"/>
      <c r="L145" s="198"/>
      <c r="M145" s="198"/>
      <c r="N145" s="198"/>
      <c r="O145" s="199"/>
      <c r="P145" s="198"/>
      <c r="Q145" s="198"/>
      <c r="R145" s="198"/>
      <c r="S145" s="198"/>
      <c r="T145" s="198"/>
      <c r="U145" s="198"/>
      <c r="V145" s="199"/>
      <c r="W145" s="198">
        <v>2528.0079999999998</v>
      </c>
      <c r="X145" s="198">
        <v>97.364000000000004</v>
      </c>
      <c r="Y145" s="198">
        <v>554.30500000000006</v>
      </c>
      <c r="Z145" s="198">
        <v>192.37100000000001</v>
      </c>
      <c r="AA145" s="198">
        <v>1040.0540000000001</v>
      </c>
      <c r="AB145" s="198"/>
      <c r="AC145" s="199">
        <f t="shared" si="1"/>
        <v>643.91399999999953</v>
      </c>
      <c r="AD145" s="198"/>
      <c r="AE145" s="198">
        <v>41.375999999999998</v>
      </c>
      <c r="AF145" s="198">
        <v>163.90099999999998</v>
      </c>
      <c r="AG145" s="198">
        <v>172.74</v>
      </c>
      <c r="AH145" s="198">
        <v>146.73599999999999</v>
      </c>
      <c r="AI145" s="198"/>
      <c r="AJ145" s="198"/>
      <c r="AK145" s="197"/>
      <c r="AL145" s="198"/>
      <c r="AM145" s="198"/>
      <c r="AN145" s="198"/>
      <c r="AO145" s="198"/>
      <c r="AP145" s="198"/>
      <c r="AQ145" s="199"/>
      <c r="AR145" s="198">
        <v>284364.80250841915</v>
      </c>
      <c r="AS145" s="198">
        <v>82182.501609371582</v>
      </c>
      <c r="AT145" s="198">
        <v>26964.718743735233</v>
      </c>
      <c r="AU145" s="198">
        <v>53841.806510493705</v>
      </c>
      <c r="AV145" s="198">
        <v>39274.499953653685</v>
      </c>
      <c r="AW145" s="198"/>
      <c r="AX145" s="198">
        <v>82101.275691164949</v>
      </c>
      <c r="AY145" s="197">
        <v>25094291</v>
      </c>
      <c r="AZ145" s="198"/>
      <c r="BA145" s="198">
        <v>18952869</v>
      </c>
      <c r="BB145" s="198">
        <v>4005736</v>
      </c>
      <c r="BC145" s="198">
        <v>2135686</v>
      </c>
      <c r="BD145" s="198"/>
      <c r="BE145" s="198"/>
      <c r="BF145" s="197">
        <v>51781904.440000005</v>
      </c>
      <c r="BG145" s="198"/>
      <c r="BH145" s="198">
        <v>27689477.040000007</v>
      </c>
      <c r="BI145" s="198">
        <v>15969066.499999998</v>
      </c>
      <c r="BJ145" s="198">
        <v>8123360.9000000004</v>
      </c>
      <c r="BK145" s="198">
        <v>0</v>
      </c>
      <c r="BL145" s="198"/>
      <c r="BM145" s="197">
        <v>986356.35699999996</v>
      </c>
      <c r="BN145" s="198">
        <v>107422.639</v>
      </c>
      <c r="BO145" s="198">
        <v>157043.59</v>
      </c>
      <c r="BP145" s="198">
        <v>176333.875</v>
      </c>
      <c r="BQ145" s="198">
        <v>258563.924</v>
      </c>
      <c r="BR145" s="198"/>
      <c r="BS145" s="198">
        <f t="shared" si="2"/>
        <v>286992.32900000003</v>
      </c>
      <c r="BT145" s="197"/>
      <c r="BU145" s="198"/>
      <c r="BV145" s="198"/>
      <c r="BW145" s="198"/>
      <c r="BX145" s="198"/>
      <c r="BY145" s="198"/>
      <c r="BZ145" s="198"/>
      <c r="CA145" s="197"/>
      <c r="CB145" s="198"/>
      <c r="CC145" s="198"/>
      <c r="CD145" s="198"/>
      <c r="CE145" s="198"/>
      <c r="CF145" s="198"/>
      <c r="CG145" s="198"/>
      <c r="CH145" s="197"/>
      <c r="CI145" s="198"/>
      <c r="CJ145" s="198"/>
      <c r="CK145" s="198"/>
      <c r="CL145" s="198"/>
      <c r="CM145" s="198"/>
      <c r="CN145" s="198"/>
      <c r="CO145" s="197"/>
      <c r="CP145" s="198"/>
      <c r="CQ145" s="198"/>
      <c r="CR145" s="198"/>
      <c r="CS145" s="198"/>
      <c r="CT145" s="198"/>
      <c r="CU145" s="198"/>
      <c r="CV145" s="197"/>
      <c r="CW145" s="198"/>
      <c r="CX145" s="198"/>
      <c r="CY145" s="198"/>
      <c r="CZ145" s="198"/>
      <c r="DA145" s="198"/>
      <c r="DB145" s="198"/>
      <c r="DC145" s="197"/>
      <c r="DD145" s="198"/>
      <c r="DE145" s="198"/>
      <c r="DF145" s="198"/>
      <c r="DG145" s="198"/>
      <c r="DH145" s="198"/>
      <c r="DI145" s="198"/>
      <c r="DJ145" s="197"/>
      <c r="DK145" s="198"/>
      <c r="DL145" s="198"/>
      <c r="DM145" s="198"/>
      <c r="DN145" s="198"/>
      <c r="DO145" s="198"/>
      <c r="DP145" s="198"/>
      <c r="DQ145" s="197"/>
      <c r="DR145" s="198"/>
      <c r="DS145" s="198"/>
      <c r="DT145" s="198"/>
      <c r="DU145" s="198"/>
      <c r="DV145" s="198"/>
      <c r="DW145" s="198"/>
      <c r="DX145" s="197">
        <v>28676.964413840007</v>
      </c>
      <c r="DY145" s="198"/>
      <c r="DZ145" s="198">
        <v>23611.248296890004</v>
      </c>
      <c r="EA145" s="198">
        <v>2765.6999651000006</v>
      </c>
      <c r="EB145" s="198">
        <v>1864.6764101699998</v>
      </c>
      <c r="EC145" s="198"/>
      <c r="ED145" s="198">
        <v>435.33974168000009</v>
      </c>
      <c r="EE145" s="197"/>
      <c r="EF145" s="198"/>
      <c r="EG145" s="198"/>
      <c r="EH145" s="198"/>
      <c r="EI145" s="198"/>
      <c r="EJ145" s="198"/>
      <c r="EK145" s="198"/>
      <c r="EL145" s="197"/>
      <c r="EM145" s="198"/>
      <c r="EN145" s="198"/>
      <c r="EO145" s="198"/>
      <c r="EP145" s="198"/>
      <c r="EQ145" s="198"/>
      <c r="ER145" s="198"/>
      <c r="ES145" s="197"/>
      <c r="ET145" s="198"/>
      <c r="EU145" s="198"/>
      <c r="EV145" s="198"/>
      <c r="EW145" s="198"/>
      <c r="EX145" s="198"/>
      <c r="EY145" s="198"/>
      <c r="EZ145" s="197"/>
      <c r="FA145" s="198"/>
      <c r="FB145" s="198"/>
      <c r="FC145" s="198"/>
      <c r="FD145" s="198"/>
      <c r="FE145" s="198"/>
      <c r="FF145" s="198"/>
      <c r="FG145" s="197"/>
      <c r="FH145" s="198"/>
      <c r="FI145" s="198"/>
      <c r="FJ145" s="198"/>
      <c r="FK145" s="198"/>
      <c r="FL145" s="198"/>
      <c r="FM145" s="198"/>
      <c r="FN145" s="197">
        <v>42926.620999999999</v>
      </c>
      <c r="FO145" s="198">
        <v>10743.897999999999</v>
      </c>
      <c r="FP145" s="198">
        <v>6336.232</v>
      </c>
      <c r="FQ145" s="198"/>
      <c r="FR145" s="198"/>
      <c r="FS145" s="198"/>
      <c r="FT145" s="199"/>
      <c r="FU145" s="197"/>
      <c r="FV145" s="198"/>
      <c r="FW145" s="198"/>
      <c r="FX145" s="198"/>
      <c r="FY145" s="198"/>
      <c r="FZ145" s="198"/>
      <c r="GA145" s="199"/>
      <c r="GB145" s="197"/>
      <c r="GC145" s="198"/>
      <c r="GD145" s="198"/>
      <c r="GE145" s="198"/>
      <c r="GF145" s="198"/>
      <c r="GG145" s="198"/>
      <c r="GH145" s="199"/>
      <c r="GI145" s="197"/>
      <c r="GJ145" s="198"/>
      <c r="GK145" s="198"/>
      <c r="GL145" s="198"/>
      <c r="GM145" s="198"/>
      <c r="GN145" s="198"/>
      <c r="GO145" s="199"/>
      <c r="GP145" s="197"/>
      <c r="GQ145" s="198"/>
      <c r="GR145" s="198"/>
      <c r="GS145" s="198"/>
      <c r="GT145" s="198"/>
      <c r="GU145" s="198"/>
      <c r="GV145" s="199"/>
      <c r="GW145" s="197"/>
      <c r="GX145" s="198"/>
      <c r="GY145" s="198"/>
      <c r="GZ145" s="198"/>
      <c r="HA145" s="198"/>
      <c r="HB145" s="198"/>
      <c r="HC145" s="199"/>
      <c r="HD145" s="197"/>
      <c r="HE145" s="198"/>
      <c r="HF145" s="198"/>
      <c r="HG145" s="198"/>
      <c r="HH145" s="198"/>
      <c r="HI145" s="198"/>
      <c r="HJ145" s="199"/>
      <c r="HK145" s="197"/>
      <c r="HL145" s="198"/>
      <c r="HM145" s="198"/>
      <c r="HN145" s="198"/>
      <c r="HO145" s="198"/>
      <c r="HP145" s="198"/>
      <c r="HQ145" s="198"/>
      <c r="HR145" s="197"/>
      <c r="HT145" s="198"/>
      <c r="HU145" s="198"/>
      <c r="HV145" s="198"/>
      <c r="HW145" s="198"/>
      <c r="HX145" s="198"/>
    </row>
    <row r="146" spans="1:233">
      <c r="A146" s="185" t="s">
        <v>497</v>
      </c>
      <c r="B146" s="197">
        <v>1527.2449999999999</v>
      </c>
      <c r="C146" s="198">
        <v>42.351999999999997</v>
      </c>
      <c r="D146" s="198">
        <f>192.924+105.443+21.683</f>
        <v>320.05</v>
      </c>
      <c r="E146" s="198">
        <v>338.54399999999998</v>
      </c>
      <c r="F146" s="198">
        <f>672.996-E146</f>
        <v>334.452</v>
      </c>
      <c r="G146" s="198"/>
      <c r="H146" s="199">
        <f>B146-C146-D146-E146-F146</f>
        <v>491.84699999999987</v>
      </c>
      <c r="I146" s="197"/>
      <c r="J146" s="198"/>
      <c r="K146" s="198"/>
      <c r="L146" s="198"/>
      <c r="M146" s="198"/>
      <c r="N146" s="198"/>
      <c r="O146" s="199"/>
      <c r="P146" s="198"/>
      <c r="Q146" s="198"/>
      <c r="R146" s="198"/>
      <c r="S146" s="198"/>
      <c r="T146" s="198"/>
      <c r="U146" s="198"/>
      <c r="V146" s="199"/>
      <c r="W146" s="198">
        <v>2577.2550000000001</v>
      </c>
      <c r="X146" s="198">
        <v>99.403000000000006</v>
      </c>
      <c r="Y146" s="198">
        <v>599.36749999999995</v>
      </c>
      <c r="Z146" s="198">
        <v>197.01379999999997</v>
      </c>
      <c r="AA146" s="198">
        <v>1050.71</v>
      </c>
      <c r="AB146" s="198"/>
      <c r="AC146" s="199">
        <f t="shared" si="1"/>
        <v>630.7607000000005</v>
      </c>
      <c r="AD146" s="198">
        <f>[1]datos!$S278</f>
        <v>704.952</v>
      </c>
      <c r="AE146" s="198">
        <v>37.966000000000001</v>
      </c>
      <c r="AF146" s="198">
        <v>168.02800000000002</v>
      </c>
      <c r="AG146" s="198">
        <v>173.839</v>
      </c>
      <c r="AH146" s="198">
        <v>148.42500000000001</v>
      </c>
      <c r="AI146" s="198">
        <f>[1]datos!$U278</f>
        <v>56.93</v>
      </c>
      <c r="AJ146" s="198">
        <f>AD146-AE146-AF146-AG146-AH146-AI146</f>
        <v>119.76399999999995</v>
      </c>
      <c r="AK146" s="197"/>
      <c r="AL146" s="198"/>
      <c r="AM146" s="198"/>
      <c r="AN146" s="198"/>
      <c r="AO146" s="198"/>
      <c r="AP146" s="198"/>
      <c r="AQ146" s="199"/>
      <c r="AR146" s="198">
        <v>287790.50988692528</v>
      </c>
      <c r="AS146" s="198">
        <v>83261.697426225146</v>
      </c>
      <c r="AT146" s="198">
        <v>27370.927119576689</v>
      </c>
      <c r="AU146" s="198">
        <v>53678.633911076933</v>
      </c>
      <c r="AV146" s="198">
        <v>39947.148714710813</v>
      </c>
      <c r="AW146" s="198"/>
      <c r="AX146" s="198">
        <v>83532.102715335699</v>
      </c>
      <c r="AY146" s="197">
        <v>25334308</v>
      </c>
      <c r="AZ146" s="198"/>
      <c r="BA146" s="198">
        <v>19135833</v>
      </c>
      <c r="BB146" s="198">
        <v>4068796</v>
      </c>
      <c r="BC146" s="198">
        <v>2129679</v>
      </c>
      <c r="BD146" s="198"/>
      <c r="BE146" s="198"/>
      <c r="BF146" s="197">
        <v>52326623.520000011</v>
      </c>
      <c r="BG146" s="198"/>
      <c r="BH146" s="198">
        <v>28436593.350000005</v>
      </c>
      <c r="BI146" s="198">
        <v>15990672.199999997</v>
      </c>
      <c r="BJ146" s="198">
        <v>7899357.9700000007</v>
      </c>
      <c r="BK146" s="198">
        <v>0</v>
      </c>
      <c r="BL146" s="198"/>
      <c r="BM146" s="197">
        <v>969714.52800000005</v>
      </c>
      <c r="BN146" s="198">
        <v>104521.363</v>
      </c>
      <c r="BO146" s="198">
        <v>161000.67300000001</v>
      </c>
      <c r="BP146" s="198">
        <v>178123.08199999999</v>
      </c>
      <c r="BQ146" s="198">
        <v>256648.83100000001</v>
      </c>
      <c r="BR146" s="198"/>
      <c r="BS146" s="198">
        <f t="shared" si="2"/>
        <v>269420.57900000003</v>
      </c>
      <c r="BT146" s="197"/>
      <c r="BU146" s="198"/>
      <c r="BV146" s="198"/>
      <c r="BW146" s="198"/>
      <c r="BX146" s="198"/>
      <c r="BY146" s="198"/>
      <c r="BZ146" s="198"/>
      <c r="CA146" s="197">
        <v>493.59399999999999</v>
      </c>
      <c r="CB146" s="198">
        <v>38.770000000000003</v>
      </c>
      <c r="CC146" s="198">
        <f>74.658+25.656+2.986</f>
        <v>103.3</v>
      </c>
      <c r="CD146" s="198">
        <v>123.197</v>
      </c>
      <c r="CE146" s="198">
        <f>202.272-CD146</f>
        <v>79.074999999999989</v>
      </c>
      <c r="CF146" s="198"/>
      <c r="CG146" s="198">
        <f>CA146-CB146-CC146-CD146-CE146</f>
        <v>149.25200000000001</v>
      </c>
      <c r="CH146" s="197"/>
      <c r="CI146" s="198"/>
      <c r="CJ146" s="198"/>
      <c r="CK146" s="198"/>
      <c r="CL146" s="198"/>
      <c r="CM146" s="198"/>
      <c r="CN146" s="198"/>
      <c r="CO146" s="197"/>
      <c r="CP146" s="198"/>
      <c r="CQ146" s="198"/>
      <c r="CR146" s="198"/>
      <c r="CS146" s="198"/>
      <c r="CT146" s="198"/>
      <c r="CU146" s="198"/>
      <c r="CV146" s="197">
        <v>840.41</v>
      </c>
      <c r="CW146" s="198">
        <v>27.535</v>
      </c>
      <c r="CX146" s="198">
        <f>95.618+52.321+13.077</f>
        <v>161.01599999999999</v>
      </c>
      <c r="CY146" s="198">
        <v>272.036</v>
      </c>
      <c r="CZ146" s="198">
        <f>445.632-CY146</f>
        <v>173.596</v>
      </c>
      <c r="DA146" s="198"/>
      <c r="DB146" s="198">
        <f>CV146-CW146-CX146-CY146-CZ146</f>
        <v>206.22700000000003</v>
      </c>
      <c r="DC146" s="197"/>
      <c r="DD146" s="198"/>
      <c r="DE146" s="198"/>
      <c r="DF146" s="198"/>
      <c r="DG146" s="198"/>
      <c r="DH146" s="198"/>
      <c r="DI146" s="198"/>
      <c r="DJ146" s="197">
        <f>550.7+52094.7</f>
        <v>52645.399999999994</v>
      </c>
      <c r="DK146" s="198">
        <f>198.1+15305.5</f>
        <v>15503.6</v>
      </c>
      <c r="DL146" s="198">
        <f>1299.7+9271.9</f>
        <v>10571.6</v>
      </c>
      <c r="DM146" s="198">
        <v>3424.4</v>
      </c>
      <c r="DN146" s="198">
        <f>9950.6-DM146</f>
        <v>6526.2000000000007</v>
      </c>
      <c r="DO146" s="198"/>
      <c r="DP146" s="198">
        <f>DJ146-SUM(DK146:DN146)</f>
        <v>16619.599999999991</v>
      </c>
      <c r="DQ146" s="197"/>
      <c r="DR146" s="198"/>
      <c r="DS146" s="198"/>
      <c r="DT146" s="198"/>
      <c r="DU146" s="198"/>
      <c r="DV146" s="198"/>
      <c r="DW146" s="198"/>
      <c r="DX146" s="197">
        <v>29534.639522419991</v>
      </c>
      <c r="DY146" s="198"/>
      <c r="DZ146" s="198">
        <v>24394.429758300001</v>
      </c>
      <c r="EA146" s="198">
        <v>2627.7771872299995</v>
      </c>
      <c r="EB146" s="198">
        <v>1933.53788065</v>
      </c>
      <c r="EC146" s="198"/>
      <c r="ED146" s="198">
        <v>578.89469623999992</v>
      </c>
      <c r="EE146" s="197"/>
      <c r="EF146" s="198"/>
      <c r="EG146" s="198"/>
      <c r="EH146" s="198"/>
      <c r="EI146" s="198"/>
      <c r="EJ146" s="198"/>
      <c r="EK146" s="198"/>
      <c r="EL146" s="197"/>
      <c r="EM146" s="198"/>
      <c r="EN146" s="198"/>
      <c r="EO146" s="198"/>
      <c r="EP146" s="198"/>
      <c r="EQ146" s="198"/>
      <c r="ER146" s="198"/>
      <c r="ES146" s="197"/>
      <c r="ET146" s="198"/>
      <c r="EU146" s="198"/>
      <c r="EV146" s="198"/>
      <c r="EW146" s="198"/>
      <c r="EX146" s="198"/>
      <c r="EY146" s="198"/>
      <c r="EZ146" s="197"/>
      <c r="FA146" s="198"/>
      <c r="FB146" s="198"/>
      <c r="FC146" s="198"/>
      <c r="FD146" s="198"/>
      <c r="FE146" s="198"/>
      <c r="FF146" s="198"/>
      <c r="FG146" s="197"/>
      <c r="FH146" s="198"/>
      <c r="FI146" s="198"/>
      <c r="FJ146" s="198"/>
      <c r="FK146" s="198"/>
      <c r="FL146" s="198"/>
      <c r="FM146" s="198"/>
      <c r="FN146" s="197">
        <v>41785.281999999999</v>
      </c>
      <c r="FO146" s="198">
        <v>10723.547</v>
      </c>
      <c r="FP146" s="198">
        <v>5877.8649999999998</v>
      </c>
      <c r="FQ146" s="198"/>
      <c r="FR146" s="198"/>
      <c r="FS146" s="198"/>
      <c r="FT146" s="199"/>
      <c r="FU146" s="197"/>
      <c r="FV146" s="198"/>
      <c r="FW146" s="198"/>
      <c r="FX146" s="198"/>
      <c r="FY146" s="198"/>
      <c r="FZ146" s="198"/>
      <c r="GA146" s="199"/>
      <c r="GB146" s="197">
        <v>920.23500000000001</v>
      </c>
      <c r="GC146" s="198">
        <v>22.663</v>
      </c>
      <c r="GD146" s="198">
        <f>113.51+54.714+14.737</f>
        <v>182.96099999999998</v>
      </c>
      <c r="GE146" s="198">
        <v>185.191</v>
      </c>
      <c r="GF146" s="198">
        <f>324.866-GE146</f>
        <v>139.67499999999998</v>
      </c>
      <c r="GG146" s="198"/>
      <c r="GH146" s="199">
        <f>GB146-GC146-GD146-GE146-GF146</f>
        <v>389.745</v>
      </c>
      <c r="GI146" s="197">
        <v>633.58000000000004</v>
      </c>
      <c r="GJ146" s="198">
        <v>22.719000000000001</v>
      </c>
      <c r="GK146" s="198">
        <f>82.644+27.618+6.53</f>
        <v>116.792</v>
      </c>
      <c r="GL146" s="198">
        <v>200.667</v>
      </c>
      <c r="GM146" s="198">
        <f>314.849-GL146</f>
        <v>114.18199999999999</v>
      </c>
      <c r="GN146" s="198"/>
      <c r="GO146" s="199">
        <f>GI146-GJ146-GK146-GL146-GM146</f>
        <v>179.21999999999994</v>
      </c>
      <c r="GP146" s="197">
        <v>1526.558</v>
      </c>
      <c r="GQ146" s="198">
        <v>51.191000000000003</v>
      </c>
      <c r="GR146" s="198">
        <f>199.034+136.87+16.906</f>
        <v>352.81</v>
      </c>
      <c r="GS146" s="198">
        <v>341.40100000000001</v>
      </c>
      <c r="GT146" s="198">
        <f>716.212-GS146</f>
        <v>374.81099999999998</v>
      </c>
      <c r="GU146" s="198"/>
      <c r="GV146" s="199">
        <f>GP146-GQ146-GR146-GS146-GT146</f>
        <v>406.34499999999997</v>
      </c>
      <c r="GW146" s="197"/>
      <c r="GX146" s="198"/>
      <c r="GY146" s="198"/>
      <c r="GZ146" s="198"/>
      <c r="HA146" s="198"/>
      <c r="HB146" s="198"/>
      <c r="HC146" s="199"/>
      <c r="HD146" s="197">
        <f>'[2]t&amp;t'!W278</f>
        <v>12092</v>
      </c>
      <c r="HE146" s="198">
        <f>'[2]t&amp;t'!X278</f>
        <v>1395.4</v>
      </c>
      <c r="HF146" s="198">
        <f>'[2]t&amp;t'!Y278</f>
        <v>764.40000000000009</v>
      </c>
      <c r="HG146" s="198">
        <f>'[2]t&amp;t'!Z278</f>
        <v>827.2</v>
      </c>
      <c r="HH146" s="198">
        <f>'[2]t&amp;t'!AA278</f>
        <v>4881.9000000000005</v>
      </c>
      <c r="HI146" s="198"/>
      <c r="HJ146" s="199">
        <f>'[2]t&amp;t'!AC278</f>
        <v>4223.1000000000004</v>
      </c>
      <c r="HK146" s="197"/>
      <c r="HL146" s="198"/>
      <c r="HM146" s="198"/>
      <c r="HN146" s="198"/>
      <c r="HO146" s="198"/>
      <c r="HP146" s="198"/>
      <c r="HQ146" s="198"/>
      <c r="HR146" s="197"/>
      <c r="HT146" s="198"/>
      <c r="HU146" s="198"/>
      <c r="HV146" s="198"/>
      <c r="HW146" s="198"/>
      <c r="HX146" s="198"/>
    </row>
    <row r="147" spans="1:233">
      <c r="A147" s="185" t="s">
        <v>498</v>
      </c>
      <c r="B147" s="197"/>
      <c r="C147" s="198"/>
      <c r="D147" s="198"/>
      <c r="E147" s="198"/>
      <c r="F147" s="198"/>
      <c r="G147" s="198"/>
      <c r="H147" s="199"/>
      <c r="I147" s="197"/>
      <c r="J147" s="198"/>
      <c r="K147" s="198"/>
      <c r="L147" s="198"/>
      <c r="M147" s="198"/>
      <c r="N147" s="198"/>
      <c r="O147" s="199"/>
      <c r="P147" s="198"/>
      <c r="Q147" s="198"/>
      <c r="R147" s="198"/>
      <c r="S147" s="198"/>
      <c r="T147" s="198"/>
      <c r="U147" s="198"/>
      <c r="V147" s="199"/>
      <c r="W147" s="198">
        <v>2599.511</v>
      </c>
      <c r="X147" s="198">
        <v>106.224</v>
      </c>
      <c r="Y147" s="198">
        <v>617.60500000000002</v>
      </c>
      <c r="Z147" s="198">
        <v>179.61500000000001</v>
      </c>
      <c r="AA147" s="198">
        <v>1071.2729999999999</v>
      </c>
      <c r="AB147" s="198"/>
      <c r="AC147" s="199">
        <f t="shared" ref="AC147:AC210" si="3">W147-X147-Y147-Z147-AA147</f>
        <v>624.79399999999987</v>
      </c>
      <c r="AD147" s="198"/>
      <c r="AE147" s="198">
        <v>42.473999999999997</v>
      </c>
      <c r="AF147" s="198">
        <v>165.88899999999998</v>
      </c>
      <c r="AG147" s="198">
        <v>173.41199999999998</v>
      </c>
      <c r="AH147" s="198">
        <v>151.55500000000001</v>
      </c>
      <c r="AI147" s="198"/>
      <c r="AJ147" s="198"/>
      <c r="AK147" s="197"/>
      <c r="AL147" s="198"/>
      <c r="AM147" s="198"/>
      <c r="AN147" s="198"/>
      <c r="AO147" s="198"/>
      <c r="AP147" s="198"/>
      <c r="AQ147" s="199"/>
      <c r="AR147" s="198">
        <v>292800.18910780112</v>
      </c>
      <c r="AS147" s="198">
        <v>84475.264997698832</v>
      </c>
      <c r="AT147" s="198">
        <v>27946.923030693128</v>
      </c>
      <c r="AU147" s="198">
        <v>53861.777558432783</v>
      </c>
      <c r="AV147" s="198">
        <v>41241.81826469778</v>
      </c>
      <c r="AW147" s="198"/>
      <c r="AX147" s="198">
        <v>85274.405256278595</v>
      </c>
      <c r="AY147" s="197">
        <v>25768556</v>
      </c>
      <c r="AZ147" s="198"/>
      <c r="BA147" s="198">
        <v>19511551</v>
      </c>
      <c r="BB147" s="198">
        <v>4121287.9999999995</v>
      </c>
      <c r="BC147" s="198">
        <v>2135717</v>
      </c>
      <c r="BD147" s="198"/>
      <c r="BE147" s="198"/>
      <c r="BF147" s="197">
        <v>51576531.24000001</v>
      </c>
      <c r="BG147" s="198"/>
      <c r="BH147" s="198">
        <v>28062104.270000007</v>
      </c>
      <c r="BI147" s="198">
        <v>15802806.180000003</v>
      </c>
      <c r="BJ147" s="198">
        <v>7711620.7899999991</v>
      </c>
      <c r="BK147" s="198">
        <v>0</v>
      </c>
      <c r="BL147" s="198"/>
      <c r="BM147" s="197">
        <v>991869.46</v>
      </c>
      <c r="BN147" s="198">
        <v>106717.43</v>
      </c>
      <c r="BO147" s="198">
        <v>167207.81899999999</v>
      </c>
      <c r="BP147" s="198">
        <v>182621.27</v>
      </c>
      <c r="BQ147" s="198">
        <v>259498.81700000001</v>
      </c>
      <c r="BR147" s="198"/>
      <c r="BS147" s="198">
        <f t="shared" si="2"/>
        <v>275824.12399999995</v>
      </c>
      <c r="BT147" s="197"/>
      <c r="BU147" s="198"/>
      <c r="BV147" s="198"/>
      <c r="BW147" s="198"/>
      <c r="BX147" s="198"/>
      <c r="BY147" s="198"/>
      <c r="BZ147" s="198"/>
      <c r="CA147" s="197"/>
      <c r="CB147" s="198"/>
      <c r="CC147" s="198"/>
      <c r="CD147" s="198"/>
      <c r="CE147" s="198"/>
      <c r="CF147" s="198"/>
      <c r="CG147" s="198"/>
      <c r="CH147" s="197"/>
      <c r="CI147" s="198"/>
      <c r="CJ147" s="198"/>
      <c r="CK147" s="198"/>
      <c r="CL147" s="198"/>
      <c r="CM147" s="198"/>
      <c r="CN147" s="198"/>
      <c r="CO147" s="197"/>
      <c r="CP147" s="198"/>
      <c r="CQ147" s="198"/>
      <c r="CR147" s="198"/>
      <c r="CS147" s="198"/>
      <c r="CT147" s="198"/>
      <c r="CU147" s="198"/>
      <c r="CV147" s="197"/>
      <c r="CW147" s="198"/>
      <c r="CX147" s="198"/>
      <c r="CY147" s="198"/>
      <c r="CZ147" s="198"/>
      <c r="DA147" s="198"/>
      <c r="DB147" s="198"/>
      <c r="DC147" s="197"/>
      <c r="DD147" s="198"/>
      <c r="DE147" s="198"/>
      <c r="DF147" s="198"/>
      <c r="DG147" s="198"/>
      <c r="DH147" s="198"/>
      <c r="DI147" s="198"/>
      <c r="DJ147" s="197"/>
      <c r="DK147" s="198"/>
      <c r="DL147" s="198"/>
      <c r="DM147" s="198"/>
      <c r="DN147" s="198"/>
      <c r="DO147" s="198"/>
      <c r="DP147" s="198"/>
      <c r="DQ147" s="197"/>
      <c r="DR147" s="198"/>
      <c r="DS147" s="198"/>
      <c r="DT147" s="198"/>
      <c r="DU147" s="198"/>
      <c r="DV147" s="198"/>
      <c r="DW147" s="198"/>
      <c r="DX147" s="197">
        <v>27298.168940769996</v>
      </c>
      <c r="DY147" s="198"/>
      <c r="DZ147" s="198">
        <v>21566.793003809995</v>
      </c>
      <c r="EA147" s="198">
        <v>2968.6086036700003</v>
      </c>
      <c r="EB147" s="198">
        <v>2180.3348582999988</v>
      </c>
      <c r="EC147" s="198"/>
      <c r="ED147" s="198">
        <v>582.43247499000006</v>
      </c>
      <c r="EE147" s="197"/>
      <c r="EF147" s="198"/>
      <c r="EG147" s="198"/>
      <c r="EH147" s="198"/>
      <c r="EI147" s="198"/>
      <c r="EJ147" s="198"/>
      <c r="EK147" s="198"/>
      <c r="EL147" s="197"/>
      <c r="EM147" s="198"/>
      <c r="EN147" s="198"/>
      <c r="EO147" s="198"/>
      <c r="EP147" s="198"/>
      <c r="EQ147" s="198"/>
      <c r="ER147" s="198"/>
      <c r="ES147" s="197"/>
      <c r="ET147" s="198"/>
      <c r="EU147" s="198"/>
      <c r="EV147" s="198"/>
      <c r="EW147" s="198"/>
      <c r="EX147" s="198"/>
      <c r="EY147" s="198"/>
      <c r="EZ147" s="197"/>
      <c r="FA147" s="198"/>
      <c r="FB147" s="198"/>
      <c r="FC147" s="198"/>
      <c r="FD147" s="198"/>
      <c r="FE147" s="198"/>
      <c r="FF147" s="198"/>
      <c r="FG147" s="197"/>
      <c r="FH147" s="198"/>
      <c r="FI147" s="198"/>
      <c r="FJ147" s="198"/>
      <c r="FK147" s="198"/>
      <c r="FL147" s="198"/>
      <c r="FM147" s="198"/>
      <c r="FN147" s="197">
        <v>42449.760999999999</v>
      </c>
      <c r="FO147" s="198">
        <v>10585.082</v>
      </c>
      <c r="FP147" s="198">
        <v>5945.6459999999997</v>
      </c>
      <c r="FQ147" s="198"/>
      <c r="FR147" s="198"/>
      <c r="FS147" s="198"/>
      <c r="FT147" s="199"/>
      <c r="FU147" s="197"/>
      <c r="FV147" s="198"/>
      <c r="FW147" s="198"/>
      <c r="FX147" s="198"/>
      <c r="FY147" s="198"/>
      <c r="FZ147" s="198"/>
      <c r="GA147" s="199"/>
      <c r="GB147" s="197"/>
      <c r="GC147" s="198"/>
      <c r="GD147" s="198"/>
      <c r="GE147" s="198"/>
      <c r="GF147" s="198"/>
      <c r="GG147" s="198"/>
      <c r="GH147" s="199"/>
      <c r="GI147" s="197"/>
      <c r="GJ147" s="198"/>
      <c r="GK147" s="198"/>
      <c r="GL147" s="198"/>
      <c r="GM147" s="198"/>
      <c r="GN147" s="198"/>
      <c r="GO147" s="199"/>
      <c r="GP147" s="197"/>
      <c r="GQ147" s="198"/>
      <c r="GR147" s="198"/>
      <c r="GS147" s="198"/>
      <c r="GT147" s="198"/>
      <c r="GU147" s="198"/>
      <c r="GV147" s="199"/>
      <c r="GW147" s="197"/>
      <c r="GX147" s="198"/>
      <c r="GY147" s="198"/>
      <c r="GZ147" s="198"/>
      <c r="HA147" s="198"/>
      <c r="HB147" s="198"/>
      <c r="HC147" s="199"/>
      <c r="HD147" s="197"/>
      <c r="HE147" s="198"/>
      <c r="HF147" s="198"/>
      <c r="HG147" s="198"/>
      <c r="HH147" s="198"/>
      <c r="HI147" s="198"/>
      <c r="HJ147" s="199"/>
      <c r="HK147" s="197"/>
      <c r="HL147" s="198"/>
      <c r="HM147" s="198"/>
      <c r="HN147" s="198"/>
      <c r="HO147" s="198"/>
      <c r="HP147" s="198"/>
      <c r="HQ147" s="198"/>
      <c r="HR147" s="197"/>
      <c r="HT147" s="198"/>
      <c r="HU147" s="198"/>
      <c r="HV147" s="198"/>
      <c r="HW147" s="198"/>
      <c r="HX147" s="198"/>
    </row>
    <row r="148" spans="1:233">
      <c r="A148" s="185" t="s">
        <v>499</v>
      </c>
      <c r="B148" s="197"/>
      <c r="C148" s="198"/>
      <c r="D148" s="198"/>
      <c r="E148" s="198"/>
      <c r="F148" s="198"/>
      <c r="G148" s="198"/>
      <c r="H148" s="199"/>
      <c r="I148" s="197"/>
      <c r="J148" s="198"/>
      <c r="K148" s="198"/>
      <c r="L148" s="198"/>
      <c r="M148" s="198"/>
      <c r="N148" s="198"/>
      <c r="O148" s="199"/>
      <c r="P148" s="198"/>
      <c r="Q148" s="198"/>
      <c r="R148" s="198"/>
      <c r="S148" s="198"/>
      <c r="T148" s="198"/>
      <c r="U148" s="198"/>
      <c r="V148" s="199"/>
      <c r="W148" s="198">
        <v>2573.317</v>
      </c>
      <c r="X148" s="198">
        <v>100.08</v>
      </c>
      <c r="Y148" s="198">
        <v>617.19899999999996</v>
      </c>
      <c r="Z148" s="198">
        <v>175.583</v>
      </c>
      <c r="AA148" s="198">
        <v>1076.2249999999999</v>
      </c>
      <c r="AB148" s="198"/>
      <c r="AC148" s="199">
        <f t="shared" si="3"/>
        <v>604.23</v>
      </c>
      <c r="AD148" s="198"/>
      <c r="AE148" s="198">
        <v>43.332999999999998</v>
      </c>
      <c r="AF148" s="198">
        <v>161.34299999999999</v>
      </c>
      <c r="AG148" s="198">
        <v>165.43600000000001</v>
      </c>
      <c r="AH148" s="198">
        <v>164.26599999999999</v>
      </c>
      <c r="AI148" s="198"/>
      <c r="AJ148" s="198"/>
      <c r="AK148" s="197"/>
      <c r="AL148" s="198"/>
      <c r="AM148" s="198"/>
      <c r="AN148" s="198"/>
      <c r="AO148" s="198"/>
      <c r="AP148" s="198"/>
      <c r="AQ148" s="199"/>
      <c r="AR148" s="198">
        <v>295823.76484060381</v>
      </c>
      <c r="AS148" s="198">
        <v>85096.780786177842</v>
      </c>
      <c r="AT148" s="198">
        <v>28638.299048372093</v>
      </c>
      <c r="AU148" s="198">
        <v>53842.272969444501</v>
      </c>
      <c r="AV148" s="198">
        <v>41526.630063069693</v>
      </c>
      <c r="AW148" s="198"/>
      <c r="AX148" s="198">
        <v>86719.781973539692</v>
      </c>
      <c r="AY148" s="197">
        <v>25861402</v>
      </c>
      <c r="AZ148" s="198"/>
      <c r="BA148" s="198">
        <v>19542210</v>
      </c>
      <c r="BB148" s="198">
        <v>4169033.0000000005</v>
      </c>
      <c r="BC148" s="198">
        <v>2150159</v>
      </c>
      <c r="BD148" s="198"/>
      <c r="BE148" s="198"/>
      <c r="BF148" s="197">
        <v>52022009.30999998</v>
      </c>
      <c r="BG148" s="198"/>
      <c r="BH148" s="198">
        <v>28404393.809999987</v>
      </c>
      <c r="BI148" s="198">
        <v>15957216.259999998</v>
      </c>
      <c r="BJ148" s="198">
        <v>7660399.2399999993</v>
      </c>
      <c r="BK148" s="198">
        <v>0</v>
      </c>
      <c r="BL148" s="198"/>
      <c r="BM148" s="197">
        <v>992072.52399999998</v>
      </c>
      <c r="BN148" s="198">
        <v>112150.768</v>
      </c>
      <c r="BO148" s="198">
        <v>176310.568</v>
      </c>
      <c r="BP148" s="198">
        <v>180818.122</v>
      </c>
      <c r="BQ148" s="198">
        <v>253759.98499999999</v>
      </c>
      <c r="BR148" s="198"/>
      <c r="BS148" s="198">
        <f t="shared" si="2"/>
        <v>269033.08100000001</v>
      </c>
      <c r="BT148" s="197"/>
      <c r="BU148" s="198"/>
      <c r="BV148" s="198"/>
      <c r="BW148" s="198"/>
      <c r="BX148" s="198"/>
      <c r="BY148" s="198"/>
      <c r="BZ148" s="198"/>
      <c r="CA148" s="197"/>
      <c r="CB148" s="198"/>
      <c r="CC148" s="198"/>
      <c r="CD148" s="198"/>
      <c r="CE148" s="198"/>
      <c r="CF148" s="198"/>
      <c r="CG148" s="198"/>
      <c r="CH148" s="197"/>
      <c r="CI148" s="198"/>
      <c r="CJ148" s="198"/>
      <c r="CK148" s="198"/>
      <c r="CL148" s="198"/>
      <c r="CM148" s="198"/>
      <c r="CN148" s="198"/>
      <c r="CO148" s="197"/>
      <c r="CP148" s="198"/>
      <c r="CQ148" s="198"/>
      <c r="CR148" s="198"/>
      <c r="CS148" s="198"/>
      <c r="CT148" s="198"/>
      <c r="CU148" s="198"/>
      <c r="CV148" s="197"/>
      <c r="CW148" s="198"/>
      <c r="CX148" s="198"/>
      <c r="CY148" s="198"/>
      <c r="CZ148" s="198"/>
      <c r="DA148" s="198"/>
      <c r="DB148" s="198"/>
      <c r="DC148" s="197"/>
      <c r="DD148" s="198"/>
      <c r="DE148" s="198"/>
      <c r="DF148" s="198"/>
      <c r="DG148" s="198"/>
      <c r="DH148" s="198"/>
      <c r="DI148" s="198"/>
      <c r="DJ148" s="197"/>
      <c r="DK148" s="198"/>
      <c r="DL148" s="198"/>
      <c r="DM148" s="198"/>
      <c r="DN148" s="198"/>
      <c r="DO148" s="198"/>
      <c r="DP148" s="198"/>
      <c r="DQ148" s="197"/>
      <c r="DR148" s="198"/>
      <c r="DS148" s="198"/>
      <c r="DT148" s="198"/>
      <c r="DU148" s="198"/>
      <c r="DV148" s="198"/>
      <c r="DW148" s="198"/>
      <c r="DX148" s="197">
        <v>28671.728924299994</v>
      </c>
      <c r="DY148" s="198"/>
      <c r="DZ148" s="198">
        <v>22738.224434079999</v>
      </c>
      <c r="EA148" s="198">
        <v>3052.9201025199995</v>
      </c>
      <c r="EB148" s="198">
        <v>2221.1134114299998</v>
      </c>
      <c r="EC148" s="198"/>
      <c r="ED148" s="198">
        <v>659.47097626999994</v>
      </c>
      <c r="EE148" s="197"/>
      <c r="EF148" s="198"/>
      <c r="EG148" s="198"/>
      <c r="EH148" s="198"/>
      <c r="EI148" s="198"/>
      <c r="EJ148" s="198"/>
      <c r="EK148" s="198"/>
      <c r="EL148" s="197"/>
      <c r="EM148" s="198"/>
      <c r="EN148" s="198"/>
      <c r="EO148" s="198"/>
      <c r="EP148" s="198"/>
      <c r="EQ148" s="198"/>
      <c r="ER148" s="198"/>
      <c r="ES148" s="197"/>
      <c r="ET148" s="198"/>
      <c r="EU148" s="198"/>
      <c r="EV148" s="198"/>
      <c r="EW148" s="198"/>
      <c r="EX148" s="198"/>
      <c r="EY148" s="198"/>
      <c r="EZ148" s="197"/>
      <c r="FA148" s="198"/>
      <c r="FB148" s="198"/>
      <c r="FC148" s="198"/>
      <c r="FD148" s="198"/>
      <c r="FE148" s="198"/>
      <c r="FF148" s="198"/>
      <c r="FG148" s="197"/>
      <c r="FH148" s="198"/>
      <c r="FI148" s="198"/>
      <c r="FJ148" s="198"/>
      <c r="FK148" s="198"/>
      <c r="FL148" s="198"/>
      <c r="FM148" s="198"/>
      <c r="FN148" s="197">
        <v>41516.510999999999</v>
      </c>
      <c r="FO148" s="198">
        <v>10954.746999999999</v>
      </c>
      <c r="FP148" s="198">
        <v>6791.1130000000003</v>
      </c>
      <c r="FQ148" s="198"/>
      <c r="FR148" s="198"/>
      <c r="FS148" s="198"/>
      <c r="FT148" s="199"/>
      <c r="FU148" s="197"/>
      <c r="FV148" s="198"/>
      <c r="FW148" s="198"/>
      <c r="FX148" s="198"/>
      <c r="FY148" s="198"/>
      <c r="FZ148" s="198"/>
      <c r="GA148" s="199"/>
      <c r="GB148" s="197"/>
      <c r="GC148" s="198"/>
      <c r="GD148" s="198"/>
      <c r="GE148" s="198"/>
      <c r="GF148" s="198"/>
      <c r="GG148" s="198"/>
      <c r="GH148" s="199"/>
      <c r="GI148" s="197"/>
      <c r="GJ148" s="198"/>
      <c r="GK148" s="198"/>
      <c r="GL148" s="198"/>
      <c r="GM148" s="198"/>
      <c r="GN148" s="198"/>
      <c r="GO148" s="199"/>
      <c r="GP148" s="197"/>
      <c r="GQ148" s="198"/>
      <c r="GR148" s="198"/>
      <c r="GS148" s="198"/>
      <c r="GT148" s="198"/>
      <c r="GU148" s="198"/>
      <c r="GV148" s="199"/>
      <c r="GW148" s="197"/>
      <c r="GX148" s="198"/>
      <c r="GY148" s="198"/>
      <c r="GZ148" s="198"/>
      <c r="HA148" s="198"/>
      <c r="HB148" s="198"/>
      <c r="HC148" s="199"/>
      <c r="HD148" s="197"/>
      <c r="HE148" s="198"/>
      <c r="HF148" s="198"/>
      <c r="HG148" s="198"/>
      <c r="HH148" s="198"/>
      <c r="HI148" s="198"/>
      <c r="HJ148" s="199"/>
      <c r="HK148" s="197"/>
      <c r="HL148" s="198"/>
      <c r="HM148" s="198"/>
      <c r="HN148" s="198"/>
      <c r="HO148" s="198"/>
      <c r="HP148" s="198"/>
      <c r="HQ148" s="198"/>
      <c r="HR148" s="197"/>
      <c r="HT148" s="198"/>
      <c r="HU148" s="198"/>
      <c r="HV148" s="198"/>
      <c r="HW148" s="198"/>
      <c r="HX148" s="198"/>
    </row>
    <row r="149" spans="1:233">
      <c r="A149" s="202" t="s">
        <v>500</v>
      </c>
      <c r="B149" s="203">
        <v>1545.0519999999999</v>
      </c>
      <c r="C149" s="204">
        <v>40.625999999999998</v>
      </c>
      <c r="D149" s="204">
        <f>186.495+112.655+20.709</f>
        <v>319.85899999999998</v>
      </c>
      <c r="E149" s="204">
        <v>345.62599999999998</v>
      </c>
      <c r="F149" s="204">
        <f>680.204-E149</f>
        <v>334.57799999999997</v>
      </c>
      <c r="G149" s="204"/>
      <c r="H149" s="205">
        <f>B149-C149-D149-E149-F149</f>
        <v>504.36300000000006</v>
      </c>
      <c r="I149" s="203">
        <v>77698.600000000006</v>
      </c>
      <c r="J149" s="204"/>
      <c r="K149" s="204"/>
      <c r="L149" s="204">
        <v>16028.9</v>
      </c>
      <c r="M149" s="204">
        <v>5588.8</v>
      </c>
      <c r="N149" s="204"/>
      <c r="O149" s="205">
        <f>[3]arg!$G15</f>
        <v>46398.7</v>
      </c>
      <c r="P149" s="204">
        <v>3376.0880000000002</v>
      </c>
      <c r="Q149" s="204">
        <v>62.72</v>
      </c>
      <c r="R149" s="204">
        <v>401.608</v>
      </c>
      <c r="S149" s="204">
        <v>239.16300000000001</v>
      </c>
      <c r="T149" s="204">
        <v>2061.38</v>
      </c>
      <c r="U149" s="204"/>
      <c r="V149" s="205">
        <f>P149-Q149-R149-S149-T149</f>
        <v>611.2170000000001</v>
      </c>
      <c r="W149" s="204">
        <v>2612.0720000000001</v>
      </c>
      <c r="X149" s="204">
        <v>96.561999999999998</v>
      </c>
      <c r="Y149" s="204">
        <v>643.18399999999997</v>
      </c>
      <c r="Z149" s="204">
        <v>181.994</v>
      </c>
      <c r="AA149" s="204">
        <v>1083.3779999999999</v>
      </c>
      <c r="AB149" s="204"/>
      <c r="AC149" s="205">
        <f t="shared" si="3"/>
        <v>606.95400000000041</v>
      </c>
      <c r="AD149" s="204">
        <f>[1]datos!$S281</f>
        <v>716.83199999999999</v>
      </c>
      <c r="AE149" s="204">
        <v>44.448</v>
      </c>
      <c r="AF149" s="204">
        <v>151.952</v>
      </c>
      <c r="AG149" s="204">
        <v>173.565</v>
      </c>
      <c r="AH149" s="204">
        <v>170.31899999999999</v>
      </c>
      <c r="AI149" s="204">
        <f>[1]datos!$U281</f>
        <v>61.927999999999997</v>
      </c>
      <c r="AJ149" s="204">
        <f>AD149-AE149-AF149-AG149-AH149-AI149</f>
        <v>114.62000000000003</v>
      </c>
      <c r="AK149" s="203"/>
      <c r="AL149" s="204"/>
      <c r="AM149" s="204"/>
      <c r="AN149" s="204"/>
      <c r="AO149" s="204"/>
      <c r="AP149" s="204"/>
      <c r="AQ149" s="205"/>
      <c r="AR149" s="204">
        <v>288505.09929564729</v>
      </c>
      <c r="AS149" s="204">
        <v>83702.871571119176</v>
      </c>
      <c r="AT149" s="204">
        <v>28487.941639614277</v>
      </c>
      <c r="AU149" s="204">
        <v>52990.635276081506</v>
      </c>
      <c r="AV149" s="204">
        <v>41823.263946859501</v>
      </c>
      <c r="AW149" s="204"/>
      <c r="AX149" s="204">
        <v>81500.386861972816</v>
      </c>
      <c r="AY149" s="203">
        <v>25703632</v>
      </c>
      <c r="AZ149" s="204"/>
      <c r="BA149" s="204">
        <v>19271795</v>
      </c>
      <c r="BB149" s="204">
        <v>4262825</v>
      </c>
      <c r="BC149" s="204">
        <v>2169012</v>
      </c>
      <c r="BD149" s="204"/>
      <c r="BE149" s="204"/>
      <c r="BF149" s="203">
        <v>51473162.949999996</v>
      </c>
      <c r="BG149" s="204"/>
      <c r="BH149" s="204">
        <v>28222735.969999999</v>
      </c>
      <c r="BI149" s="204">
        <v>16103359.949999999</v>
      </c>
      <c r="BJ149" s="204">
        <v>7147067.0300000012</v>
      </c>
      <c r="BK149" s="204">
        <v>0</v>
      </c>
      <c r="BL149" s="204"/>
      <c r="BM149" s="203">
        <v>1026769.407</v>
      </c>
      <c r="BN149" s="204">
        <v>113928.626</v>
      </c>
      <c r="BO149" s="204">
        <v>175792.27600000001</v>
      </c>
      <c r="BP149" s="204">
        <v>181939.43799999999</v>
      </c>
      <c r="BQ149" s="204">
        <v>260286.772</v>
      </c>
      <c r="BR149" s="204"/>
      <c r="BS149" s="204">
        <f t="shared" si="2"/>
        <v>294822.29500000004</v>
      </c>
      <c r="BT149" s="203"/>
      <c r="BU149" s="204"/>
      <c r="BV149" s="204"/>
      <c r="BW149" s="204"/>
      <c r="BX149" s="204"/>
      <c r="BY149" s="204"/>
      <c r="BZ149" s="204"/>
      <c r="CA149" s="203">
        <v>504.91800000000001</v>
      </c>
      <c r="CB149" s="204">
        <v>36.843000000000004</v>
      </c>
      <c r="CC149" s="204">
        <f>72.087+25.821+2.491</f>
        <v>100.399</v>
      </c>
      <c r="CD149" s="204">
        <v>121.982</v>
      </c>
      <c r="CE149" s="204">
        <f>209.381-CD149</f>
        <v>87.399000000000001</v>
      </c>
      <c r="CF149" s="204"/>
      <c r="CG149" s="204">
        <f>CA149-CB149-CC149-CD149-CE149</f>
        <v>158.29499999999999</v>
      </c>
      <c r="CH149" s="203"/>
      <c r="CI149" s="204"/>
      <c r="CJ149" s="204"/>
      <c r="CK149" s="204"/>
      <c r="CL149" s="204"/>
      <c r="CM149" s="204"/>
      <c r="CN149" s="204"/>
      <c r="CO149" s="203"/>
      <c r="CP149" s="204"/>
      <c r="CQ149" s="204"/>
      <c r="CR149" s="204"/>
      <c r="CS149" s="204"/>
      <c r="CT149" s="204"/>
      <c r="CU149" s="204"/>
      <c r="CV149" s="203">
        <v>870.29200000000003</v>
      </c>
      <c r="CW149" s="204">
        <v>27.847000000000001</v>
      </c>
      <c r="CX149" s="204">
        <f>100.149+52.212+12.98</f>
        <v>165.34099999999998</v>
      </c>
      <c r="CY149" s="204">
        <v>279.673</v>
      </c>
      <c r="CZ149" s="204">
        <f>464.482-CY149</f>
        <v>184.80900000000003</v>
      </c>
      <c r="DA149" s="204"/>
      <c r="DB149" s="204">
        <f>CV149-CW149-CX149-CY149-CZ149</f>
        <v>212.62200000000001</v>
      </c>
      <c r="DC149" s="203"/>
      <c r="DD149" s="204"/>
      <c r="DE149" s="204"/>
      <c r="DF149" s="204"/>
      <c r="DG149" s="204"/>
      <c r="DH149" s="204"/>
      <c r="DI149" s="204"/>
      <c r="DJ149" s="203">
        <f>730.8+53159.5</f>
        <v>53890.3</v>
      </c>
      <c r="DK149" s="204">
        <f>199.2+15914</f>
        <v>16113.2</v>
      </c>
      <c r="DL149" s="204">
        <f>140.6+1433.3+10322.7</f>
        <v>11896.6</v>
      </c>
      <c r="DM149" s="204">
        <v>3335.1</v>
      </c>
      <c r="DN149" s="204">
        <f>10461.7-DM149</f>
        <v>7126.6</v>
      </c>
      <c r="DO149" s="204"/>
      <c r="DP149" s="204">
        <f>DJ149-SUM(DK149:DN149)</f>
        <v>15418.800000000003</v>
      </c>
      <c r="DQ149" s="203"/>
      <c r="DR149" s="204"/>
      <c r="DS149" s="204"/>
      <c r="DT149" s="204"/>
      <c r="DU149" s="204"/>
      <c r="DV149" s="204"/>
      <c r="DW149" s="204"/>
      <c r="DX149" s="203">
        <v>28021.70809607</v>
      </c>
      <c r="DY149" s="204"/>
      <c r="DZ149" s="204">
        <v>21939.251074810003</v>
      </c>
      <c r="EA149" s="204">
        <v>3111.91492346</v>
      </c>
      <c r="EB149" s="204">
        <v>2290.20182402</v>
      </c>
      <c r="EC149" s="204"/>
      <c r="ED149" s="204">
        <v>680.34027378000008</v>
      </c>
      <c r="EE149" s="203">
        <v>36719.067000000003</v>
      </c>
      <c r="EF149" s="204">
        <v>2992.3620000000001</v>
      </c>
      <c r="EG149" s="204">
        <v>6545.0209999999997</v>
      </c>
      <c r="EH149" s="204">
        <v>2029.0139999999999</v>
      </c>
      <c r="EI149" s="204">
        <v>11290.174000000001</v>
      </c>
      <c r="EJ149" s="204"/>
      <c r="EK149" s="204">
        <f>EE149-EF149-EG149-EH149-EI149</f>
        <v>13862.496000000001</v>
      </c>
      <c r="EL149" s="203"/>
      <c r="EM149" s="204"/>
      <c r="EN149" s="204"/>
      <c r="EO149" s="204"/>
      <c r="EP149" s="204"/>
      <c r="EQ149" s="204"/>
      <c r="ER149" s="204"/>
      <c r="ES149" s="203">
        <v>14287.11233919</v>
      </c>
      <c r="ET149" s="204">
        <v>1691.7434312</v>
      </c>
      <c r="EU149" s="204">
        <v>2898.9782104800001</v>
      </c>
      <c r="EV149" s="204">
        <v>568.03060244000005</v>
      </c>
      <c r="EW149" s="204">
        <v>3417.0982996900002</v>
      </c>
      <c r="EX149" s="204"/>
      <c r="EY149" s="204">
        <f>ES149-ET149-EU149-EV149-EW149</f>
        <v>5711.26179538</v>
      </c>
      <c r="EZ149" s="203">
        <v>11684</v>
      </c>
      <c r="FA149" s="204">
        <v>502</v>
      </c>
      <c r="FB149" s="204">
        <v>3714</v>
      </c>
      <c r="FC149" s="204">
        <v>2432</v>
      </c>
      <c r="FD149" s="204">
        <v>2020</v>
      </c>
      <c r="FE149" s="204"/>
      <c r="FF149" s="204">
        <f>EZ149-FA149-FB149-FC149-FD149</f>
        <v>3016</v>
      </c>
      <c r="FG149" s="203"/>
      <c r="FH149" s="204"/>
      <c r="FI149" s="204"/>
      <c r="FJ149" s="204"/>
      <c r="FK149" s="204"/>
      <c r="FL149" s="204"/>
      <c r="FM149" s="204"/>
      <c r="FN149" s="203">
        <v>41762.074000000001</v>
      </c>
      <c r="FO149" s="204">
        <v>10970.045</v>
      </c>
      <c r="FP149" s="204">
        <v>6792.2870000000003</v>
      </c>
      <c r="FQ149" s="204"/>
      <c r="FR149" s="204"/>
      <c r="FS149" s="204"/>
      <c r="FT149" s="205"/>
      <c r="FU149" s="203"/>
      <c r="FV149" s="204"/>
      <c r="FW149" s="204"/>
      <c r="FX149" s="204"/>
      <c r="FY149" s="204"/>
      <c r="FZ149" s="204"/>
      <c r="GA149" s="205"/>
      <c r="GB149" s="203">
        <v>947.197</v>
      </c>
      <c r="GC149" s="204">
        <v>27.798999999999999</v>
      </c>
      <c r="GD149" s="204">
        <f>99.868+50.792+13.996</f>
        <v>164.65600000000001</v>
      </c>
      <c r="GE149" s="204">
        <v>196.214</v>
      </c>
      <c r="GF149" s="204">
        <f>343.888-GE149</f>
        <v>147.67399999999998</v>
      </c>
      <c r="GG149" s="204"/>
      <c r="GH149" s="205">
        <f>GB149-GC149-GD149-GE149-GF149</f>
        <v>410.85400000000004</v>
      </c>
      <c r="GI149" s="203">
        <v>638.31100000000004</v>
      </c>
      <c r="GJ149" s="204">
        <v>18.212</v>
      </c>
      <c r="GK149" s="204">
        <f>77.818+30.306+5.547</f>
        <v>113.67099999999999</v>
      </c>
      <c r="GL149" s="204">
        <v>183.066</v>
      </c>
      <c r="GM149" s="204">
        <f>326.825-GL149</f>
        <v>143.75899999999999</v>
      </c>
      <c r="GN149" s="204"/>
      <c r="GO149" s="205">
        <f>GI149-GJ149-GK149-GL149-GM149</f>
        <v>179.60300000000009</v>
      </c>
      <c r="GP149" s="203">
        <v>1560.498</v>
      </c>
      <c r="GQ149" s="204">
        <v>53.000999999999998</v>
      </c>
      <c r="GR149" s="204">
        <f>195.381+146.532+16.614</f>
        <v>358.52699999999999</v>
      </c>
      <c r="GS149" s="204">
        <v>337.70299999999997</v>
      </c>
      <c r="GT149" s="204">
        <f>741.628-GS149</f>
        <v>403.92500000000007</v>
      </c>
      <c r="GU149" s="204"/>
      <c r="GV149" s="205">
        <f>GP149-GQ149-GR149-GS149-GT149</f>
        <v>407.34199999999998</v>
      </c>
      <c r="GW149" s="203"/>
      <c r="GX149" s="204"/>
      <c r="GY149" s="204"/>
      <c r="GZ149" s="204"/>
      <c r="HA149" s="204"/>
      <c r="HB149" s="204"/>
      <c r="HC149" s="205"/>
      <c r="HD149" s="203">
        <f>'[2]t&amp;t'!W281</f>
        <v>12402.6</v>
      </c>
      <c r="HE149" s="204">
        <f>'[2]t&amp;t'!X281</f>
        <v>1395.6000000000001</v>
      </c>
      <c r="HF149" s="204">
        <f>'[2]t&amp;t'!Y281</f>
        <v>783.7</v>
      </c>
      <c r="HG149" s="204">
        <f>'[2]t&amp;t'!Z281</f>
        <v>816.40000000000009</v>
      </c>
      <c r="HH149" s="204">
        <f>'[2]t&amp;t'!AA281</f>
        <v>5293.1</v>
      </c>
      <c r="HI149" s="204"/>
      <c r="HJ149" s="205">
        <f>'[2]t&amp;t'!AC281</f>
        <v>4113.8</v>
      </c>
      <c r="HK149" s="203"/>
      <c r="HL149" s="204"/>
      <c r="HM149" s="204"/>
      <c r="HN149" s="204"/>
      <c r="HO149" s="204"/>
      <c r="HP149" s="204"/>
      <c r="HQ149" s="204"/>
      <c r="HR149" s="197"/>
      <c r="HS149" s="206"/>
      <c r="HT149" s="204"/>
      <c r="HU149" s="204"/>
      <c r="HV149" s="204"/>
      <c r="HW149" s="204"/>
      <c r="HX149" s="204"/>
      <c r="HY149" s="198"/>
    </row>
    <row r="150" spans="1:233">
      <c r="A150" s="185" t="s">
        <v>667</v>
      </c>
      <c r="B150" s="197"/>
      <c r="C150" s="198"/>
      <c r="D150" s="198"/>
      <c r="E150" s="198"/>
      <c r="F150" s="198"/>
      <c r="G150" s="198"/>
      <c r="H150" s="199"/>
      <c r="I150" s="197"/>
      <c r="J150" s="198"/>
      <c r="K150" s="198"/>
      <c r="L150" s="198"/>
      <c r="M150" s="198"/>
      <c r="N150" s="198"/>
      <c r="O150" s="199"/>
      <c r="P150" s="198"/>
      <c r="Q150" s="198"/>
      <c r="R150" s="198"/>
      <c r="S150" s="198"/>
      <c r="T150" s="198"/>
      <c r="U150" s="198"/>
      <c r="V150" s="199"/>
      <c r="W150" s="198">
        <v>2621.009</v>
      </c>
      <c r="X150" s="198">
        <v>100.30500000000001</v>
      </c>
      <c r="Y150" s="198">
        <v>660.55600000000004</v>
      </c>
      <c r="Z150" s="198">
        <v>174.976</v>
      </c>
      <c r="AA150" s="198">
        <v>1080.518</v>
      </c>
      <c r="AB150" s="198"/>
      <c r="AC150" s="199">
        <f t="shared" si="3"/>
        <v>604.654</v>
      </c>
      <c r="AD150" s="198"/>
      <c r="AE150" s="198">
        <v>45.216000000000001</v>
      </c>
      <c r="AF150" s="198">
        <v>155.482</v>
      </c>
      <c r="AG150" s="198">
        <v>173.36199999999999</v>
      </c>
      <c r="AH150" s="198">
        <v>158.48599999999999</v>
      </c>
      <c r="AI150" s="198"/>
      <c r="AJ150" s="198"/>
      <c r="AK150" s="197"/>
      <c r="AL150" s="198"/>
      <c r="AM150" s="198"/>
      <c r="AN150" s="198"/>
      <c r="AO150" s="198"/>
      <c r="AP150" s="198"/>
      <c r="AQ150" s="199"/>
      <c r="AR150" s="198">
        <v>289196.68604143243</v>
      </c>
      <c r="AS150" s="198">
        <v>83190</v>
      </c>
      <c r="AT150" s="198">
        <v>27841</v>
      </c>
      <c r="AU150" s="198">
        <v>53173</v>
      </c>
      <c r="AV150" s="198">
        <v>42941.861000000004</v>
      </c>
      <c r="AW150" s="198"/>
      <c r="AX150" s="198">
        <v>82050.825041432428</v>
      </c>
      <c r="AY150" s="197">
        <v>25767708</v>
      </c>
      <c r="AZ150" s="198"/>
      <c r="BA150" s="198">
        <v>19289387</v>
      </c>
      <c r="BB150" s="198">
        <v>4305169</v>
      </c>
      <c r="BC150" s="198">
        <v>2173152</v>
      </c>
      <c r="BD150" s="198"/>
      <c r="BE150" s="198"/>
      <c r="BF150" s="197">
        <v>48453354.179999992</v>
      </c>
      <c r="BG150" s="198"/>
      <c r="BH150" s="198">
        <v>27460836.649999999</v>
      </c>
      <c r="BI150" s="198">
        <v>14029097.789999997</v>
      </c>
      <c r="BJ150" s="198">
        <v>6963419.7400000002</v>
      </c>
      <c r="BK150" s="198">
        <v>0</v>
      </c>
      <c r="BL150" s="198"/>
      <c r="BM150" s="197">
        <v>1015198.7439999999</v>
      </c>
      <c r="BN150" s="198">
        <v>116867.57799999999</v>
      </c>
      <c r="BO150" s="198">
        <v>175450.13200000001</v>
      </c>
      <c r="BP150" s="198">
        <v>178495.35699999999</v>
      </c>
      <c r="BQ150" s="198">
        <v>255996.51800000001</v>
      </c>
      <c r="BR150" s="198"/>
      <c r="BS150" s="198">
        <f t="shared" si="2"/>
        <v>288389.15899999987</v>
      </c>
      <c r="BT150" s="197"/>
      <c r="BU150" s="198"/>
      <c r="BV150" s="198"/>
      <c r="BW150" s="198"/>
      <c r="BX150" s="198"/>
      <c r="BY150" s="198"/>
      <c r="BZ150" s="198"/>
      <c r="CA150" s="197"/>
      <c r="CB150" s="198"/>
      <c r="CC150" s="198"/>
      <c r="CD150" s="198"/>
      <c r="CE150" s="198"/>
      <c r="CF150" s="198"/>
      <c r="CG150" s="198"/>
      <c r="CH150" s="197"/>
      <c r="CI150" s="198"/>
      <c r="CJ150" s="198"/>
      <c r="CK150" s="198"/>
      <c r="CL150" s="198"/>
      <c r="CM150" s="198"/>
      <c r="CN150" s="198"/>
      <c r="CO150" s="197"/>
      <c r="CP150" s="198"/>
      <c r="CQ150" s="198"/>
      <c r="CR150" s="198"/>
      <c r="CS150" s="198"/>
      <c r="CT150" s="198"/>
      <c r="CU150" s="198"/>
      <c r="CV150" s="197"/>
      <c r="CW150" s="198"/>
      <c r="CX150" s="198"/>
      <c r="CY150" s="198"/>
      <c r="CZ150" s="198"/>
      <c r="DA150" s="198"/>
      <c r="DB150" s="198"/>
      <c r="DC150" s="197"/>
      <c r="DD150" s="198"/>
      <c r="DE150" s="198"/>
      <c r="DF150" s="198"/>
      <c r="DG150" s="198"/>
      <c r="DH150" s="198"/>
      <c r="DI150" s="198"/>
      <c r="DJ150" s="197"/>
      <c r="DK150" s="198"/>
      <c r="DL150" s="198"/>
      <c r="DM150" s="198"/>
      <c r="DN150" s="198"/>
      <c r="DO150" s="198"/>
      <c r="DP150" s="198"/>
      <c r="DQ150" s="197"/>
      <c r="DR150" s="198"/>
      <c r="DS150" s="198"/>
      <c r="DT150" s="198"/>
      <c r="DU150" s="198"/>
      <c r="DV150" s="198"/>
      <c r="DW150" s="198"/>
      <c r="DX150" s="197">
        <v>31747.710849359999</v>
      </c>
      <c r="DY150" s="198"/>
      <c r="DZ150" s="198">
        <v>25775.506530089999</v>
      </c>
      <c r="EA150" s="198">
        <v>3648.5654108699996</v>
      </c>
      <c r="EB150" s="198">
        <v>1651.3382347200002</v>
      </c>
      <c r="EC150" s="198"/>
      <c r="ED150" s="198">
        <v>672.30067368000016</v>
      </c>
      <c r="EE150" s="207"/>
      <c r="EL150" s="207"/>
      <c r="ES150" s="207"/>
      <c r="EZ150" s="197"/>
      <c r="FA150" s="198"/>
      <c r="FB150" s="198"/>
      <c r="FC150" s="198"/>
      <c r="FD150" s="198"/>
      <c r="FE150" s="198"/>
      <c r="FF150" s="198"/>
      <c r="FG150" s="197"/>
      <c r="FH150" s="198"/>
      <c r="FI150" s="198"/>
      <c r="FJ150" s="198"/>
      <c r="FK150" s="198"/>
      <c r="FL150" s="198"/>
      <c r="FM150" s="198"/>
      <c r="FN150" s="197">
        <v>41378.472999999998</v>
      </c>
      <c r="FO150" s="198">
        <v>10788.971</v>
      </c>
      <c r="FP150" s="198">
        <v>6585.5829999999996</v>
      </c>
      <c r="FQ150" s="198"/>
      <c r="FR150" s="198"/>
      <c r="FS150" s="198"/>
      <c r="FT150" s="199"/>
      <c r="FU150" s="197"/>
      <c r="FV150" s="198"/>
      <c r="FW150" s="198"/>
      <c r="FX150" s="198"/>
      <c r="FY150" s="198"/>
      <c r="FZ150" s="198"/>
      <c r="GA150" s="199"/>
      <c r="GB150" s="197"/>
      <c r="GC150" s="198"/>
      <c r="GD150" s="198"/>
      <c r="GE150" s="198"/>
      <c r="GF150" s="198"/>
      <c r="GG150" s="198"/>
      <c r="GH150" s="199"/>
      <c r="GI150" s="197"/>
      <c r="GJ150" s="198"/>
      <c r="GK150" s="198"/>
      <c r="GL150" s="198"/>
      <c r="GM150" s="198"/>
      <c r="GN150" s="198"/>
      <c r="GO150" s="199"/>
      <c r="GP150" s="197"/>
      <c r="GQ150" s="198"/>
      <c r="GR150" s="198"/>
      <c r="GS150" s="198"/>
      <c r="GT150" s="198"/>
      <c r="GU150" s="198"/>
      <c r="GV150" s="199"/>
      <c r="GW150" s="197"/>
      <c r="GX150" s="198"/>
      <c r="GY150" s="198"/>
      <c r="GZ150" s="198"/>
      <c r="HA150" s="198"/>
      <c r="HB150" s="198"/>
      <c r="HC150" s="199"/>
      <c r="HD150" s="197"/>
      <c r="HE150" s="198"/>
      <c r="HF150" s="198"/>
      <c r="HG150" s="198"/>
      <c r="HH150" s="198"/>
      <c r="HI150" s="198"/>
      <c r="HJ150" s="199"/>
      <c r="HK150" s="197"/>
      <c r="HL150" s="198"/>
      <c r="HM150" s="198"/>
      <c r="HN150" s="198"/>
      <c r="HO150" s="198"/>
      <c r="HP150" s="198"/>
      <c r="HQ150" s="198"/>
      <c r="HR150" s="197"/>
      <c r="HT150" s="201"/>
      <c r="HU150" s="201"/>
      <c r="HV150" s="201"/>
      <c r="HW150" s="201"/>
      <c r="HX150" s="198"/>
    </row>
    <row r="151" spans="1:233">
      <c r="A151" s="185" t="s">
        <v>490</v>
      </c>
      <c r="B151" s="197"/>
      <c r="C151" s="198"/>
      <c r="D151" s="198"/>
      <c r="E151" s="198"/>
      <c r="F151" s="198"/>
      <c r="G151" s="198"/>
      <c r="H151" s="199"/>
      <c r="I151" s="197"/>
      <c r="J151" s="198"/>
      <c r="K151" s="198"/>
      <c r="L151" s="198"/>
      <c r="M151" s="198"/>
      <c r="N151" s="198"/>
      <c r="O151" s="199"/>
      <c r="P151" s="198"/>
      <c r="Q151" s="198"/>
      <c r="R151" s="198"/>
      <c r="S151" s="198"/>
      <c r="T151" s="198"/>
      <c r="U151" s="198"/>
      <c r="V151" s="199"/>
      <c r="W151" s="198">
        <v>2618.2730000000001</v>
      </c>
      <c r="X151" s="198">
        <v>95.725999999999999</v>
      </c>
      <c r="Y151" s="198">
        <v>664.18900000000008</v>
      </c>
      <c r="Z151" s="198">
        <v>178.435</v>
      </c>
      <c r="AA151" s="198">
        <v>1089.452</v>
      </c>
      <c r="AB151" s="198"/>
      <c r="AC151" s="199">
        <f t="shared" si="3"/>
        <v>590.471</v>
      </c>
      <c r="AD151" s="198"/>
      <c r="AE151" s="198">
        <v>44.987000000000002</v>
      </c>
      <c r="AF151" s="198">
        <v>156.95599999999999</v>
      </c>
      <c r="AG151" s="198">
        <v>169.79399999999998</v>
      </c>
      <c r="AH151" s="198">
        <v>162.53</v>
      </c>
      <c r="AI151" s="198"/>
      <c r="AJ151" s="198"/>
      <c r="AK151" s="197"/>
      <c r="AL151" s="198"/>
      <c r="AM151" s="198"/>
      <c r="AN151" s="198"/>
      <c r="AO151" s="198"/>
      <c r="AP151" s="198"/>
      <c r="AQ151" s="199"/>
      <c r="AR151" s="198">
        <v>287572.65356431808</v>
      </c>
      <c r="AS151" s="198">
        <v>82259</v>
      </c>
      <c r="AT151" s="198">
        <v>27393</v>
      </c>
      <c r="AU151" s="198">
        <v>52803</v>
      </c>
      <c r="AV151" s="198">
        <v>44744.95</v>
      </c>
      <c r="AW151" s="198"/>
      <c r="AX151" s="198">
        <v>80372.703564318086</v>
      </c>
      <c r="AY151" s="197">
        <v>25685956</v>
      </c>
      <c r="AZ151" s="198"/>
      <c r="BA151" s="198">
        <v>19179068</v>
      </c>
      <c r="BB151" s="198">
        <v>4335173</v>
      </c>
      <c r="BC151" s="198">
        <v>2171715</v>
      </c>
      <c r="BD151" s="198"/>
      <c r="BE151" s="198"/>
      <c r="BF151" s="197">
        <v>48642547.840000011</v>
      </c>
      <c r="BG151" s="198"/>
      <c r="BH151" s="198">
        <v>27002441.860000007</v>
      </c>
      <c r="BI151" s="198">
        <v>14749873.710000003</v>
      </c>
      <c r="BJ151" s="198">
        <v>6890232.2699999996</v>
      </c>
      <c r="BK151" s="198">
        <v>0</v>
      </c>
      <c r="BL151" s="198"/>
      <c r="BM151" s="197"/>
      <c r="BN151" s="198"/>
      <c r="BO151" s="198"/>
      <c r="BP151" s="198"/>
      <c r="BQ151" s="198"/>
      <c r="BR151" s="198"/>
      <c r="BS151" s="198"/>
      <c r="BT151" s="197"/>
      <c r="BU151" s="198"/>
      <c r="BV151" s="198"/>
      <c r="BW151" s="198"/>
      <c r="BX151" s="198"/>
      <c r="BY151" s="198"/>
      <c r="BZ151" s="198"/>
      <c r="CA151" s="197"/>
      <c r="CB151" s="198"/>
      <c r="CC151" s="198"/>
      <c r="CD151" s="198"/>
      <c r="CE151" s="198"/>
      <c r="CF151" s="198"/>
      <c r="CG151" s="198"/>
      <c r="CH151" s="197"/>
      <c r="CI151" s="198"/>
      <c r="CJ151" s="198"/>
      <c r="CK151" s="198"/>
      <c r="CL151" s="198"/>
      <c r="CM151" s="198"/>
      <c r="CN151" s="198"/>
      <c r="CO151" s="197"/>
      <c r="CP151" s="198"/>
      <c r="CQ151" s="198"/>
      <c r="CR151" s="198"/>
      <c r="CS151" s="198"/>
      <c r="CT151" s="198"/>
      <c r="CU151" s="198"/>
      <c r="CV151" s="197"/>
      <c r="CW151" s="198"/>
      <c r="CX151" s="198"/>
      <c r="CY151" s="198"/>
      <c r="CZ151" s="198"/>
      <c r="DA151" s="198"/>
      <c r="DB151" s="198"/>
      <c r="DC151" s="197"/>
      <c r="DD151" s="198"/>
      <c r="DE151" s="198"/>
      <c r="DF151" s="198"/>
      <c r="DG151" s="198"/>
      <c r="DH151" s="198"/>
      <c r="DI151" s="198"/>
      <c r="DJ151" s="197"/>
      <c r="DK151" s="198"/>
      <c r="DL151" s="198"/>
      <c r="DM151" s="198"/>
      <c r="DN151" s="198"/>
      <c r="DO151" s="198"/>
      <c r="DP151" s="198"/>
      <c r="DQ151" s="197"/>
      <c r="DR151" s="198"/>
      <c r="DS151" s="198"/>
      <c r="DT151" s="198"/>
      <c r="DU151" s="198"/>
      <c r="DV151" s="198"/>
      <c r="DW151" s="198"/>
      <c r="DX151" s="197">
        <v>33033.783463300002</v>
      </c>
      <c r="DY151" s="198"/>
      <c r="DZ151" s="198">
        <v>27057.132352039996</v>
      </c>
      <c r="EA151" s="198">
        <v>3648.6698127899999</v>
      </c>
      <c r="EB151" s="198">
        <v>1642.4854236599999</v>
      </c>
      <c r="EC151" s="198"/>
      <c r="ED151" s="198">
        <v>685.49587481000003</v>
      </c>
      <c r="EE151" s="207"/>
      <c r="EL151" s="207"/>
      <c r="ES151" s="207"/>
      <c r="EZ151" s="197"/>
      <c r="FA151" s="198"/>
      <c r="FB151" s="198"/>
      <c r="FC151" s="198"/>
      <c r="FD151" s="198"/>
      <c r="FE151" s="198"/>
      <c r="FF151" s="198"/>
      <c r="FG151" s="197"/>
      <c r="FH151" s="198"/>
      <c r="FI151" s="198"/>
      <c r="FJ151" s="198"/>
      <c r="FK151" s="198"/>
      <c r="FL151" s="198"/>
      <c r="FM151" s="198"/>
      <c r="FN151" s="197">
        <v>40830.534</v>
      </c>
      <c r="FO151" s="198">
        <v>10617.331</v>
      </c>
      <c r="FP151" s="198">
        <v>7032.4340000000002</v>
      </c>
      <c r="FQ151" s="198"/>
      <c r="FR151" s="198"/>
      <c r="FS151" s="198"/>
      <c r="FT151" s="199"/>
      <c r="FU151" s="197"/>
      <c r="FV151" s="198"/>
      <c r="FW151" s="198"/>
      <c r="FX151" s="198"/>
      <c r="FY151" s="198"/>
      <c r="FZ151" s="198"/>
      <c r="GA151" s="199"/>
      <c r="GB151" s="197"/>
      <c r="GC151" s="198"/>
      <c r="GD151" s="198"/>
      <c r="GE151" s="198"/>
      <c r="GF151" s="198"/>
      <c r="GG151" s="198"/>
      <c r="GH151" s="199"/>
      <c r="GI151" s="197"/>
      <c r="GJ151" s="198"/>
      <c r="GK151" s="198"/>
      <c r="GL151" s="198"/>
      <c r="GM151" s="198"/>
      <c r="GN151" s="198"/>
      <c r="GO151" s="199"/>
      <c r="GP151" s="197"/>
      <c r="GQ151" s="198"/>
      <c r="GR151" s="198"/>
      <c r="GS151" s="198"/>
      <c r="GT151" s="198"/>
      <c r="GU151" s="198"/>
      <c r="GV151" s="199"/>
      <c r="GW151" s="197"/>
      <c r="GX151" s="198"/>
      <c r="GY151" s="198"/>
      <c r="GZ151" s="198"/>
      <c r="HA151" s="198"/>
      <c r="HB151" s="198"/>
      <c r="HC151" s="199"/>
      <c r="HD151" s="197"/>
      <c r="HE151" s="198"/>
      <c r="HF151" s="198"/>
      <c r="HG151" s="198"/>
      <c r="HH151" s="198"/>
      <c r="HI151" s="198"/>
      <c r="HJ151" s="199"/>
      <c r="HK151" s="197"/>
      <c r="HL151" s="198"/>
      <c r="HM151" s="198"/>
      <c r="HN151" s="198"/>
      <c r="HO151" s="198"/>
      <c r="HP151" s="198"/>
      <c r="HQ151" s="198"/>
      <c r="HR151" s="197"/>
      <c r="HT151" s="198"/>
      <c r="HU151" s="198"/>
      <c r="HV151" s="198"/>
      <c r="HW151" s="198"/>
      <c r="HX151" s="198"/>
    </row>
    <row r="152" spans="1:233">
      <c r="A152" s="185" t="s">
        <v>491</v>
      </c>
      <c r="B152" s="197">
        <v>1559.7070000000001</v>
      </c>
      <c r="C152" s="198">
        <v>44.152000000000001</v>
      </c>
      <c r="D152" s="198">
        <f>192.147+115.587+20</f>
        <v>327.73399999999998</v>
      </c>
      <c r="E152" s="198">
        <v>350.548</v>
      </c>
      <c r="F152" s="198">
        <f>683.29-E152</f>
        <v>332.74199999999996</v>
      </c>
      <c r="G152" s="198"/>
      <c r="H152" s="199">
        <f>B152-C152-D152-E152-F152</f>
        <v>504.53100000000018</v>
      </c>
      <c r="I152" s="197"/>
      <c r="J152" s="198"/>
      <c r="K152" s="198"/>
      <c r="L152" s="198"/>
      <c r="M152" s="198"/>
      <c r="N152" s="198"/>
      <c r="O152" s="199"/>
      <c r="P152" s="198"/>
      <c r="Q152" s="198"/>
      <c r="R152" s="198"/>
      <c r="S152" s="198"/>
      <c r="T152" s="198"/>
      <c r="U152" s="198"/>
      <c r="V152" s="199"/>
      <c r="W152" s="198">
        <v>2622.74</v>
      </c>
      <c r="X152" s="198">
        <v>91.421999999999997</v>
      </c>
      <c r="Y152" s="198">
        <v>654.71400000000006</v>
      </c>
      <c r="Z152" s="198">
        <v>200.82300000000001</v>
      </c>
      <c r="AA152" s="198">
        <v>1093.4549999999999</v>
      </c>
      <c r="AB152" s="198"/>
      <c r="AC152" s="199">
        <f t="shared" si="3"/>
        <v>582.32599999999979</v>
      </c>
      <c r="AD152" s="198">
        <f>[1]datos!$S284</f>
        <v>719.84699999999998</v>
      </c>
      <c r="AE152" s="198">
        <v>46.295999999999999</v>
      </c>
      <c r="AF152" s="198">
        <v>156.76300000000001</v>
      </c>
      <c r="AG152" s="198">
        <v>173.96300000000002</v>
      </c>
      <c r="AH152" s="198">
        <v>158.00299999999999</v>
      </c>
      <c r="AI152" s="198">
        <f>[1]datos!$U284</f>
        <v>59.29</v>
      </c>
      <c r="AJ152" s="198">
        <f>AD152-AE152-AF152-AG152-AH152-AI152</f>
        <v>125.5319999999999</v>
      </c>
      <c r="AK152" s="197">
        <v>24070.720000000001</v>
      </c>
      <c r="AL152" s="198"/>
      <c r="AM152" s="198"/>
      <c r="AN152" s="198"/>
      <c r="AO152" s="198"/>
      <c r="AP152" s="198"/>
      <c r="AQ152" s="199"/>
      <c r="AR152" s="198">
        <v>286083.84606913995</v>
      </c>
      <c r="AS152" s="198">
        <v>76159.839911410003</v>
      </c>
      <c r="AT152" s="198">
        <v>27481.500436169998</v>
      </c>
      <c r="AU152" s="198">
        <v>53663.84354419</v>
      </c>
      <c r="AV152" s="198">
        <v>43519.112084949993</v>
      </c>
      <c r="AW152" s="198"/>
      <c r="AX152" s="198">
        <v>85259.550092419959</v>
      </c>
      <c r="AY152" s="197">
        <v>25942935</v>
      </c>
      <c r="AZ152" s="198"/>
      <c r="BA152" s="198">
        <v>19358812</v>
      </c>
      <c r="BB152" s="198">
        <v>4378987</v>
      </c>
      <c r="BC152" s="198">
        <v>2205136</v>
      </c>
      <c r="BD152" s="198"/>
      <c r="BE152" s="198"/>
      <c r="BF152" s="197">
        <v>48101233.599999994</v>
      </c>
      <c r="BG152" s="198"/>
      <c r="BH152" s="198">
        <v>26894818.019999996</v>
      </c>
      <c r="BI152" s="198">
        <v>14386097.91</v>
      </c>
      <c r="BJ152" s="198">
        <v>6820317.6699999999</v>
      </c>
      <c r="BK152" s="198">
        <v>0</v>
      </c>
      <c r="BL152" s="198"/>
      <c r="BM152" s="197">
        <v>1053982.1340000001</v>
      </c>
      <c r="BN152" s="198">
        <v>122647.24</v>
      </c>
      <c r="BO152" s="198">
        <v>182645.33799999999</v>
      </c>
      <c r="BP152" s="198">
        <v>184076.11499999999</v>
      </c>
      <c r="BQ152" s="198">
        <v>271699.50400000002</v>
      </c>
      <c r="BR152" s="198"/>
      <c r="BS152" s="198">
        <f t="shared" si="2"/>
        <v>292913.93700000015</v>
      </c>
      <c r="BT152" s="197"/>
      <c r="BU152" s="198"/>
      <c r="BV152" s="198"/>
      <c r="BW152" s="198"/>
      <c r="BX152" s="198"/>
      <c r="BY152" s="198"/>
      <c r="BZ152" s="198"/>
      <c r="CA152" s="197">
        <v>512.13099999999997</v>
      </c>
      <c r="CB152" s="198">
        <v>34.994</v>
      </c>
      <c r="CC152" s="198">
        <f>75.494+25.378+2.455</f>
        <v>103.327</v>
      </c>
      <c r="CD152" s="198">
        <v>123.15600000000001</v>
      </c>
      <c r="CE152" s="198">
        <f>212.392-CD152</f>
        <v>89.23599999999999</v>
      </c>
      <c r="CF152" s="198"/>
      <c r="CG152" s="198">
        <f>CA152-CB152-CC152-CD152-CE152</f>
        <v>161.41799999999995</v>
      </c>
      <c r="CH152" s="197"/>
      <c r="CI152" s="198"/>
      <c r="CJ152" s="198"/>
      <c r="CK152" s="198"/>
      <c r="CL152" s="198"/>
      <c r="CM152" s="198"/>
      <c r="CN152" s="198"/>
      <c r="CO152" s="197"/>
      <c r="CP152" s="198"/>
      <c r="CQ152" s="198"/>
      <c r="CR152" s="198"/>
      <c r="CS152" s="198"/>
      <c r="CT152" s="198"/>
      <c r="CU152" s="198"/>
      <c r="CV152" s="197">
        <v>895.59699999999998</v>
      </c>
      <c r="CW152" s="198">
        <v>26.88</v>
      </c>
      <c r="CX152" s="198">
        <f>100.203+48.95+13.891</f>
        <v>163.04400000000001</v>
      </c>
      <c r="CY152" s="198">
        <v>292.95699999999999</v>
      </c>
      <c r="CZ152" s="198">
        <f>476.385-CY152</f>
        <v>183.428</v>
      </c>
      <c r="DA152" s="198"/>
      <c r="DB152" s="198">
        <f>CV152-CW152-CX152-CY152-CZ152</f>
        <v>229.28800000000001</v>
      </c>
      <c r="DC152" s="197"/>
      <c r="DD152" s="198"/>
      <c r="DE152" s="198"/>
      <c r="DF152" s="198"/>
      <c r="DG152" s="198"/>
      <c r="DH152" s="198"/>
      <c r="DI152" s="198"/>
      <c r="DJ152" s="197">
        <f>574.1+52350.1</f>
        <v>52924.2</v>
      </c>
      <c r="DK152" s="198">
        <f>201.8+15597.1</f>
        <v>15798.9</v>
      </c>
      <c r="DL152" s="198">
        <f>1329.9+10128.1</f>
        <v>11458</v>
      </c>
      <c r="DM152" s="198">
        <v>3521.4</v>
      </c>
      <c r="DN152" s="198">
        <f>9981.6-DM152</f>
        <v>6460.2000000000007</v>
      </c>
      <c r="DO152" s="198"/>
      <c r="DP152" s="198">
        <f>DJ152-SUM(DK152:DN152)</f>
        <v>15685.699999999997</v>
      </c>
      <c r="DQ152" s="197"/>
      <c r="DR152" s="198"/>
      <c r="DS152" s="198"/>
      <c r="DT152" s="198"/>
      <c r="DU152" s="198"/>
      <c r="DV152" s="198"/>
      <c r="DW152" s="198"/>
      <c r="DX152" s="197">
        <v>33663.261941739998</v>
      </c>
      <c r="DY152" s="198"/>
      <c r="DZ152" s="198">
        <v>27140.211174949996</v>
      </c>
      <c r="EA152" s="198">
        <v>4107.3068051599994</v>
      </c>
      <c r="EB152" s="198">
        <v>1800.8279581200004</v>
      </c>
      <c r="EC152" s="198"/>
      <c r="ED152" s="198">
        <v>614.91600350999988</v>
      </c>
      <c r="EE152" s="197"/>
      <c r="EF152" s="198"/>
      <c r="EG152" s="198"/>
      <c r="EH152" s="198"/>
      <c r="EI152" s="198"/>
      <c r="EJ152" s="198"/>
      <c r="EK152" s="198"/>
      <c r="EL152" s="197"/>
      <c r="EM152" s="198"/>
      <c r="EN152" s="198"/>
      <c r="EO152" s="198"/>
      <c r="EP152" s="198"/>
      <c r="EQ152" s="198"/>
      <c r="ER152" s="198"/>
      <c r="ES152" s="197"/>
      <c r="ET152" s="198"/>
      <c r="EU152" s="198"/>
      <c r="EV152" s="198"/>
      <c r="EW152" s="198"/>
      <c r="EX152" s="198"/>
      <c r="EY152" s="198"/>
      <c r="EZ152" s="197"/>
      <c r="FA152" s="198"/>
      <c r="FB152" s="198"/>
      <c r="FC152" s="198"/>
      <c r="FD152" s="198"/>
      <c r="FE152" s="198"/>
      <c r="FF152" s="198"/>
      <c r="FG152" s="197"/>
      <c r="FH152" s="198"/>
      <c r="FI152" s="198"/>
      <c r="FJ152" s="198"/>
      <c r="FK152" s="198"/>
      <c r="FL152" s="198"/>
      <c r="FM152" s="198"/>
      <c r="FN152" s="197">
        <v>40478.553</v>
      </c>
      <c r="FO152" s="198">
        <v>10518.127</v>
      </c>
      <c r="FP152" s="198">
        <v>6792.2920000000004</v>
      </c>
      <c r="FQ152" s="198"/>
      <c r="FR152" s="198"/>
      <c r="FS152" s="198"/>
      <c r="FT152" s="199"/>
      <c r="FU152" s="197"/>
      <c r="FV152" s="198"/>
      <c r="FW152" s="198"/>
      <c r="FX152" s="198"/>
      <c r="FY152" s="198"/>
      <c r="FZ152" s="198"/>
      <c r="GA152" s="199"/>
      <c r="GB152" s="197">
        <v>1000.02</v>
      </c>
      <c r="GC152" s="198">
        <v>27.007999999999999</v>
      </c>
      <c r="GD152" s="198">
        <f>102.215+52.353+13.23</f>
        <v>167.798</v>
      </c>
      <c r="GE152" s="198">
        <v>196.995</v>
      </c>
      <c r="GF152" s="198">
        <f>355.65-GE152</f>
        <v>158.65499999999997</v>
      </c>
      <c r="GG152" s="198"/>
      <c r="GH152" s="199">
        <f>GB152-GC152-GD152-GE152-GF152</f>
        <v>449.56399999999996</v>
      </c>
      <c r="GI152" s="197">
        <v>657.33600000000001</v>
      </c>
      <c r="GJ152" s="198">
        <v>19.486000000000001</v>
      </c>
      <c r="GK152" s="198">
        <f>83.245+31.018+8.326</f>
        <v>122.589</v>
      </c>
      <c r="GL152" s="198">
        <v>187.82400000000001</v>
      </c>
      <c r="GM152" s="198">
        <f>332.11-GL152</f>
        <v>144.286</v>
      </c>
      <c r="GN152" s="198"/>
      <c r="GO152" s="199">
        <f>GI152-GJ152-GK152-GL152-GM152</f>
        <v>183.15099999999995</v>
      </c>
      <c r="GP152" s="197">
        <v>1557.366</v>
      </c>
      <c r="GQ152" s="198">
        <v>50.259</v>
      </c>
      <c r="GR152" s="198">
        <f>192.683+141.196+15.915</f>
        <v>349.79400000000004</v>
      </c>
      <c r="GS152" s="198">
        <v>352.5</v>
      </c>
      <c r="GT152" s="198">
        <f>740.352-GS152</f>
        <v>387.85199999999998</v>
      </c>
      <c r="GU152" s="198"/>
      <c r="GV152" s="199">
        <f>GP152-GQ152-GR152-GS152-GT152</f>
        <v>416.9609999999999</v>
      </c>
      <c r="GW152" s="197"/>
      <c r="GX152" s="198"/>
      <c r="GY152" s="198"/>
      <c r="GZ152" s="198"/>
      <c r="HA152" s="198"/>
      <c r="HB152" s="198"/>
      <c r="HC152" s="199"/>
      <c r="HD152" s="197">
        <f>'[2]t&amp;t'!W284</f>
        <v>12746.8</v>
      </c>
      <c r="HE152" s="198">
        <f>'[2]t&amp;t'!X284</f>
        <v>1575</v>
      </c>
      <c r="HF152" s="198">
        <f>'[2]t&amp;t'!Y284</f>
        <v>1159.7</v>
      </c>
      <c r="HG152" s="198">
        <f>'[2]t&amp;t'!Z284</f>
        <v>807.1</v>
      </c>
      <c r="HH152" s="198">
        <f>'[2]t&amp;t'!AA284</f>
        <v>5214.3</v>
      </c>
      <c r="HI152" s="198"/>
      <c r="HJ152" s="199">
        <f>'[2]t&amp;t'!AC284</f>
        <v>3990.7</v>
      </c>
      <c r="HK152" s="197"/>
      <c r="HL152" s="198"/>
      <c r="HM152" s="198"/>
      <c r="HN152" s="198"/>
      <c r="HO152" s="198"/>
      <c r="HP152" s="198"/>
      <c r="HQ152" s="198"/>
      <c r="HR152" s="197"/>
      <c r="HT152" s="198"/>
      <c r="HU152" s="198"/>
      <c r="HV152" s="198"/>
      <c r="HW152" s="198"/>
      <c r="HX152" s="198"/>
    </row>
    <row r="153" spans="1:233">
      <c r="A153" s="185" t="s">
        <v>492</v>
      </c>
      <c r="B153" s="197"/>
      <c r="C153" s="198"/>
      <c r="D153" s="198"/>
      <c r="E153" s="198"/>
      <c r="F153" s="198"/>
      <c r="G153" s="198"/>
      <c r="H153" s="199"/>
      <c r="I153" s="197"/>
      <c r="J153" s="198"/>
      <c r="K153" s="198"/>
      <c r="L153" s="198"/>
      <c r="M153" s="198"/>
      <c r="N153" s="198"/>
      <c r="O153" s="199"/>
      <c r="P153" s="198"/>
      <c r="Q153" s="198"/>
      <c r="R153" s="198"/>
      <c r="S153" s="198"/>
      <c r="T153" s="198"/>
      <c r="U153" s="198"/>
      <c r="V153" s="199"/>
      <c r="W153" s="198">
        <v>2629.3649999999998</v>
      </c>
      <c r="X153" s="198">
        <v>82.313999999999993</v>
      </c>
      <c r="Y153" s="198">
        <v>654.34599999999989</v>
      </c>
      <c r="Z153" s="198">
        <v>198.9</v>
      </c>
      <c r="AA153" s="198">
        <v>1101.4459999999999</v>
      </c>
      <c r="AB153" s="198"/>
      <c r="AC153" s="199">
        <f t="shared" si="3"/>
        <v>592.35899999999992</v>
      </c>
      <c r="AD153" s="198"/>
      <c r="AE153" s="198">
        <v>46.113</v>
      </c>
      <c r="AF153" s="198">
        <v>155.923</v>
      </c>
      <c r="AG153" s="198">
        <v>172.084</v>
      </c>
      <c r="AH153" s="198">
        <v>157.89699999999999</v>
      </c>
      <c r="AI153" s="198"/>
      <c r="AJ153" s="198"/>
      <c r="AK153" s="197"/>
      <c r="AL153" s="198"/>
      <c r="AM153" s="198"/>
      <c r="AN153" s="198"/>
      <c r="AO153" s="198"/>
      <c r="AP153" s="198"/>
      <c r="AQ153" s="199"/>
      <c r="AR153" s="198">
        <v>291609.41052061005</v>
      </c>
      <c r="AS153" s="198">
        <v>78771.320787069999</v>
      </c>
      <c r="AT153" s="198">
        <v>26836.943944780003</v>
      </c>
      <c r="AU153" s="198">
        <v>54893.456028879998</v>
      </c>
      <c r="AV153" s="198">
        <v>44774.400641310007</v>
      </c>
      <c r="AW153" s="198"/>
      <c r="AX153" s="198">
        <v>86333.289118570043</v>
      </c>
      <c r="AY153" s="197">
        <v>26289391</v>
      </c>
      <c r="AZ153" s="198"/>
      <c r="BA153" s="198">
        <v>19683341</v>
      </c>
      <c r="BB153" s="198">
        <v>4398328</v>
      </c>
      <c r="BC153" s="198">
        <v>2207722</v>
      </c>
      <c r="BD153" s="198"/>
      <c r="BE153" s="198"/>
      <c r="BF153" s="197">
        <v>48179595.929999992</v>
      </c>
      <c r="BG153" s="198"/>
      <c r="BH153" s="198">
        <v>26838622.769999992</v>
      </c>
      <c r="BI153" s="198">
        <v>14474129.77</v>
      </c>
      <c r="BJ153" s="198">
        <v>6866843.3900000006</v>
      </c>
      <c r="BK153" s="198">
        <v>0</v>
      </c>
      <c r="BL153" s="198"/>
      <c r="BM153" s="197">
        <v>1063690.0560000001</v>
      </c>
      <c r="BN153" s="198">
        <v>123815.18700000001</v>
      </c>
      <c r="BO153" s="198">
        <v>182805.90400000001</v>
      </c>
      <c r="BP153" s="198">
        <v>188080.31</v>
      </c>
      <c r="BQ153" s="198">
        <v>256930.76199999999</v>
      </c>
      <c r="BR153" s="198"/>
      <c r="BS153" s="198">
        <f t="shared" si="2"/>
        <v>312057.89300000016</v>
      </c>
      <c r="BT153" s="197"/>
      <c r="BU153" s="198"/>
      <c r="BV153" s="198"/>
      <c r="BW153" s="198"/>
      <c r="BX153" s="198"/>
      <c r="BY153" s="198"/>
      <c r="BZ153" s="198"/>
      <c r="CA153" s="197"/>
      <c r="CB153" s="198"/>
      <c r="CC153" s="198"/>
      <c r="CD153" s="198"/>
      <c r="CE153" s="198"/>
      <c r="CF153" s="198"/>
      <c r="CG153" s="198"/>
      <c r="CH153" s="197"/>
      <c r="CI153" s="198"/>
      <c r="CJ153" s="198"/>
      <c r="CK153" s="198"/>
      <c r="CL153" s="198"/>
      <c r="CM153" s="198"/>
      <c r="CN153" s="198"/>
      <c r="CO153" s="197"/>
      <c r="CP153" s="198"/>
      <c r="CQ153" s="198"/>
      <c r="CR153" s="198"/>
      <c r="CS153" s="198"/>
      <c r="CT153" s="198"/>
      <c r="CU153" s="198"/>
      <c r="CV153" s="197"/>
      <c r="CW153" s="198"/>
      <c r="CX153" s="198"/>
      <c r="CY153" s="198"/>
      <c r="CZ153" s="198"/>
      <c r="DA153" s="198"/>
      <c r="DB153" s="198"/>
      <c r="DC153" s="197"/>
      <c r="DD153" s="198"/>
      <c r="DE153" s="198"/>
      <c r="DF153" s="198"/>
      <c r="DG153" s="198"/>
      <c r="DH153" s="198"/>
      <c r="DI153" s="198"/>
      <c r="DJ153" s="197"/>
      <c r="DK153" s="198"/>
      <c r="DL153" s="198"/>
      <c r="DM153" s="198"/>
      <c r="DN153" s="198"/>
      <c r="DO153" s="198"/>
      <c r="DP153" s="198"/>
      <c r="DQ153" s="197"/>
      <c r="DR153" s="198"/>
      <c r="DS153" s="198"/>
      <c r="DT153" s="198"/>
      <c r="DU153" s="198"/>
      <c r="DV153" s="198"/>
      <c r="DW153" s="198"/>
      <c r="DX153" s="197">
        <v>33691.212029509996</v>
      </c>
      <c r="DY153" s="198"/>
      <c r="DZ153" s="198">
        <v>26910.334940159999</v>
      </c>
      <c r="EA153" s="198">
        <v>3970.8990922199996</v>
      </c>
      <c r="EB153" s="198">
        <v>1879.8936285700001</v>
      </c>
      <c r="EC153" s="198"/>
      <c r="ED153" s="198">
        <v>930.08436855999969</v>
      </c>
      <c r="EE153" s="197"/>
      <c r="EF153" s="198"/>
      <c r="EG153" s="198"/>
      <c r="EH153" s="198"/>
      <c r="EI153" s="198"/>
      <c r="EJ153" s="198"/>
      <c r="EK153" s="198"/>
      <c r="EL153" s="197"/>
      <c r="EM153" s="198"/>
      <c r="EN153" s="198"/>
      <c r="EO153" s="198"/>
      <c r="EP153" s="198"/>
      <c r="EQ153" s="198"/>
      <c r="ER153" s="198"/>
      <c r="ES153" s="197"/>
      <c r="ET153" s="198"/>
      <c r="EU153" s="198"/>
      <c r="EV153" s="198"/>
      <c r="EW153" s="198"/>
      <c r="EX153" s="198"/>
      <c r="EY153" s="198"/>
      <c r="EZ153" s="197"/>
      <c r="FA153" s="198"/>
      <c r="FB153" s="198"/>
      <c r="FC153" s="198"/>
      <c r="FD153" s="198"/>
      <c r="FE153" s="198"/>
      <c r="FF153" s="198"/>
      <c r="FG153" s="197"/>
      <c r="FH153" s="198"/>
      <c r="FI153" s="198"/>
      <c r="FJ153" s="198"/>
      <c r="FK153" s="198"/>
      <c r="FL153" s="198"/>
      <c r="FM153" s="198"/>
      <c r="FN153" s="197">
        <v>41017.493999999999</v>
      </c>
      <c r="FO153" s="198">
        <v>10589.305</v>
      </c>
      <c r="FP153" s="198">
        <v>5349.67</v>
      </c>
      <c r="FQ153" s="198"/>
      <c r="FR153" s="198"/>
      <c r="FS153" s="198"/>
      <c r="FT153" s="199"/>
      <c r="FU153" s="197"/>
      <c r="FV153" s="198"/>
      <c r="FW153" s="198"/>
      <c r="FX153" s="198"/>
      <c r="FY153" s="198"/>
      <c r="FZ153" s="198"/>
      <c r="GA153" s="199"/>
      <c r="GB153" s="197"/>
      <c r="GC153" s="198"/>
      <c r="GD153" s="198"/>
      <c r="GE153" s="198"/>
      <c r="GF153" s="198"/>
      <c r="GG153" s="198"/>
      <c r="GH153" s="199"/>
      <c r="GI153" s="197"/>
      <c r="GJ153" s="198"/>
      <c r="GK153" s="198"/>
      <c r="GL153" s="198"/>
      <c r="GM153" s="198"/>
      <c r="GN153" s="198"/>
      <c r="GO153" s="199"/>
      <c r="GP153" s="197"/>
      <c r="GQ153" s="198"/>
      <c r="GR153" s="198"/>
      <c r="GS153" s="198"/>
      <c r="GT153" s="198"/>
      <c r="GU153" s="198"/>
      <c r="GV153" s="199"/>
      <c r="GW153" s="197"/>
      <c r="GX153" s="198"/>
      <c r="GY153" s="198"/>
      <c r="GZ153" s="198"/>
      <c r="HA153" s="198"/>
      <c r="HB153" s="198"/>
      <c r="HC153" s="199"/>
      <c r="HD153" s="197"/>
      <c r="HE153" s="198"/>
      <c r="HF153" s="198"/>
      <c r="HG153" s="198"/>
      <c r="HH153" s="198"/>
      <c r="HI153" s="198"/>
      <c r="HJ153" s="199"/>
      <c r="HK153" s="197"/>
      <c r="HL153" s="198"/>
      <c r="HM153" s="198"/>
      <c r="HN153" s="198"/>
      <c r="HO153" s="198"/>
      <c r="HP153" s="198"/>
      <c r="HQ153" s="198"/>
      <c r="HR153" s="197"/>
      <c r="HT153" s="198"/>
      <c r="HU153" s="198"/>
      <c r="HV153" s="198"/>
      <c r="HW153" s="198"/>
      <c r="HX153" s="198"/>
    </row>
    <row r="154" spans="1:233">
      <c r="A154" s="185" t="s">
        <v>493</v>
      </c>
      <c r="B154" s="197"/>
      <c r="C154" s="198"/>
      <c r="D154" s="198"/>
      <c r="E154" s="198"/>
      <c r="F154" s="198"/>
      <c r="G154" s="198"/>
      <c r="H154" s="199"/>
      <c r="I154" s="197"/>
      <c r="J154" s="198"/>
      <c r="K154" s="198"/>
      <c r="L154" s="198"/>
      <c r="M154" s="198"/>
      <c r="N154" s="198"/>
      <c r="O154" s="199"/>
      <c r="P154" s="198"/>
      <c r="Q154" s="198"/>
      <c r="R154" s="198"/>
      <c r="S154" s="198"/>
      <c r="T154" s="198"/>
      <c r="U154" s="198"/>
      <c r="V154" s="199"/>
      <c r="W154" s="198">
        <v>2622.1590000000001</v>
      </c>
      <c r="X154" s="198">
        <v>83.185000000000002</v>
      </c>
      <c r="Y154" s="198">
        <v>610.03300000000002</v>
      </c>
      <c r="Z154" s="198">
        <v>184.62299999999999</v>
      </c>
      <c r="AA154" s="198">
        <v>1114.248</v>
      </c>
      <c r="AB154" s="198"/>
      <c r="AC154" s="199">
        <f t="shared" si="3"/>
        <v>630.07000000000016</v>
      </c>
      <c r="AD154" s="198"/>
      <c r="AE154" s="198">
        <v>42.802</v>
      </c>
      <c r="AF154" s="198">
        <v>154.14699999999999</v>
      </c>
      <c r="AG154" s="198">
        <v>173.89500000000001</v>
      </c>
      <c r="AH154" s="198">
        <v>156.839</v>
      </c>
      <c r="AI154" s="198"/>
      <c r="AJ154" s="198"/>
      <c r="AK154" s="197"/>
      <c r="AL154" s="198"/>
      <c r="AM154" s="198"/>
      <c r="AN154" s="198"/>
      <c r="AO154" s="198"/>
      <c r="AP154" s="198"/>
      <c r="AQ154" s="199"/>
      <c r="AR154" s="198">
        <v>312232.15933439997</v>
      </c>
      <c r="AS154" s="198">
        <v>75270.186614320002</v>
      </c>
      <c r="AT154" s="198">
        <v>28561.071142359997</v>
      </c>
      <c r="AU154" s="198">
        <v>59169.150986159999</v>
      </c>
      <c r="AV154" s="198">
        <v>49534.827085130004</v>
      </c>
      <c r="AW154" s="198"/>
      <c r="AX154" s="198">
        <v>99696.923506429972</v>
      </c>
      <c r="AY154" s="197">
        <v>26360210</v>
      </c>
      <c r="AZ154" s="198"/>
      <c r="BA154" s="198">
        <v>19713559</v>
      </c>
      <c r="BB154" s="198">
        <v>4446902</v>
      </c>
      <c r="BC154" s="198">
        <v>2199749</v>
      </c>
      <c r="BD154" s="198"/>
      <c r="BE154" s="198"/>
      <c r="BF154" s="197">
        <v>48485879.809999995</v>
      </c>
      <c r="BG154" s="198"/>
      <c r="BH154" s="198">
        <v>27098899.359999996</v>
      </c>
      <c r="BI154" s="198">
        <v>14512474.840000002</v>
      </c>
      <c r="BJ154" s="198">
        <v>6874505.6099999994</v>
      </c>
      <c r="BK154" s="198">
        <v>0</v>
      </c>
      <c r="BL154" s="198"/>
      <c r="BM154" s="197">
        <v>1080377.601</v>
      </c>
      <c r="BN154" s="198">
        <v>124689.44500000001</v>
      </c>
      <c r="BO154" s="198">
        <v>188481.87700000001</v>
      </c>
      <c r="BP154" s="198">
        <v>191526.95600000001</v>
      </c>
      <c r="BQ154" s="198">
        <v>265777.29499999998</v>
      </c>
      <c r="BR154" s="198"/>
      <c r="BS154" s="198">
        <f t="shared" si="2"/>
        <v>309902.02799999993</v>
      </c>
      <c r="BT154" s="197"/>
      <c r="BU154" s="198"/>
      <c r="BV154" s="198"/>
      <c r="BW154" s="198"/>
      <c r="BX154" s="198"/>
      <c r="BY154" s="198"/>
      <c r="BZ154" s="198"/>
      <c r="CA154" s="197"/>
      <c r="CB154" s="198"/>
      <c r="CC154" s="198"/>
      <c r="CD154" s="198"/>
      <c r="CE154" s="198"/>
      <c r="CF154" s="198"/>
      <c r="CG154" s="198"/>
      <c r="CH154" s="197"/>
      <c r="CI154" s="198"/>
      <c r="CJ154" s="198"/>
      <c r="CK154" s="198"/>
      <c r="CL154" s="198"/>
      <c r="CM154" s="198"/>
      <c r="CN154" s="198"/>
      <c r="CO154" s="197"/>
      <c r="CP154" s="198"/>
      <c r="CQ154" s="198"/>
      <c r="CR154" s="198"/>
      <c r="CS154" s="198"/>
      <c r="CT154" s="198"/>
      <c r="CU154" s="198"/>
      <c r="CV154" s="197"/>
      <c r="CW154" s="198"/>
      <c r="CX154" s="198"/>
      <c r="CY154" s="198"/>
      <c r="CZ154" s="198"/>
      <c r="DA154" s="198"/>
      <c r="DB154" s="198"/>
      <c r="DC154" s="197"/>
      <c r="DD154" s="198"/>
      <c r="DE154" s="198"/>
      <c r="DF154" s="198"/>
      <c r="DG154" s="198"/>
      <c r="DH154" s="198"/>
      <c r="DI154" s="198"/>
      <c r="DJ154" s="197"/>
      <c r="DK154" s="198"/>
      <c r="DL154" s="198"/>
      <c r="DM154" s="198"/>
      <c r="DN154" s="198"/>
      <c r="DO154" s="198"/>
      <c r="DP154" s="198"/>
      <c r="DQ154" s="197"/>
      <c r="DR154" s="198"/>
      <c r="DS154" s="198"/>
      <c r="DT154" s="198"/>
      <c r="DU154" s="198"/>
      <c r="DV154" s="198"/>
      <c r="DW154" s="198"/>
      <c r="DX154" s="197">
        <v>35868.521356289995</v>
      </c>
      <c r="DY154" s="198"/>
      <c r="DZ154" s="198">
        <v>28534.326817130001</v>
      </c>
      <c r="EA154" s="198">
        <v>3726.1049794299997</v>
      </c>
      <c r="EB154" s="198">
        <v>1963.4391938699998</v>
      </c>
      <c r="EC154" s="198"/>
      <c r="ED154" s="198">
        <v>1644.65036586</v>
      </c>
      <c r="EE154" s="197"/>
      <c r="EF154" s="198"/>
      <c r="EG154" s="198"/>
      <c r="EH154" s="198"/>
      <c r="EI154" s="198"/>
      <c r="EJ154" s="198"/>
      <c r="EK154" s="198"/>
      <c r="EL154" s="197"/>
      <c r="EM154" s="198"/>
      <c r="EN154" s="198"/>
      <c r="EO154" s="198"/>
      <c r="EP154" s="198"/>
      <c r="EQ154" s="198"/>
      <c r="ER154" s="198"/>
      <c r="ES154" s="197"/>
      <c r="ET154" s="198"/>
      <c r="EU154" s="198"/>
      <c r="EV154" s="198"/>
      <c r="EW154" s="198"/>
      <c r="EX154" s="198"/>
      <c r="EY154" s="198"/>
      <c r="EZ154" s="197"/>
      <c r="FA154" s="198"/>
      <c r="FB154" s="198"/>
      <c r="FC154" s="198"/>
      <c r="FD154" s="198"/>
      <c r="FE154" s="198"/>
      <c r="FF154" s="198"/>
      <c r="FG154" s="197"/>
      <c r="FH154" s="198"/>
      <c r="FI154" s="198"/>
      <c r="FJ154" s="198"/>
      <c r="FK154" s="198"/>
      <c r="FL154" s="198"/>
      <c r="FM154" s="198"/>
      <c r="FN154" s="197">
        <v>41023.131000000001</v>
      </c>
      <c r="FO154" s="198">
        <v>10607.32</v>
      </c>
      <c r="FP154" s="198">
        <v>5224.951</v>
      </c>
      <c r="FQ154" s="198"/>
      <c r="FR154" s="198"/>
      <c r="FS154" s="198"/>
      <c r="FT154" s="199"/>
      <c r="FU154" s="197"/>
      <c r="FV154" s="198"/>
      <c r="FW154" s="198"/>
      <c r="FX154" s="198"/>
      <c r="FY154" s="198"/>
      <c r="FZ154" s="198"/>
      <c r="GA154" s="199"/>
      <c r="GB154" s="197"/>
      <c r="GC154" s="198"/>
      <c r="GD154" s="198"/>
      <c r="GE154" s="198"/>
      <c r="GF154" s="198"/>
      <c r="GG154" s="198"/>
      <c r="GH154" s="199"/>
      <c r="GI154" s="197"/>
      <c r="GJ154" s="198"/>
      <c r="GK154" s="198"/>
      <c r="GL154" s="198"/>
      <c r="GM154" s="198"/>
      <c r="GN154" s="198"/>
      <c r="GO154" s="199"/>
      <c r="GP154" s="197"/>
      <c r="GQ154" s="198"/>
      <c r="GR154" s="198"/>
      <c r="GS154" s="198"/>
      <c r="GT154" s="198"/>
      <c r="GU154" s="198"/>
      <c r="GV154" s="199"/>
      <c r="GW154" s="197"/>
      <c r="GX154" s="198"/>
      <c r="GY154" s="198"/>
      <c r="GZ154" s="198"/>
      <c r="HA154" s="198"/>
      <c r="HB154" s="198"/>
      <c r="HC154" s="199"/>
      <c r="HD154" s="197"/>
      <c r="HE154" s="198"/>
      <c r="HF154" s="198"/>
      <c r="HG154" s="198"/>
      <c r="HH154" s="198"/>
      <c r="HI154" s="198"/>
      <c r="HJ154" s="199"/>
      <c r="HK154" s="197"/>
      <c r="HL154" s="198"/>
      <c r="HM154" s="198"/>
      <c r="HN154" s="198"/>
      <c r="HO154" s="198"/>
      <c r="HP154" s="198"/>
      <c r="HQ154" s="198"/>
      <c r="HR154" s="197"/>
      <c r="HT154" s="198"/>
      <c r="HU154" s="198"/>
      <c r="HV154" s="198"/>
      <c r="HW154" s="198"/>
      <c r="HX154" s="198"/>
    </row>
    <row r="155" spans="1:233">
      <c r="A155" s="185" t="s">
        <v>494</v>
      </c>
      <c r="B155" s="197">
        <v>1590.0250000000001</v>
      </c>
      <c r="C155" s="198">
        <v>47.414000000000001</v>
      </c>
      <c r="D155" s="198">
        <f>204.072+130.53+23.004</f>
        <v>357.60599999999999</v>
      </c>
      <c r="E155" s="198">
        <v>359.45100000000002</v>
      </c>
      <c r="F155" s="198">
        <f>686.638-E155</f>
        <v>327.18700000000001</v>
      </c>
      <c r="G155" s="198"/>
      <c r="H155" s="199">
        <f>B155-C155-D155-E155-F155</f>
        <v>498.36700000000008</v>
      </c>
      <c r="I155" s="197"/>
      <c r="J155" s="198"/>
      <c r="K155" s="198"/>
      <c r="L155" s="198"/>
      <c r="M155" s="198"/>
      <c r="N155" s="198"/>
      <c r="O155" s="199"/>
      <c r="P155" s="198"/>
      <c r="Q155" s="198"/>
      <c r="R155" s="198"/>
      <c r="S155" s="198"/>
      <c r="T155" s="198"/>
      <c r="U155" s="198"/>
      <c r="V155" s="199"/>
      <c r="W155" s="198">
        <v>2636.8809999999999</v>
      </c>
      <c r="X155" s="198">
        <v>86.022999999999996</v>
      </c>
      <c r="Y155" s="198">
        <v>587.95699999999999</v>
      </c>
      <c r="Z155" s="198">
        <v>202.60599999999999</v>
      </c>
      <c r="AA155" s="198">
        <v>1122.7660000000001</v>
      </c>
      <c r="AB155" s="198"/>
      <c r="AC155" s="199">
        <f t="shared" si="3"/>
        <v>637.52899999999977</v>
      </c>
      <c r="AD155" s="198">
        <f>[1]datos!$S287</f>
        <v>763.822</v>
      </c>
      <c r="AE155" s="198">
        <v>43.027000000000001</v>
      </c>
      <c r="AF155" s="198">
        <v>153.916</v>
      </c>
      <c r="AG155" s="198">
        <v>176.268</v>
      </c>
      <c r="AH155" s="198">
        <v>161.792</v>
      </c>
      <c r="AI155" s="198">
        <f>[1]datos!$U287</f>
        <v>96.433999999999997</v>
      </c>
      <c r="AJ155" s="198">
        <f>AD155-AE155-AF155-AG155-AH155-AI155</f>
        <v>132.38499999999988</v>
      </c>
      <c r="AK155" s="197">
        <v>23982.84</v>
      </c>
      <c r="AL155" s="198"/>
      <c r="AM155" s="198"/>
      <c r="AN155" s="198"/>
      <c r="AO155" s="198"/>
      <c r="AP155" s="198"/>
      <c r="AQ155" s="199"/>
      <c r="AR155" s="198">
        <v>307011.36368930002</v>
      </c>
      <c r="AS155" s="198">
        <v>80241.937928319996</v>
      </c>
      <c r="AT155" s="198">
        <v>27604.461114179998</v>
      </c>
      <c r="AU155" s="198">
        <v>60996.27154852001</v>
      </c>
      <c r="AV155" s="198">
        <v>51689.70478855999</v>
      </c>
      <c r="AW155" s="198"/>
      <c r="AX155" s="198">
        <v>86478.988309720007</v>
      </c>
      <c r="AY155" s="197">
        <v>26531733</v>
      </c>
      <c r="AZ155" s="198"/>
      <c r="BA155" s="198">
        <v>19850301</v>
      </c>
      <c r="BB155" s="198">
        <v>4487557</v>
      </c>
      <c r="BC155" s="198">
        <v>2193875</v>
      </c>
      <c r="BD155" s="198"/>
      <c r="BE155" s="198"/>
      <c r="BF155" s="197">
        <v>48581773.549999997</v>
      </c>
      <c r="BG155" s="198"/>
      <c r="BH155" s="198">
        <v>27225199.379999999</v>
      </c>
      <c r="BI155" s="198">
        <v>14438052.080000004</v>
      </c>
      <c r="BJ155" s="198">
        <v>6918522.0899999989</v>
      </c>
      <c r="BK155" s="198">
        <v>0</v>
      </c>
      <c r="BL155" s="198"/>
      <c r="BM155" s="197"/>
      <c r="BN155" s="198"/>
      <c r="BO155" s="198"/>
      <c r="BP155" s="198"/>
      <c r="BQ155" s="198"/>
      <c r="BR155" s="198"/>
      <c r="BS155" s="198"/>
      <c r="BT155" s="197"/>
      <c r="BU155" s="198"/>
      <c r="BV155" s="198"/>
      <c r="BW155" s="198"/>
      <c r="BX155" s="198"/>
      <c r="BY155" s="198"/>
      <c r="BZ155" s="198"/>
      <c r="CA155" s="197">
        <v>527.65599999999995</v>
      </c>
      <c r="CB155" s="198">
        <v>35.409999999999997</v>
      </c>
      <c r="CC155" s="198">
        <f>79.189+25.607+2.217</f>
        <v>107.01299999999999</v>
      </c>
      <c r="CD155" s="198">
        <v>126.742</v>
      </c>
      <c r="CE155" s="198">
        <f>219.593-CD155</f>
        <v>92.850999999999985</v>
      </c>
      <c r="CF155" s="198"/>
      <c r="CG155" s="198">
        <f>CA155-CB155-CC155-CD155-CE155</f>
        <v>165.64</v>
      </c>
      <c r="CH155" s="197"/>
      <c r="CI155" s="198"/>
      <c r="CJ155" s="198"/>
      <c r="CK155" s="198"/>
      <c r="CL155" s="198"/>
      <c r="CM155" s="198"/>
      <c r="CN155" s="198"/>
      <c r="CO155" s="197"/>
      <c r="CP155" s="198"/>
      <c r="CQ155" s="198"/>
      <c r="CR155" s="198"/>
      <c r="CS155" s="198"/>
      <c r="CT155" s="198"/>
      <c r="CU155" s="198"/>
      <c r="CV155" s="197">
        <v>913.25699999999995</v>
      </c>
      <c r="CW155" s="198">
        <v>27.45</v>
      </c>
      <c r="CX155" s="198">
        <f>103.589+51.066+13.758</f>
        <v>168.41300000000001</v>
      </c>
      <c r="CY155" s="198">
        <v>301.47300000000001</v>
      </c>
      <c r="CZ155" s="198">
        <f>487.793-CY155</f>
        <v>186.32</v>
      </c>
      <c r="DA155" s="198"/>
      <c r="DB155" s="198">
        <f>CV155-CW155-CX155-CY155-CZ155</f>
        <v>229.60099999999989</v>
      </c>
      <c r="DC155" s="197"/>
      <c r="DD155" s="198"/>
      <c r="DE155" s="198"/>
      <c r="DF155" s="198"/>
      <c r="DG155" s="198"/>
      <c r="DH155" s="198"/>
      <c r="DI155" s="198"/>
      <c r="DJ155" s="197">
        <f>245.6+52075</f>
        <v>52320.6</v>
      </c>
      <c r="DK155" s="198">
        <f>38.2+15674.2</f>
        <v>15712.400000000001</v>
      </c>
      <c r="DL155" s="198">
        <f>1555.8+10160.1</f>
        <v>11715.9</v>
      </c>
      <c r="DM155" s="198">
        <v>4183.2</v>
      </c>
      <c r="DN155" s="198">
        <f>9768-DM155</f>
        <v>5584.8</v>
      </c>
      <c r="DO155" s="198"/>
      <c r="DP155" s="198">
        <f>DJ155-SUM(DK155:DN155)</f>
        <v>15124.299999999996</v>
      </c>
      <c r="DQ155" s="197"/>
      <c r="DR155" s="198"/>
      <c r="DS155" s="198"/>
      <c r="DT155" s="198"/>
      <c r="DU155" s="198"/>
      <c r="DV155" s="198"/>
      <c r="DW155" s="198"/>
      <c r="DX155" s="197">
        <v>33524.494106910002</v>
      </c>
      <c r="DY155" s="198"/>
      <c r="DZ155" s="198">
        <v>25653.043212089997</v>
      </c>
      <c r="EA155" s="198">
        <v>3990.3724561399995</v>
      </c>
      <c r="EB155" s="198">
        <v>2027.8732109700002</v>
      </c>
      <c r="EC155" s="198"/>
      <c r="ED155" s="198">
        <v>1853.2052277100001</v>
      </c>
      <c r="EE155" s="197"/>
      <c r="EF155" s="198"/>
      <c r="EG155" s="198"/>
      <c r="EH155" s="198"/>
      <c r="EI155" s="198"/>
      <c r="EJ155" s="198"/>
      <c r="EK155" s="198"/>
      <c r="EL155" s="197"/>
      <c r="EM155" s="198"/>
      <c r="EN155" s="198"/>
      <c r="EO155" s="198"/>
      <c r="EP155" s="198"/>
      <c r="EQ155" s="198"/>
      <c r="ER155" s="198"/>
      <c r="ES155" s="197"/>
      <c r="ET155" s="198"/>
      <c r="EU155" s="198"/>
      <c r="EV155" s="198"/>
      <c r="EW155" s="198"/>
      <c r="EX155" s="198"/>
      <c r="EY155" s="198"/>
      <c r="EZ155" s="197"/>
      <c r="FA155" s="198"/>
      <c r="FB155" s="198"/>
      <c r="FC155" s="198"/>
      <c r="FD155" s="198"/>
      <c r="FE155" s="198"/>
      <c r="FF155" s="198"/>
      <c r="FG155" s="197"/>
      <c r="FH155" s="198"/>
      <c r="FI155" s="198"/>
      <c r="FJ155" s="198"/>
      <c r="FK155" s="198"/>
      <c r="FL155" s="198"/>
      <c r="FM155" s="198"/>
      <c r="FN155" s="197">
        <v>40977.338000000003</v>
      </c>
      <c r="FO155" s="198">
        <v>10678.855</v>
      </c>
      <c r="FP155" s="198">
        <v>5191.558</v>
      </c>
      <c r="FQ155" s="198"/>
      <c r="FR155" s="198"/>
      <c r="FS155" s="198"/>
      <c r="FT155" s="199"/>
      <c r="FU155" s="197"/>
      <c r="FV155" s="198"/>
      <c r="FW155" s="198"/>
      <c r="FX155" s="198"/>
      <c r="FY155" s="198"/>
      <c r="FZ155" s="198"/>
      <c r="GA155" s="199"/>
      <c r="GB155" s="197">
        <v>986.93100000000004</v>
      </c>
      <c r="GC155" s="198">
        <v>27.294</v>
      </c>
      <c r="GD155" s="198">
        <f>106.31+52.677+12.913</f>
        <v>171.9</v>
      </c>
      <c r="GE155" s="198">
        <v>203.209</v>
      </c>
      <c r="GF155" s="198">
        <f>373.715-GE155</f>
        <v>170.50599999999997</v>
      </c>
      <c r="GG155" s="198"/>
      <c r="GH155" s="199">
        <f>GB155-GC155-GD155-GE155-GF155</f>
        <v>414.02200000000005</v>
      </c>
      <c r="GI155" s="197">
        <v>651.50599999999997</v>
      </c>
      <c r="GJ155" s="198">
        <v>19.359000000000002</v>
      </c>
      <c r="GK155" s="198">
        <f>85.388+30.102+8.337</f>
        <v>123.82700000000001</v>
      </c>
      <c r="GL155" s="198">
        <v>192.029</v>
      </c>
      <c r="GM155" s="198">
        <f>335.665-GL155</f>
        <v>143.63600000000002</v>
      </c>
      <c r="GN155" s="198"/>
      <c r="GO155" s="199">
        <f>GI155-GJ155-GK155-GL155-GM155</f>
        <v>172.65499999999992</v>
      </c>
      <c r="GP155" s="197">
        <v>1582.0740000000001</v>
      </c>
      <c r="GQ155" s="198">
        <v>50.133000000000003</v>
      </c>
      <c r="GR155" s="198">
        <f>191.471+138.919+15.425</f>
        <v>345.815</v>
      </c>
      <c r="GS155" s="198">
        <v>360.39299999999997</v>
      </c>
      <c r="GT155" s="198">
        <f>757.628-GS155</f>
        <v>397.23500000000007</v>
      </c>
      <c r="GU155" s="198"/>
      <c r="GV155" s="199">
        <f>GP155-GQ155-GR155-GS155-GT155</f>
        <v>428.49799999999988</v>
      </c>
      <c r="GW155" s="197"/>
      <c r="GX155" s="198"/>
      <c r="GY155" s="198"/>
      <c r="GZ155" s="198"/>
      <c r="HA155" s="198"/>
      <c r="HB155" s="198"/>
      <c r="HC155" s="199"/>
      <c r="HD155" s="197">
        <f>'[2]t&amp;t'!W287</f>
        <v>13046.2</v>
      </c>
      <c r="HE155" s="198">
        <f>'[2]t&amp;t'!X287</f>
        <v>1554.5</v>
      </c>
      <c r="HF155" s="198">
        <f>'[2]t&amp;t'!Y287</f>
        <v>1339</v>
      </c>
      <c r="HG155" s="198">
        <f>'[2]t&amp;t'!Z287</f>
        <v>803</v>
      </c>
      <c r="HH155" s="198">
        <f>'[2]t&amp;t'!AA287</f>
        <v>5209.1000000000004</v>
      </c>
      <c r="HI155" s="198"/>
      <c r="HJ155" s="199">
        <f>'[2]t&amp;t'!AC287</f>
        <v>4140.6000000000004</v>
      </c>
      <c r="HK155" s="197"/>
      <c r="HL155" s="198"/>
      <c r="HM155" s="198"/>
      <c r="HN155" s="198"/>
      <c r="HO155" s="198"/>
      <c r="HP155" s="198"/>
      <c r="HQ155" s="198"/>
      <c r="HR155" s="197"/>
      <c r="HT155" s="198"/>
      <c r="HU155" s="198"/>
      <c r="HV155" s="198"/>
      <c r="HW155" s="198"/>
      <c r="HX155" s="198"/>
    </row>
    <row r="156" spans="1:233">
      <c r="A156" s="185" t="s">
        <v>495</v>
      </c>
      <c r="B156" s="197"/>
      <c r="C156" s="198"/>
      <c r="D156" s="198"/>
      <c r="E156" s="198"/>
      <c r="F156" s="198"/>
      <c r="G156" s="198"/>
      <c r="H156" s="199"/>
      <c r="I156" s="197"/>
      <c r="J156" s="198"/>
      <c r="K156" s="198"/>
      <c r="L156" s="198"/>
      <c r="M156" s="198"/>
      <c r="N156" s="198"/>
      <c r="O156" s="199"/>
      <c r="P156" s="198"/>
      <c r="Q156" s="198"/>
      <c r="R156" s="198"/>
      <c r="S156" s="198"/>
      <c r="T156" s="198"/>
      <c r="U156" s="198"/>
      <c r="V156" s="199"/>
      <c r="W156" s="198">
        <v>2644.942</v>
      </c>
      <c r="X156" s="198">
        <v>89.14</v>
      </c>
      <c r="Y156" s="198">
        <v>589.64299999999992</v>
      </c>
      <c r="Z156" s="198">
        <v>210.351</v>
      </c>
      <c r="AA156" s="198">
        <v>1124.518</v>
      </c>
      <c r="AB156" s="198"/>
      <c r="AC156" s="199">
        <f t="shared" si="3"/>
        <v>631.29</v>
      </c>
      <c r="AD156" s="198"/>
      <c r="AE156" s="198">
        <v>44.951999999999998</v>
      </c>
      <c r="AF156" s="198">
        <v>155.286</v>
      </c>
      <c r="AG156" s="198">
        <v>180.209</v>
      </c>
      <c r="AH156" s="198">
        <v>156.94399999999999</v>
      </c>
      <c r="AI156" s="198"/>
      <c r="AJ156" s="198"/>
      <c r="AK156" s="197"/>
      <c r="AL156" s="198"/>
      <c r="AM156" s="198"/>
      <c r="AN156" s="198"/>
      <c r="AO156" s="198"/>
      <c r="AP156" s="198"/>
      <c r="AQ156" s="199"/>
      <c r="AR156" s="198">
        <v>309905.43908660003</v>
      </c>
      <c r="AS156" s="198">
        <v>80819.339824729992</v>
      </c>
      <c r="AT156" s="198">
        <v>27689.491914860002</v>
      </c>
      <c r="AU156" s="198">
        <v>61315.054179500003</v>
      </c>
      <c r="AV156" s="198">
        <v>52845.948668429999</v>
      </c>
      <c r="AW156" s="198"/>
      <c r="AX156" s="198">
        <v>87235.604499080015</v>
      </c>
      <c r="AY156" s="197">
        <v>26660578</v>
      </c>
      <c r="AZ156" s="198"/>
      <c r="BA156" s="198">
        <v>19952821</v>
      </c>
      <c r="BB156" s="198">
        <v>4512752</v>
      </c>
      <c r="BC156" s="198">
        <v>2195005</v>
      </c>
      <c r="BD156" s="198"/>
      <c r="BE156" s="198"/>
      <c r="BF156" s="197">
        <v>48599805.18</v>
      </c>
      <c r="BG156" s="198"/>
      <c r="BH156" s="198">
        <v>27303402.380000006</v>
      </c>
      <c r="BI156" s="198">
        <v>14343429.589999996</v>
      </c>
      <c r="BJ156" s="198">
        <v>6952973.2100000009</v>
      </c>
      <c r="BK156" s="198">
        <v>0</v>
      </c>
      <c r="BL156" s="198"/>
      <c r="BM156" s="197">
        <v>1122348.257</v>
      </c>
      <c r="BN156" s="198">
        <v>127344.47900000001</v>
      </c>
      <c r="BO156" s="198">
        <v>193204.00200000001</v>
      </c>
      <c r="BP156" s="198">
        <v>209265.88500000001</v>
      </c>
      <c r="BQ156" s="198">
        <v>274279.40999999997</v>
      </c>
      <c r="BR156" s="198"/>
      <c r="BS156" s="198">
        <f t="shared" si="2"/>
        <v>318254.48099999991</v>
      </c>
      <c r="BT156" s="197"/>
      <c r="BU156" s="198"/>
      <c r="BV156" s="198"/>
      <c r="BW156" s="198"/>
      <c r="BX156" s="198"/>
      <c r="BY156" s="198"/>
      <c r="BZ156" s="198"/>
      <c r="CA156" s="197"/>
      <c r="CB156" s="198"/>
      <c r="CC156" s="198"/>
      <c r="CD156" s="198"/>
      <c r="CE156" s="198"/>
      <c r="CF156" s="198"/>
      <c r="CG156" s="198"/>
      <c r="CH156" s="197"/>
      <c r="CI156" s="198"/>
      <c r="CJ156" s="198"/>
      <c r="CK156" s="198"/>
      <c r="CL156" s="198"/>
      <c r="CM156" s="198"/>
      <c r="CN156" s="198"/>
      <c r="CO156" s="197"/>
      <c r="CP156" s="198"/>
      <c r="CQ156" s="198"/>
      <c r="CR156" s="198"/>
      <c r="CS156" s="198"/>
      <c r="CT156" s="198"/>
      <c r="CU156" s="198"/>
      <c r="CV156" s="197"/>
      <c r="CW156" s="198"/>
      <c r="CX156" s="198"/>
      <c r="CY156" s="198"/>
      <c r="CZ156" s="198"/>
      <c r="DA156" s="198"/>
      <c r="DB156" s="198"/>
      <c r="DC156" s="197"/>
      <c r="DD156" s="198"/>
      <c r="DE156" s="198"/>
      <c r="DF156" s="198"/>
      <c r="DG156" s="198"/>
      <c r="DH156" s="198"/>
      <c r="DI156" s="198"/>
      <c r="DJ156" s="197"/>
      <c r="DK156" s="198"/>
      <c r="DL156" s="198"/>
      <c r="DM156" s="198"/>
      <c r="DN156" s="198"/>
      <c r="DO156" s="198"/>
      <c r="DP156" s="198"/>
      <c r="DQ156" s="197"/>
      <c r="DR156" s="198"/>
      <c r="DS156" s="198"/>
      <c r="DT156" s="198"/>
      <c r="DU156" s="198"/>
      <c r="DV156" s="198"/>
      <c r="DW156" s="198"/>
      <c r="DX156" s="197">
        <v>37287.758986329995</v>
      </c>
      <c r="DY156" s="198"/>
      <c r="DZ156" s="198">
        <v>28588.546670609998</v>
      </c>
      <c r="EA156" s="198">
        <v>3988.1925383899998</v>
      </c>
      <c r="EB156" s="198">
        <v>2246.8619016800003</v>
      </c>
      <c r="EC156" s="198"/>
      <c r="ED156" s="198">
        <v>2464.1578756499998</v>
      </c>
      <c r="EE156" s="197"/>
      <c r="EF156" s="198"/>
      <c r="EG156" s="198"/>
      <c r="EH156" s="198"/>
      <c r="EI156" s="198"/>
      <c r="EJ156" s="198"/>
      <c r="EK156" s="198"/>
      <c r="EL156" s="197"/>
      <c r="EM156" s="198"/>
      <c r="EN156" s="198"/>
      <c r="EO156" s="198"/>
      <c r="EP156" s="198"/>
      <c r="EQ156" s="198"/>
      <c r="ER156" s="198"/>
      <c r="ES156" s="197"/>
      <c r="ET156" s="198"/>
      <c r="EU156" s="198"/>
      <c r="EV156" s="198"/>
      <c r="EW156" s="198"/>
      <c r="EX156" s="198"/>
      <c r="EY156" s="198"/>
      <c r="EZ156" s="197"/>
      <c r="FA156" s="198"/>
      <c r="FB156" s="198"/>
      <c r="FC156" s="198"/>
      <c r="FD156" s="198"/>
      <c r="FE156" s="198"/>
      <c r="FF156" s="198"/>
      <c r="FG156" s="197"/>
      <c r="FH156" s="198"/>
      <c r="FI156" s="198"/>
      <c r="FJ156" s="198"/>
      <c r="FK156" s="198"/>
      <c r="FL156" s="198"/>
      <c r="FM156" s="198"/>
      <c r="FN156" s="197">
        <v>40505.135999999999</v>
      </c>
      <c r="FO156" s="198">
        <v>10658.406999999999</v>
      </c>
      <c r="FP156" s="198">
        <v>5147.2120000000004</v>
      </c>
      <c r="FQ156" s="198"/>
      <c r="FR156" s="198"/>
      <c r="FS156" s="198"/>
      <c r="FT156" s="199"/>
      <c r="FU156" s="197"/>
      <c r="FV156" s="198"/>
      <c r="FW156" s="198"/>
      <c r="FX156" s="198"/>
      <c r="FY156" s="198"/>
      <c r="FZ156" s="198"/>
      <c r="GA156" s="199"/>
      <c r="GB156" s="197"/>
      <c r="GC156" s="198"/>
      <c r="GD156" s="198"/>
      <c r="GE156" s="198"/>
      <c r="GF156" s="198"/>
      <c r="GG156" s="198"/>
      <c r="GH156" s="199"/>
      <c r="GI156" s="197"/>
      <c r="GJ156" s="198"/>
      <c r="GK156" s="198"/>
      <c r="GL156" s="198"/>
      <c r="GM156" s="198"/>
      <c r="GN156" s="198"/>
      <c r="GO156" s="199"/>
      <c r="GP156" s="197"/>
      <c r="GQ156" s="198"/>
      <c r="GR156" s="198"/>
      <c r="GS156" s="198"/>
      <c r="GT156" s="198"/>
      <c r="GU156" s="198"/>
      <c r="GV156" s="199"/>
      <c r="GW156" s="197"/>
      <c r="GX156" s="198"/>
      <c r="GY156" s="198"/>
      <c r="GZ156" s="198"/>
      <c r="HA156" s="198"/>
      <c r="HB156" s="198"/>
      <c r="HC156" s="199"/>
      <c r="HD156" s="197"/>
      <c r="HE156" s="198"/>
      <c r="HF156" s="198"/>
      <c r="HG156" s="198"/>
      <c r="HH156" s="198"/>
      <c r="HI156" s="198"/>
      <c r="HJ156" s="199"/>
      <c r="HK156" s="197"/>
      <c r="HL156" s="198"/>
      <c r="HM156" s="198"/>
      <c r="HN156" s="198"/>
      <c r="HO156" s="198"/>
      <c r="HP156" s="198"/>
      <c r="HQ156" s="198"/>
      <c r="HR156" s="197"/>
      <c r="HT156" s="198"/>
      <c r="HU156" s="198"/>
      <c r="HV156" s="198"/>
      <c r="HW156" s="198"/>
      <c r="HX156" s="198"/>
    </row>
    <row r="157" spans="1:233">
      <c r="A157" s="185" t="s">
        <v>496</v>
      </c>
      <c r="B157" s="197"/>
      <c r="C157" s="198"/>
      <c r="D157" s="198"/>
      <c r="E157" s="198"/>
      <c r="F157" s="198"/>
      <c r="G157" s="198"/>
      <c r="H157" s="199"/>
      <c r="I157" s="197"/>
      <c r="J157" s="198"/>
      <c r="K157" s="198"/>
      <c r="L157" s="198"/>
      <c r="M157" s="198"/>
      <c r="N157" s="198"/>
      <c r="O157" s="199"/>
      <c r="P157" s="198"/>
      <c r="Q157" s="198"/>
      <c r="R157" s="198"/>
      <c r="S157" s="198"/>
      <c r="T157" s="198"/>
      <c r="U157" s="198"/>
      <c r="V157" s="199"/>
      <c r="W157" s="198">
        <v>2638.9639999999999</v>
      </c>
      <c r="X157" s="198">
        <v>86.718000000000004</v>
      </c>
      <c r="Y157" s="198">
        <v>601.55700000000002</v>
      </c>
      <c r="Z157" s="198">
        <v>222.46199999999999</v>
      </c>
      <c r="AA157" s="198">
        <v>1096.3399999999999</v>
      </c>
      <c r="AB157" s="198"/>
      <c r="AC157" s="199">
        <f t="shared" si="3"/>
        <v>631.88700000000017</v>
      </c>
      <c r="AD157" s="198"/>
      <c r="AE157" s="198">
        <v>42.491</v>
      </c>
      <c r="AF157" s="198">
        <v>159.35900000000001</v>
      </c>
      <c r="AG157" s="198">
        <v>183.137</v>
      </c>
      <c r="AH157" s="198">
        <v>165.209</v>
      </c>
      <c r="AI157" s="198"/>
      <c r="AJ157" s="198"/>
      <c r="AK157" s="197"/>
      <c r="AL157" s="198"/>
      <c r="AM157" s="198"/>
      <c r="AN157" s="198"/>
      <c r="AO157" s="198"/>
      <c r="AP157" s="198"/>
      <c r="AQ157" s="199"/>
      <c r="AR157" s="198">
        <v>310257.03722681996</v>
      </c>
      <c r="AS157" s="198">
        <v>79341.988935049987</v>
      </c>
      <c r="AT157" s="198">
        <v>28565.962989669999</v>
      </c>
      <c r="AU157" s="198">
        <v>61052.804835999996</v>
      </c>
      <c r="AV157" s="198">
        <v>55229.848689040009</v>
      </c>
      <c r="AW157" s="198"/>
      <c r="AX157" s="198">
        <v>86066.431777059988</v>
      </c>
      <c r="AY157" s="197">
        <v>26788642</v>
      </c>
      <c r="AZ157" s="198"/>
      <c r="BA157" s="198">
        <v>20055354</v>
      </c>
      <c r="BB157" s="198">
        <v>4532317</v>
      </c>
      <c r="BC157" s="198">
        <v>2200971</v>
      </c>
      <c r="BD157" s="198"/>
      <c r="BE157" s="198"/>
      <c r="BF157" s="197">
        <v>47961134.389999993</v>
      </c>
      <c r="BG157" s="198"/>
      <c r="BH157" s="198">
        <v>27489774.049999997</v>
      </c>
      <c r="BI157" s="198">
        <v>13390401.32</v>
      </c>
      <c r="BJ157" s="198">
        <v>7080959.0200000005</v>
      </c>
      <c r="BK157" s="198">
        <v>0</v>
      </c>
      <c r="BL157" s="198"/>
      <c r="BM157" s="197">
        <v>1139799.723</v>
      </c>
      <c r="BN157" s="198">
        <v>125972.496</v>
      </c>
      <c r="BO157" s="198">
        <v>195669.86300000001</v>
      </c>
      <c r="BP157" s="198">
        <v>213217.46100000001</v>
      </c>
      <c r="BQ157" s="198">
        <v>283047.30499999999</v>
      </c>
      <c r="BR157" s="198"/>
      <c r="BS157" s="198">
        <f t="shared" si="2"/>
        <v>321892.598</v>
      </c>
      <c r="BT157" s="197"/>
      <c r="BU157" s="198"/>
      <c r="BV157" s="198"/>
      <c r="BW157" s="198"/>
      <c r="BX157" s="198"/>
      <c r="BY157" s="198"/>
      <c r="BZ157" s="198"/>
      <c r="CA157" s="197"/>
      <c r="CB157" s="198"/>
      <c r="CC157" s="198"/>
      <c r="CD157" s="198"/>
      <c r="CE157" s="198"/>
      <c r="CF157" s="198"/>
      <c r="CG157" s="198"/>
      <c r="CH157" s="197"/>
      <c r="CI157" s="198"/>
      <c r="CJ157" s="198"/>
      <c r="CK157" s="198"/>
      <c r="CL157" s="198"/>
      <c r="CM157" s="198"/>
      <c r="CN157" s="198"/>
      <c r="CO157" s="197"/>
      <c r="CP157" s="198"/>
      <c r="CQ157" s="198"/>
      <c r="CR157" s="198"/>
      <c r="CS157" s="198"/>
      <c r="CT157" s="198"/>
      <c r="CU157" s="198"/>
      <c r="CV157" s="197"/>
      <c r="CW157" s="198"/>
      <c r="CX157" s="198"/>
      <c r="CY157" s="198"/>
      <c r="CZ157" s="198"/>
      <c r="DA157" s="198"/>
      <c r="DB157" s="198"/>
      <c r="DC157" s="197"/>
      <c r="DD157" s="198"/>
      <c r="DE157" s="198"/>
      <c r="DF157" s="198"/>
      <c r="DG157" s="198"/>
      <c r="DH157" s="198"/>
      <c r="DI157" s="198"/>
      <c r="DJ157" s="197"/>
      <c r="DK157" s="198"/>
      <c r="DL157" s="198"/>
      <c r="DM157" s="198"/>
      <c r="DN157" s="198"/>
      <c r="DO157" s="198"/>
      <c r="DP157" s="198"/>
      <c r="DQ157" s="197"/>
      <c r="DR157" s="198"/>
      <c r="DS157" s="198"/>
      <c r="DT157" s="198"/>
      <c r="DU157" s="198"/>
      <c r="DV157" s="198"/>
      <c r="DW157" s="198"/>
      <c r="DX157" s="197">
        <v>37491.784546730014</v>
      </c>
      <c r="DY157" s="198"/>
      <c r="DZ157" s="198">
        <v>28748.372014570006</v>
      </c>
      <c r="EA157" s="198">
        <v>4231.8067125600001</v>
      </c>
      <c r="EB157" s="198">
        <v>2459.7868124199999</v>
      </c>
      <c r="EC157" s="198"/>
      <c r="ED157" s="198">
        <v>2051.81900718</v>
      </c>
      <c r="EE157" s="197"/>
      <c r="EF157" s="198"/>
      <c r="EG157" s="198"/>
      <c r="EH157" s="198"/>
      <c r="EI157" s="198"/>
      <c r="EJ157" s="198"/>
      <c r="EK157" s="198"/>
      <c r="EL157" s="197"/>
      <c r="EM157" s="198"/>
      <c r="EN157" s="198"/>
      <c r="EO157" s="198"/>
      <c r="EP157" s="198"/>
      <c r="EQ157" s="198"/>
      <c r="ER157" s="198"/>
      <c r="ES157" s="197"/>
      <c r="ET157" s="198"/>
      <c r="EU157" s="198"/>
      <c r="EV157" s="198"/>
      <c r="EW157" s="198"/>
      <c r="EX157" s="198"/>
      <c r="EY157" s="198"/>
      <c r="EZ157" s="197"/>
      <c r="FA157" s="198"/>
      <c r="FB157" s="198"/>
      <c r="FC157" s="198"/>
      <c r="FD157" s="198"/>
      <c r="FE157" s="198"/>
      <c r="FF157" s="198"/>
      <c r="FG157" s="197"/>
      <c r="FH157" s="198"/>
      <c r="FI157" s="198"/>
      <c r="FJ157" s="198"/>
      <c r="FK157" s="198"/>
      <c r="FL157" s="198"/>
      <c r="FM157" s="198"/>
      <c r="FN157" s="197">
        <v>39856.69</v>
      </c>
      <c r="FO157" s="198">
        <v>10265.228999999999</v>
      </c>
      <c r="FP157" s="198">
        <v>5085.5460000000003</v>
      </c>
      <c r="FQ157" s="198"/>
      <c r="FR157" s="198"/>
      <c r="FS157" s="198"/>
      <c r="FT157" s="199"/>
      <c r="FU157" s="197"/>
      <c r="FV157" s="198"/>
      <c r="FW157" s="198"/>
      <c r="FX157" s="198"/>
      <c r="FY157" s="198"/>
      <c r="FZ157" s="198"/>
      <c r="GA157" s="199"/>
      <c r="GB157" s="197"/>
      <c r="GC157" s="198"/>
      <c r="GD157" s="198"/>
      <c r="GE157" s="198"/>
      <c r="GF157" s="198"/>
      <c r="GG157" s="198"/>
      <c r="GH157" s="199"/>
      <c r="GI157" s="197"/>
      <c r="GJ157" s="198"/>
      <c r="GK157" s="198"/>
      <c r="GL157" s="198"/>
      <c r="GM157" s="198"/>
      <c r="GN157" s="198"/>
      <c r="GO157" s="199"/>
      <c r="GP157" s="197"/>
      <c r="GQ157" s="198"/>
      <c r="GR157" s="198"/>
      <c r="GS157" s="198"/>
      <c r="GT157" s="198"/>
      <c r="GU157" s="198"/>
      <c r="GV157" s="199"/>
      <c r="GW157" s="197"/>
      <c r="GX157" s="198"/>
      <c r="GY157" s="198"/>
      <c r="GZ157" s="198"/>
      <c r="HA157" s="198"/>
      <c r="HB157" s="198"/>
      <c r="HC157" s="199"/>
      <c r="HD157" s="197"/>
      <c r="HE157" s="198"/>
      <c r="HF157" s="198"/>
      <c r="HG157" s="198"/>
      <c r="HH157" s="198"/>
      <c r="HI157" s="198"/>
      <c r="HJ157" s="199"/>
      <c r="HK157" s="197"/>
      <c r="HL157" s="198"/>
      <c r="HM157" s="198"/>
      <c r="HN157" s="198"/>
      <c r="HO157" s="198"/>
      <c r="HP157" s="198"/>
      <c r="HQ157" s="198"/>
      <c r="HR157" s="197"/>
      <c r="HT157" s="198"/>
      <c r="HU157" s="198"/>
      <c r="HV157" s="198"/>
      <c r="HW157" s="198"/>
      <c r="HX157" s="198"/>
    </row>
    <row r="158" spans="1:233">
      <c r="A158" s="185" t="s">
        <v>497</v>
      </c>
      <c r="B158" s="197">
        <v>1633.09</v>
      </c>
      <c r="C158" s="198">
        <v>50.176000000000002</v>
      </c>
      <c r="D158" s="198">
        <f>223.32+138.94+20.409</f>
        <v>382.66899999999998</v>
      </c>
      <c r="E158" s="198">
        <f>362.451</f>
        <v>362.45100000000002</v>
      </c>
      <c r="F158" s="198">
        <f>708.333-E158</f>
        <v>345.88199999999995</v>
      </c>
      <c r="G158" s="198"/>
      <c r="H158" s="199">
        <f>B158-C158-D158-E158-F158</f>
        <v>491.91199999999992</v>
      </c>
      <c r="I158" s="197"/>
      <c r="J158" s="198"/>
      <c r="K158" s="198"/>
      <c r="L158" s="198"/>
      <c r="M158" s="198"/>
      <c r="N158" s="198"/>
      <c r="O158" s="199"/>
      <c r="P158" s="198"/>
      <c r="Q158" s="198"/>
      <c r="R158" s="198"/>
      <c r="S158" s="198"/>
      <c r="T158" s="198"/>
      <c r="U158" s="198"/>
      <c r="V158" s="199"/>
      <c r="W158" s="198">
        <v>2678.027</v>
      </c>
      <c r="X158" s="198">
        <v>89.501000000000005</v>
      </c>
      <c r="Y158" s="198">
        <v>612.02300000000002</v>
      </c>
      <c r="Z158" s="198">
        <v>222.06</v>
      </c>
      <c r="AA158" s="198">
        <v>1106.5219999999999</v>
      </c>
      <c r="AB158" s="198"/>
      <c r="AC158" s="199">
        <f t="shared" si="3"/>
        <v>647.92099999999982</v>
      </c>
      <c r="AD158" s="198">
        <f>[1]datos!$S290</f>
        <v>786.02599999999995</v>
      </c>
      <c r="AE158" s="198">
        <v>43.841000000000001</v>
      </c>
      <c r="AF158" s="198">
        <v>163.10999999999999</v>
      </c>
      <c r="AG158" s="198">
        <v>182.23400000000001</v>
      </c>
      <c r="AH158" s="198">
        <v>167.21100000000001</v>
      </c>
      <c r="AI158" s="198">
        <f>[1]datos!$U290</f>
        <v>92.322999999999993</v>
      </c>
      <c r="AJ158" s="198">
        <f>AD158-AE158-AF158-AG158-AH158-AI158</f>
        <v>137.3069999999999</v>
      </c>
      <c r="AK158" s="197">
        <v>23422.960000000003</v>
      </c>
      <c r="AL158" s="198"/>
      <c r="AM158" s="198"/>
      <c r="AN158" s="198"/>
      <c r="AO158" s="198"/>
      <c r="AP158" s="198"/>
      <c r="AQ158" s="199"/>
      <c r="AR158" s="198">
        <v>308673.13960937003</v>
      </c>
      <c r="AS158" s="198">
        <v>79311.934686109991</v>
      </c>
      <c r="AT158" s="198">
        <v>28517.173079259999</v>
      </c>
      <c r="AU158" s="198">
        <v>60508.790977190016</v>
      </c>
      <c r="AV158" s="198">
        <v>56631.61221489001</v>
      </c>
      <c r="AW158" s="198"/>
      <c r="AX158" s="198">
        <v>83703.628651920008</v>
      </c>
      <c r="AY158" s="197">
        <v>26857643</v>
      </c>
      <c r="AZ158" s="198"/>
      <c r="BA158" s="198">
        <v>20091739</v>
      </c>
      <c r="BB158" s="198">
        <v>4559930</v>
      </c>
      <c r="BC158" s="198">
        <v>2205974</v>
      </c>
      <c r="BD158" s="198"/>
      <c r="BE158" s="198"/>
      <c r="BF158" s="197">
        <v>48313035.709999993</v>
      </c>
      <c r="BG158" s="198"/>
      <c r="BH158" s="198">
        <v>27751285.369999997</v>
      </c>
      <c r="BI158" s="198">
        <v>13471403.33</v>
      </c>
      <c r="BJ158" s="198">
        <v>7090347.0099999998</v>
      </c>
      <c r="BK158" s="198">
        <v>0</v>
      </c>
      <c r="BL158" s="198"/>
      <c r="BM158" s="197">
        <v>1166148.899</v>
      </c>
      <c r="BN158" s="198">
        <v>132490.65700000001</v>
      </c>
      <c r="BO158" s="198">
        <v>202444.51800000001</v>
      </c>
      <c r="BP158" s="198">
        <v>217295.226</v>
      </c>
      <c r="BQ158" s="198">
        <v>286330.37300000002</v>
      </c>
      <c r="BR158" s="198"/>
      <c r="BS158" s="198">
        <f t="shared" si="2"/>
        <v>327588.12499999988</v>
      </c>
      <c r="BT158" s="197"/>
      <c r="BU158" s="198"/>
      <c r="BV158" s="198"/>
      <c r="BW158" s="198"/>
      <c r="BX158" s="198"/>
      <c r="BY158" s="198"/>
      <c r="BZ158" s="198"/>
      <c r="CA158" s="197">
        <v>542.67200000000003</v>
      </c>
      <c r="CB158" s="198">
        <v>34.090000000000003</v>
      </c>
      <c r="CC158" s="198">
        <f>76.22+25.036+2.604</f>
        <v>103.86</v>
      </c>
      <c r="CD158" s="198">
        <v>128.38300000000001</v>
      </c>
      <c r="CE158" s="198">
        <f>223.67-CD158</f>
        <v>95.286999999999978</v>
      </c>
      <c r="CF158" s="198"/>
      <c r="CG158" s="198">
        <f>CA158-CB158-CC158-CD158-CE158</f>
        <v>181.05199999999996</v>
      </c>
      <c r="CH158" s="197"/>
      <c r="CI158" s="198"/>
      <c r="CJ158" s="198"/>
      <c r="CK158" s="198"/>
      <c r="CL158" s="198"/>
      <c r="CM158" s="198"/>
      <c r="CN158" s="198"/>
      <c r="CO158" s="197"/>
      <c r="CP158" s="198"/>
      <c r="CQ158" s="198"/>
      <c r="CR158" s="198"/>
      <c r="CS158" s="198"/>
      <c r="CT158" s="198"/>
      <c r="CU158" s="198"/>
      <c r="CV158" s="197">
        <v>947.47900000000004</v>
      </c>
      <c r="CW158" s="198">
        <v>27.285</v>
      </c>
      <c r="CX158" s="198">
        <f>103.557+54.083+14.254</f>
        <v>171.89399999999998</v>
      </c>
      <c r="CY158" s="198">
        <v>319.51299999999998</v>
      </c>
      <c r="CZ158" s="198">
        <f>511.913-CY158</f>
        <v>192.40000000000003</v>
      </c>
      <c r="DA158" s="198"/>
      <c r="DB158" s="198">
        <f>CV158-CW158-CX158-CY158-CZ158</f>
        <v>236.38700000000006</v>
      </c>
      <c r="DC158" s="197"/>
      <c r="DD158" s="198"/>
      <c r="DE158" s="198"/>
      <c r="DF158" s="198"/>
      <c r="DG158" s="198"/>
      <c r="DH158" s="198"/>
      <c r="DI158" s="198"/>
      <c r="DJ158" s="197">
        <f>456.1+52732.7</f>
        <v>53188.799999999996</v>
      </c>
      <c r="DK158" s="198">
        <f>193.8+16637.5</f>
        <v>16831.3</v>
      </c>
      <c r="DL158" s="198">
        <f>0.9+1684.7+10272</f>
        <v>11957.6</v>
      </c>
      <c r="DM158" s="198">
        <v>4272.6000000000004</v>
      </c>
      <c r="DN158" s="198">
        <f>9108.3-DM158</f>
        <v>4835.6999999999989</v>
      </c>
      <c r="DO158" s="198"/>
      <c r="DP158" s="198">
        <f>DJ158-SUM(DK158:DN158)</f>
        <v>15291.599999999999</v>
      </c>
      <c r="DQ158" s="197"/>
      <c r="DR158" s="198"/>
      <c r="DS158" s="198"/>
      <c r="DT158" s="198"/>
      <c r="DU158" s="198"/>
      <c r="DV158" s="198"/>
      <c r="DW158" s="198"/>
      <c r="DX158" s="197">
        <v>37917.541745529998</v>
      </c>
      <c r="DY158" s="198"/>
      <c r="DZ158" s="198">
        <v>29600.437870409998</v>
      </c>
      <c r="EA158" s="198">
        <v>3777.4849021600003</v>
      </c>
      <c r="EB158" s="198">
        <v>2469.9983353900002</v>
      </c>
      <c r="EC158" s="198"/>
      <c r="ED158" s="198">
        <v>2069.6206375700003</v>
      </c>
      <c r="EE158" s="197"/>
      <c r="EF158" s="198"/>
      <c r="EG158" s="198"/>
      <c r="EH158" s="198"/>
      <c r="EI158" s="198"/>
      <c r="EJ158" s="198"/>
      <c r="EK158" s="198"/>
      <c r="EL158" s="197"/>
      <c r="EM158" s="198"/>
      <c r="EN158" s="198"/>
      <c r="EO158" s="198"/>
      <c r="EP158" s="198"/>
      <c r="EQ158" s="198"/>
      <c r="ER158" s="198"/>
      <c r="ES158" s="197"/>
      <c r="ET158" s="198"/>
      <c r="EU158" s="198"/>
      <c r="EV158" s="198"/>
      <c r="EW158" s="198"/>
      <c r="EX158" s="198"/>
      <c r="EY158" s="198"/>
      <c r="EZ158" s="197"/>
      <c r="FA158" s="198"/>
      <c r="FB158" s="198"/>
      <c r="FC158" s="198"/>
      <c r="FD158" s="198"/>
      <c r="FE158" s="198"/>
      <c r="FF158" s="198"/>
      <c r="FG158" s="197"/>
      <c r="FH158" s="198"/>
      <c r="FI158" s="198"/>
      <c r="FJ158" s="198"/>
      <c r="FK158" s="198"/>
      <c r="FL158" s="198"/>
      <c r="FM158" s="198"/>
      <c r="FN158" s="197">
        <v>40031.81</v>
      </c>
      <c r="FO158" s="198">
        <v>10310.826999999999</v>
      </c>
      <c r="FP158" s="198">
        <v>5099.442</v>
      </c>
      <c r="FQ158" s="198"/>
      <c r="FR158" s="198"/>
      <c r="FS158" s="198"/>
      <c r="FT158" s="199"/>
      <c r="FU158" s="197"/>
      <c r="FV158" s="198"/>
      <c r="FW158" s="198"/>
      <c r="FX158" s="198"/>
      <c r="FY158" s="198"/>
      <c r="FZ158" s="198"/>
      <c r="GA158" s="199"/>
      <c r="GB158" s="197">
        <v>1049.222</v>
      </c>
      <c r="GC158" s="198">
        <v>26.99</v>
      </c>
      <c r="GD158" s="198">
        <f>117.272+57.974+15.057</f>
        <v>190.303</v>
      </c>
      <c r="GE158" s="198">
        <v>209.39400000000001</v>
      </c>
      <c r="GF158" s="198">
        <f>386.719-GE158</f>
        <v>177.32499999999999</v>
      </c>
      <c r="GG158" s="198"/>
      <c r="GH158" s="199">
        <f>GB158-GC158-GD158-GE158-GF158</f>
        <v>445.21</v>
      </c>
      <c r="GI158" s="197">
        <v>669.54399999999998</v>
      </c>
      <c r="GJ158" s="198">
        <v>18.361999999999998</v>
      </c>
      <c r="GK158" s="198">
        <f>93.759+30.214+7.719</f>
        <v>131.69200000000001</v>
      </c>
      <c r="GL158" s="198">
        <v>199.994</v>
      </c>
      <c r="GM158" s="198">
        <f>350.246-GL158</f>
        <v>150.25199999999998</v>
      </c>
      <c r="GN158" s="198"/>
      <c r="GO158" s="199">
        <f>GI158-GJ158-GK158-GL158-GM158</f>
        <v>169.244</v>
      </c>
      <c r="GP158" s="197">
        <v>1631.1569999999999</v>
      </c>
      <c r="GQ158" s="198">
        <v>47.92</v>
      </c>
      <c r="GR158" s="198">
        <f>203.847+140.51+12.798</f>
        <v>357.15499999999997</v>
      </c>
      <c r="GS158" s="198">
        <v>370.02699999999999</v>
      </c>
      <c r="GT158" s="198">
        <f>780.954-GS158</f>
        <v>410.92699999999996</v>
      </c>
      <c r="GU158" s="198"/>
      <c r="GV158" s="199">
        <f>GP158-GQ158-GR158-GS158-GT158</f>
        <v>445.12799999999987</v>
      </c>
      <c r="GW158" s="197"/>
      <c r="GX158" s="198"/>
      <c r="GY158" s="198"/>
      <c r="GZ158" s="198"/>
      <c r="HA158" s="198"/>
      <c r="HB158" s="198"/>
      <c r="HC158" s="199"/>
      <c r="HD158" s="197">
        <f>'[2]t&amp;t'!W290</f>
        <v>13320.8</v>
      </c>
      <c r="HE158" s="198">
        <f>'[2]t&amp;t'!X290</f>
        <v>1651.8</v>
      </c>
      <c r="HF158" s="198">
        <f>'[2]t&amp;t'!Y290</f>
        <v>1120.8</v>
      </c>
      <c r="HG158" s="198">
        <f>'[2]t&amp;t'!Z290</f>
        <v>804.9</v>
      </c>
      <c r="HH158" s="198">
        <f>'[2]t&amp;t'!AA290</f>
        <v>5444.5999999999995</v>
      </c>
      <c r="HI158" s="198"/>
      <c r="HJ158" s="199">
        <f>'[2]t&amp;t'!AC290</f>
        <v>4298.7</v>
      </c>
      <c r="HK158" s="197"/>
      <c r="HL158" s="198"/>
      <c r="HM158" s="198"/>
      <c r="HN158" s="198"/>
      <c r="HO158" s="198"/>
      <c r="HP158" s="198"/>
      <c r="HQ158" s="198"/>
      <c r="HR158" s="197"/>
      <c r="HT158" s="198"/>
      <c r="HU158" s="198"/>
      <c r="HV158" s="198"/>
      <c r="HW158" s="198"/>
      <c r="HX158" s="198"/>
    </row>
    <row r="159" spans="1:233">
      <c r="A159" s="185" t="s">
        <v>498</v>
      </c>
      <c r="B159" s="197"/>
      <c r="C159" s="198"/>
      <c r="D159" s="198"/>
      <c r="E159" s="198"/>
      <c r="F159" s="198"/>
      <c r="G159" s="198"/>
      <c r="H159" s="199"/>
      <c r="I159" s="197"/>
      <c r="J159" s="198"/>
      <c r="K159" s="198"/>
      <c r="L159" s="198"/>
      <c r="M159" s="198"/>
      <c r="N159" s="198"/>
      <c r="O159" s="199"/>
      <c r="P159" s="198"/>
      <c r="Q159" s="198"/>
      <c r="R159" s="198"/>
      <c r="S159" s="198"/>
      <c r="T159" s="198"/>
      <c r="U159" s="198"/>
      <c r="V159" s="199"/>
      <c r="W159" s="198">
        <v>2669.35</v>
      </c>
      <c r="X159" s="198">
        <v>87.555000000000007</v>
      </c>
      <c r="Y159" s="198">
        <v>609.822</v>
      </c>
      <c r="Z159" s="198">
        <v>222.119</v>
      </c>
      <c r="AA159" s="198">
        <v>1100.008</v>
      </c>
      <c r="AB159" s="198"/>
      <c r="AC159" s="199">
        <f t="shared" si="3"/>
        <v>649.846</v>
      </c>
      <c r="AD159" s="198"/>
      <c r="AE159" s="198">
        <v>44.875</v>
      </c>
      <c r="AF159" s="198">
        <v>162.46899999999999</v>
      </c>
      <c r="AG159" s="198">
        <v>185.72</v>
      </c>
      <c r="AH159" s="198">
        <v>163.82499999999999</v>
      </c>
      <c r="AI159" s="198"/>
      <c r="AJ159" s="198"/>
      <c r="AK159" s="197"/>
      <c r="AL159" s="198"/>
      <c r="AM159" s="198"/>
      <c r="AN159" s="198"/>
      <c r="AO159" s="198"/>
      <c r="AP159" s="198"/>
      <c r="AQ159" s="199"/>
      <c r="AR159" s="198">
        <v>312894.59644134005</v>
      </c>
      <c r="AS159" s="198">
        <v>80753.473050100001</v>
      </c>
      <c r="AT159" s="198">
        <v>29450.947777040001</v>
      </c>
      <c r="AU159" s="198">
        <v>58823.758393199998</v>
      </c>
      <c r="AV159" s="198">
        <v>58657.360406630003</v>
      </c>
      <c r="AW159" s="198"/>
      <c r="AX159" s="198">
        <v>85209.056814370037</v>
      </c>
      <c r="AY159" s="197">
        <v>27311672</v>
      </c>
      <c r="AZ159" s="198"/>
      <c r="BA159" s="198">
        <v>20486121</v>
      </c>
      <c r="BB159" s="198">
        <v>4605948</v>
      </c>
      <c r="BC159" s="198">
        <v>2219603</v>
      </c>
      <c r="BD159" s="198"/>
      <c r="BE159" s="198"/>
      <c r="BF159" s="197">
        <v>47388694.469999999</v>
      </c>
      <c r="BG159" s="198"/>
      <c r="BH159" s="198">
        <v>27282257.830000006</v>
      </c>
      <c r="BI159" s="198">
        <v>13100596.380000001</v>
      </c>
      <c r="BJ159" s="198">
        <v>7005840.2599999979</v>
      </c>
      <c r="BK159" s="198">
        <v>0</v>
      </c>
      <c r="BL159" s="198"/>
      <c r="BM159" s="197">
        <v>1216383.7890000001</v>
      </c>
      <c r="BN159" s="198">
        <v>136814.92499999999</v>
      </c>
      <c r="BO159" s="198">
        <v>209191.073</v>
      </c>
      <c r="BP159" s="198">
        <v>223988.111</v>
      </c>
      <c r="BQ159" s="198">
        <v>290907.70600000001</v>
      </c>
      <c r="BR159" s="198"/>
      <c r="BS159" s="198">
        <f t="shared" si="2"/>
        <v>355481.97400000005</v>
      </c>
      <c r="BT159" s="197"/>
      <c r="BU159" s="198"/>
      <c r="BV159" s="198"/>
      <c r="BW159" s="198"/>
      <c r="BX159" s="198"/>
      <c r="BY159" s="198"/>
      <c r="BZ159" s="198"/>
      <c r="CA159" s="197"/>
      <c r="CB159" s="198"/>
      <c r="CC159" s="198"/>
      <c r="CD159" s="198"/>
      <c r="CE159" s="198"/>
      <c r="CF159" s="198"/>
      <c r="CG159" s="198"/>
      <c r="CH159" s="197"/>
      <c r="CI159" s="198"/>
      <c r="CJ159" s="198"/>
      <c r="CK159" s="198"/>
      <c r="CL159" s="198"/>
      <c r="CM159" s="198"/>
      <c r="CN159" s="198"/>
      <c r="CO159" s="197"/>
      <c r="CP159" s="198"/>
      <c r="CQ159" s="198"/>
      <c r="CR159" s="198"/>
      <c r="CS159" s="198"/>
      <c r="CT159" s="198"/>
      <c r="CU159" s="198"/>
      <c r="CV159" s="197"/>
      <c r="CW159" s="198"/>
      <c r="CX159" s="198"/>
      <c r="CY159" s="198"/>
      <c r="CZ159" s="198"/>
      <c r="DA159" s="198"/>
      <c r="DB159" s="198"/>
      <c r="DC159" s="197"/>
      <c r="DD159" s="198"/>
      <c r="DE159" s="198"/>
      <c r="DF159" s="198"/>
      <c r="DG159" s="198"/>
      <c r="DH159" s="198"/>
      <c r="DI159" s="198"/>
      <c r="DJ159" s="197"/>
      <c r="DK159" s="198"/>
      <c r="DL159" s="198"/>
      <c r="DM159" s="198"/>
      <c r="DN159" s="198"/>
      <c r="DO159" s="198"/>
      <c r="DP159" s="198"/>
      <c r="DQ159" s="197"/>
      <c r="DR159" s="198"/>
      <c r="DS159" s="198"/>
      <c r="DT159" s="198"/>
      <c r="DU159" s="198"/>
      <c r="DV159" s="198"/>
      <c r="DW159" s="198"/>
      <c r="DX159" s="197">
        <v>35744.635737000004</v>
      </c>
      <c r="DY159" s="198"/>
      <c r="DZ159" s="198">
        <v>27467.14499922</v>
      </c>
      <c r="EA159" s="198">
        <v>3739.0399101999997</v>
      </c>
      <c r="EB159" s="198">
        <v>2443.5633776000004</v>
      </c>
      <c r="EC159" s="198"/>
      <c r="ED159" s="198">
        <v>2094.8874499799999</v>
      </c>
      <c r="EE159" s="197"/>
      <c r="EF159" s="198"/>
      <c r="EG159" s="198"/>
      <c r="EH159" s="198"/>
      <c r="EI159" s="198"/>
      <c r="EJ159" s="198"/>
      <c r="EK159" s="198"/>
      <c r="EL159" s="197"/>
      <c r="EM159" s="198"/>
      <c r="EN159" s="198"/>
      <c r="EO159" s="198"/>
      <c r="EP159" s="198"/>
      <c r="EQ159" s="198"/>
      <c r="ER159" s="198"/>
      <c r="ES159" s="197"/>
      <c r="ET159" s="198"/>
      <c r="EU159" s="198"/>
      <c r="EV159" s="198"/>
      <c r="EW159" s="198"/>
      <c r="EX159" s="198"/>
      <c r="EY159" s="198"/>
      <c r="EZ159" s="197"/>
      <c r="FA159" s="198"/>
      <c r="FB159" s="198"/>
      <c r="FC159" s="198"/>
      <c r="FD159" s="198"/>
      <c r="FE159" s="198"/>
      <c r="FF159" s="198"/>
      <c r="FG159" s="197"/>
      <c r="FH159" s="198"/>
      <c r="FI159" s="198"/>
      <c r="FJ159" s="198"/>
      <c r="FK159" s="198"/>
      <c r="FL159" s="198"/>
      <c r="FM159" s="198"/>
      <c r="FN159" s="197">
        <v>39781.792999999998</v>
      </c>
      <c r="FO159" s="198">
        <v>10215.89</v>
      </c>
      <c r="FP159" s="198">
        <v>5072.4970000000003</v>
      </c>
      <c r="FQ159" s="198"/>
      <c r="FR159" s="198"/>
      <c r="FS159" s="198"/>
      <c r="FT159" s="199"/>
      <c r="FU159" s="197"/>
      <c r="FV159" s="198"/>
      <c r="FW159" s="198"/>
      <c r="FX159" s="198"/>
      <c r="FY159" s="198"/>
      <c r="FZ159" s="198"/>
      <c r="GA159" s="199"/>
      <c r="GB159" s="197"/>
      <c r="GC159" s="198"/>
      <c r="GD159" s="198"/>
      <c r="GE159" s="198"/>
      <c r="GF159" s="198"/>
      <c r="GG159" s="198"/>
      <c r="GH159" s="199"/>
      <c r="GI159" s="197"/>
      <c r="GJ159" s="198"/>
      <c r="GK159" s="198"/>
      <c r="GL159" s="198"/>
      <c r="GM159" s="198"/>
      <c r="GN159" s="198"/>
      <c r="GO159" s="199"/>
      <c r="GP159" s="197"/>
      <c r="GQ159" s="198"/>
      <c r="GR159" s="198"/>
      <c r="GS159" s="198"/>
      <c r="GT159" s="198"/>
      <c r="GU159" s="198"/>
      <c r="GV159" s="199"/>
      <c r="GW159" s="197"/>
      <c r="GX159" s="198"/>
      <c r="GY159" s="198"/>
      <c r="GZ159" s="198"/>
      <c r="HA159" s="198"/>
      <c r="HB159" s="198"/>
      <c r="HC159" s="199"/>
      <c r="HD159" s="197"/>
      <c r="HE159" s="198"/>
      <c r="HF159" s="198"/>
      <c r="HG159" s="198"/>
      <c r="HH159" s="198"/>
      <c r="HI159" s="198"/>
      <c r="HJ159" s="199"/>
      <c r="HK159" s="197"/>
      <c r="HL159" s="198"/>
      <c r="HM159" s="198"/>
      <c r="HN159" s="198"/>
      <c r="HO159" s="198"/>
      <c r="HP159" s="198"/>
      <c r="HQ159" s="198"/>
      <c r="HR159" s="197"/>
      <c r="HT159" s="198"/>
      <c r="HU159" s="198"/>
      <c r="HV159" s="198"/>
      <c r="HW159" s="198"/>
      <c r="HX159" s="198"/>
    </row>
    <row r="160" spans="1:233">
      <c r="A160" s="185" t="s">
        <v>499</v>
      </c>
      <c r="B160" s="197"/>
      <c r="C160" s="198"/>
      <c r="D160" s="198"/>
      <c r="E160" s="198"/>
      <c r="F160" s="198"/>
      <c r="G160" s="198"/>
      <c r="H160" s="199"/>
      <c r="I160" s="197"/>
      <c r="J160" s="198"/>
      <c r="K160" s="198"/>
      <c r="L160" s="198"/>
      <c r="M160" s="198"/>
      <c r="N160" s="198"/>
      <c r="O160" s="199"/>
      <c r="P160" s="198"/>
      <c r="Q160" s="198"/>
      <c r="R160" s="198"/>
      <c r="S160" s="198"/>
      <c r="T160" s="198"/>
      <c r="U160" s="198"/>
      <c r="V160" s="199"/>
      <c r="W160" s="198">
        <v>2698.3620000000001</v>
      </c>
      <c r="X160" s="198">
        <v>86.882999999999996</v>
      </c>
      <c r="Y160" s="198">
        <v>634.04599999999994</v>
      </c>
      <c r="Z160" s="198">
        <v>228.22</v>
      </c>
      <c r="AA160" s="198">
        <v>1106.221</v>
      </c>
      <c r="AB160" s="198"/>
      <c r="AC160" s="199">
        <f t="shared" si="3"/>
        <v>642.99200000000042</v>
      </c>
      <c r="AD160" s="198"/>
      <c r="AE160" s="198">
        <v>43.566000000000003</v>
      </c>
      <c r="AF160" s="198">
        <v>166.64500000000001</v>
      </c>
      <c r="AG160" s="198">
        <v>189.75700000000001</v>
      </c>
      <c r="AH160" s="198">
        <v>160.07</v>
      </c>
      <c r="AI160" s="198"/>
      <c r="AJ160" s="198"/>
      <c r="AK160" s="197"/>
      <c r="AL160" s="198"/>
      <c r="AM160" s="198"/>
      <c r="AN160" s="198"/>
      <c r="AO160" s="198"/>
      <c r="AP160" s="198"/>
      <c r="AQ160" s="199"/>
      <c r="AR160" s="198">
        <v>320781.84513042995</v>
      </c>
      <c r="AS160" s="198">
        <v>83295.982784449996</v>
      </c>
      <c r="AT160" s="198">
        <v>30913.463108070002</v>
      </c>
      <c r="AU160" s="198">
        <v>56696.619724430006</v>
      </c>
      <c r="AV160" s="198">
        <v>61044.828899330001</v>
      </c>
      <c r="AW160" s="198"/>
      <c r="AX160" s="198">
        <v>88830.950614149973</v>
      </c>
      <c r="AY160" s="197">
        <v>27639903</v>
      </c>
      <c r="AZ160" s="198"/>
      <c r="BA160" s="198">
        <v>20762776</v>
      </c>
      <c r="BB160" s="198">
        <v>4652514</v>
      </c>
      <c r="BC160" s="198">
        <v>2224613</v>
      </c>
      <c r="BD160" s="198"/>
      <c r="BE160" s="198"/>
      <c r="BF160" s="197">
        <v>47432438.159999989</v>
      </c>
      <c r="BG160" s="198"/>
      <c r="BH160" s="198">
        <v>27357341.029999994</v>
      </c>
      <c r="BI160" s="198">
        <v>13039657.460000001</v>
      </c>
      <c r="BJ160" s="198">
        <v>7035439.6699999999</v>
      </c>
      <c r="BK160" s="198">
        <v>0</v>
      </c>
      <c r="BL160" s="198"/>
      <c r="BM160" s="197">
        <v>1244735.4850000001</v>
      </c>
      <c r="BN160" s="198">
        <v>141656.29699999999</v>
      </c>
      <c r="BO160" s="198">
        <v>212511.742</v>
      </c>
      <c r="BP160" s="198">
        <v>228259.61499999999</v>
      </c>
      <c r="BQ160" s="198">
        <v>298800.84399999998</v>
      </c>
      <c r="BR160" s="198"/>
      <c r="BS160" s="198">
        <f t="shared" si="2"/>
        <v>363506.9870000002</v>
      </c>
      <c r="BT160" s="197"/>
      <c r="BU160" s="198"/>
      <c r="BV160" s="198"/>
      <c r="BW160" s="198"/>
      <c r="BX160" s="198"/>
      <c r="BY160" s="198"/>
      <c r="BZ160" s="198"/>
      <c r="CA160" s="197"/>
      <c r="CB160" s="198"/>
      <c r="CC160" s="198"/>
      <c r="CD160" s="198"/>
      <c r="CE160" s="198"/>
      <c r="CF160" s="198"/>
      <c r="CG160" s="198"/>
      <c r="CH160" s="197"/>
      <c r="CI160" s="198"/>
      <c r="CJ160" s="198"/>
      <c r="CK160" s="198"/>
      <c r="CL160" s="198"/>
      <c r="CM160" s="198"/>
      <c r="CN160" s="198"/>
      <c r="CO160" s="197"/>
      <c r="CP160" s="198"/>
      <c r="CQ160" s="198"/>
      <c r="CR160" s="198"/>
      <c r="CS160" s="198"/>
      <c r="CT160" s="198"/>
      <c r="CU160" s="198"/>
      <c r="CV160" s="197"/>
      <c r="CW160" s="198"/>
      <c r="CX160" s="198"/>
      <c r="CY160" s="198"/>
      <c r="CZ160" s="198"/>
      <c r="DA160" s="198"/>
      <c r="DB160" s="198"/>
      <c r="DC160" s="197"/>
      <c r="DD160" s="198"/>
      <c r="DE160" s="198"/>
      <c r="DF160" s="198"/>
      <c r="DG160" s="198"/>
      <c r="DH160" s="198"/>
      <c r="DI160" s="198"/>
      <c r="DJ160" s="197"/>
      <c r="DK160" s="198"/>
      <c r="DL160" s="198"/>
      <c r="DM160" s="198"/>
      <c r="DN160" s="198"/>
      <c r="DO160" s="198"/>
      <c r="DP160" s="198"/>
      <c r="DQ160" s="197"/>
      <c r="DR160" s="198"/>
      <c r="DS160" s="198"/>
      <c r="DT160" s="198"/>
      <c r="DU160" s="198"/>
      <c r="DV160" s="198"/>
      <c r="DW160" s="198"/>
      <c r="DX160" s="197">
        <v>39038.60682292001</v>
      </c>
      <c r="DY160" s="198"/>
      <c r="DZ160" s="198">
        <v>30466.886903050003</v>
      </c>
      <c r="EA160" s="198">
        <v>3971.1127506200005</v>
      </c>
      <c r="EB160" s="198">
        <v>2641.13860862</v>
      </c>
      <c r="EC160" s="198"/>
      <c r="ED160" s="198">
        <v>1959.4685606300002</v>
      </c>
      <c r="EE160" s="197"/>
      <c r="EF160" s="198"/>
      <c r="EG160" s="198"/>
      <c r="EH160" s="198"/>
      <c r="EI160" s="198"/>
      <c r="EJ160" s="198"/>
      <c r="EK160" s="198"/>
      <c r="EL160" s="197"/>
      <c r="EM160" s="198"/>
      <c r="EN160" s="198"/>
      <c r="EO160" s="198"/>
      <c r="EP160" s="198"/>
      <c r="EQ160" s="198"/>
      <c r="ER160" s="198"/>
      <c r="ES160" s="197"/>
      <c r="ET160" s="198"/>
      <c r="EU160" s="198"/>
      <c r="EV160" s="198"/>
      <c r="EW160" s="198"/>
      <c r="EX160" s="198"/>
      <c r="EY160" s="198"/>
      <c r="EZ160" s="197"/>
      <c r="FA160" s="198"/>
      <c r="FB160" s="198"/>
      <c r="FC160" s="198"/>
      <c r="FD160" s="198"/>
      <c r="FE160" s="198"/>
      <c r="FF160" s="198"/>
      <c r="FG160" s="197"/>
      <c r="FH160" s="198"/>
      <c r="FI160" s="198"/>
      <c r="FJ160" s="198"/>
      <c r="FK160" s="198"/>
      <c r="FL160" s="198"/>
      <c r="FM160" s="198"/>
      <c r="FN160" s="197">
        <v>40658.101000000002</v>
      </c>
      <c r="FO160" s="198">
        <v>10160.541999999999</v>
      </c>
      <c r="FP160" s="198">
        <v>5174.2849999999999</v>
      </c>
      <c r="FQ160" s="198"/>
      <c r="FR160" s="198"/>
      <c r="FS160" s="198"/>
      <c r="FT160" s="199"/>
      <c r="FU160" s="197"/>
      <c r="FV160" s="198"/>
      <c r="FW160" s="198"/>
      <c r="FX160" s="198"/>
      <c r="FY160" s="198"/>
      <c r="FZ160" s="198"/>
      <c r="GA160" s="199"/>
      <c r="GB160" s="197"/>
      <c r="GC160" s="198"/>
      <c r="GD160" s="198"/>
      <c r="GE160" s="198"/>
      <c r="GF160" s="198"/>
      <c r="GG160" s="198"/>
      <c r="GH160" s="199"/>
      <c r="GI160" s="197"/>
      <c r="GJ160" s="198"/>
      <c r="GK160" s="198"/>
      <c r="GL160" s="198"/>
      <c r="GM160" s="198"/>
      <c r="GN160" s="198"/>
      <c r="GO160" s="199"/>
      <c r="GP160" s="197"/>
      <c r="GQ160" s="198"/>
      <c r="GR160" s="198"/>
      <c r="GS160" s="198"/>
      <c r="GT160" s="198"/>
      <c r="GU160" s="198"/>
      <c r="GV160" s="199"/>
      <c r="GW160" s="197"/>
      <c r="GX160" s="198"/>
      <c r="GY160" s="198"/>
      <c r="GZ160" s="198"/>
      <c r="HA160" s="198"/>
      <c r="HB160" s="198"/>
      <c r="HC160" s="199"/>
      <c r="HD160" s="197"/>
      <c r="HE160" s="198"/>
      <c r="HF160" s="198"/>
      <c r="HG160" s="198"/>
      <c r="HH160" s="198"/>
      <c r="HI160" s="198"/>
      <c r="HJ160" s="199"/>
      <c r="HK160" s="197"/>
      <c r="HL160" s="198"/>
      <c r="HM160" s="198"/>
      <c r="HN160" s="198"/>
      <c r="HO160" s="198"/>
      <c r="HP160" s="198"/>
      <c r="HQ160" s="198"/>
      <c r="HR160" s="197"/>
      <c r="HT160" s="198"/>
      <c r="HU160" s="198"/>
      <c r="HV160" s="198"/>
      <c r="HW160" s="198"/>
      <c r="HX160" s="198"/>
    </row>
    <row r="161" spans="1:233">
      <c r="A161" s="202" t="s">
        <v>500</v>
      </c>
      <c r="B161" s="203">
        <v>1674.703</v>
      </c>
      <c r="C161" s="204">
        <v>49.655000000000001</v>
      </c>
      <c r="D161" s="204">
        <f>215.726+151.213+22.629</f>
        <v>389.56799999999998</v>
      </c>
      <c r="E161" s="204">
        <v>369.71600000000001</v>
      </c>
      <c r="F161" s="204">
        <f>725.854-E161</f>
        <v>356.13800000000003</v>
      </c>
      <c r="G161" s="204"/>
      <c r="H161" s="205">
        <f>B161-C161-D161-E161-F161</f>
        <v>509.62599999999998</v>
      </c>
      <c r="I161" s="203">
        <v>76152</v>
      </c>
      <c r="J161" s="204"/>
      <c r="K161" s="204"/>
      <c r="L161" s="204">
        <v>17027.8</v>
      </c>
      <c r="M161" s="204">
        <v>5515.6</v>
      </c>
      <c r="N161" s="204"/>
      <c r="O161" s="205">
        <f>[3]arg!$G27</f>
        <v>41953.499999999993</v>
      </c>
      <c r="P161" s="204">
        <v>3838.8409999999999</v>
      </c>
      <c r="Q161" s="204">
        <v>93.114999999999995</v>
      </c>
      <c r="R161" s="204">
        <v>450.77300000000002</v>
      </c>
      <c r="S161" s="204">
        <v>334.67599999999999</v>
      </c>
      <c r="T161" s="204">
        <v>2294.9169999999999</v>
      </c>
      <c r="U161" s="204"/>
      <c r="V161" s="205">
        <f>P161-Q161-R161-S161-T161</f>
        <v>665.36000000000013</v>
      </c>
      <c r="W161" s="204">
        <v>2712.6109999999999</v>
      </c>
      <c r="X161" s="204">
        <v>87.968000000000004</v>
      </c>
      <c r="Y161" s="204">
        <v>640.04099999999994</v>
      </c>
      <c r="Z161" s="204">
        <v>233.536</v>
      </c>
      <c r="AA161" s="204">
        <v>1086.652</v>
      </c>
      <c r="AB161" s="204"/>
      <c r="AC161" s="205">
        <f t="shared" si="3"/>
        <v>664.41399999999999</v>
      </c>
      <c r="AD161" s="204">
        <f>[1]datos!$S293</f>
        <v>894.779</v>
      </c>
      <c r="AE161" s="204">
        <v>44.487000000000002</v>
      </c>
      <c r="AF161" s="204">
        <v>161.98599999999999</v>
      </c>
      <c r="AG161" s="204">
        <v>188.53300000000002</v>
      </c>
      <c r="AH161" s="204">
        <v>167.50299999999999</v>
      </c>
      <c r="AI161" s="204">
        <f>[1]datos!$U293</f>
        <v>199.33799999999999</v>
      </c>
      <c r="AJ161" s="204">
        <f>AD161-AE161-AF161-AG161-AH161-AI161</f>
        <v>132.93200000000004</v>
      </c>
      <c r="AK161" s="203">
        <v>24854.752800000002</v>
      </c>
      <c r="AL161" s="204"/>
      <c r="AM161" s="204"/>
      <c r="AN161" s="204"/>
      <c r="AO161" s="204"/>
      <c r="AP161" s="204"/>
      <c r="AQ161" s="205"/>
      <c r="AR161" s="204">
        <v>326825.84956669004</v>
      </c>
      <c r="AS161" s="204">
        <v>85787.598588060006</v>
      </c>
      <c r="AT161" s="204">
        <v>31746.757137850003</v>
      </c>
      <c r="AU161" s="204">
        <v>55960.507139599998</v>
      </c>
      <c r="AV161" s="204">
        <v>62937.361000009994</v>
      </c>
      <c r="AW161" s="204"/>
      <c r="AX161" s="204">
        <v>90393.625701170036</v>
      </c>
      <c r="AY161" s="203">
        <v>28066536</v>
      </c>
      <c r="AZ161" s="204"/>
      <c r="BA161" s="204">
        <v>21153384</v>
      </c>
      <c r="BB161" s="204">
        <v>4684496</v>
      </c>
      <c r="BC161" s="204">
        <v>2228656</v>
      </c>
      <c r="BD161" s="204"/>
      <c r="BE161" s="204"/>
      <c r="BF161" s="203">
        <v>47803634.399999999</v>
      </c>
      <c r="BG161" s="204"/>
      <c r="BH161" s="204">
        <v>27837572.689999994</v>
      </c>
      <c r="BI161" s="204">
        <v>12956087.360000001</v>
      </c>
      <c r="BJ161" s="204">
        <v>7009974.3499999996</v>
      </c>
      <c r="BK161" s="204">
        <v>0</v>
      </c>
      <c r="BL161" s="204"/>
      <c r="BM161" s="203">
        <v>1274445.024</v>
      </c>
      <c r="BN161" s="204">
        <v>150176.68299999999</v>
      </c>
      <c r="BO161" s="204">
        <v>218101.57399999999</v>
      </c>
      <c r="BP161" s="204">
        <v>233455.29699999999</v>
      </c>
      <c r="BQ161" s="204">
        <v>309575.005</v>
      </c>
      <c r="BR161" s="204"/>
      <c r="BS161" s="204">
        <f t="shared" si="2"/>
        <v>363136.46499999997</v>
      </c>
      <c r="BT161" s="203"/>
      <c r="BU161" s="204"/>
      <c r="BV161" s="204"/>
      <c r="BW161" s="204"/>
      <c r="BX161" s="204"/>
      <c r="BY161" s="204"/>
      <c r="BZ161" s="204"/>
      <c r="CA161" s="203">
        <v>555.92999999999995</v>
      </c>
      <c r="CB161" s="204">
        <v>34.429000000000002</v>
      </c>
      <c r="CC161" s="204">
        <f>77.794+26.027+2.512</f>
        <v>106.333</v>
      </c>
      <c r="CD161" s="204">
        <v>128.376</v>
      </c>
      <c r="CE161" s="204">
        <f>224.961-CD161</f>
        <v>96.585000000000008</v>
      </c>
      <c r="CF161" s="204"/>
      <c r="CG161" s="204">
        <f>CA161-CB161-CC161-CD161-CE161</f>
        <v>190.20700000000002</v>
      </c>
      <c r="CH161" s="203"/>
      <c r="CI161" s="204"/>
      <c r="CJ161" s="204"/>
      <c r="CK161" s="204"/>
      <c r="CL161" s="204"/>
      <c r="CM161" s="204"/>
      <c r="CN161" s="204"/>
      <c r="CO161" s="203"/>
      <c r="CP161" s="204"/>
      <c r="CQ161" s="204"/>
      <c r="CR161" s="204"/>
      <c r="CS161" s="204"/>
      <c r="CT161" s="204"/>
      <c r="CU161" s="204"/>
      <c r="CV161" s="203">
        <v>978.29200000000003</v>
      </c>
      <c r="CW161" s="204">
        <v>24.041</v>
      </c>
      <c r="CX161" s="204">
        <f>104.935+58.525+14.788</f>
        <v>178.24800000000002</v>
      </c>
      <c r="CY161" s="204">
        <v>322.98500000000001</v>
      </c>
      <c r="CZ161" s="204">
        <f>517.787-CY161</f>
        <v>194.80200000000002</v>
      </c>
      <c r="DA161" s="204"/>
      <c r="DB161" s="204">
        <f>CV161-CW161-CX161-CY161-CZ161</f>
        <v>258.21599999999989</v>
      </c>
      <c r="DC161" s="203"/>
      <c r="DD161" s="204"/>
      <c r="DE161" s="204"/>
      <c r="DF161" s="204"/>
      <c r="DG161" s="204"/>
      <c r="DH161" s="204"/>
      <c r="DI161" s="204"/>
      <c r="DJ161" s="203">
        <f>458.8+53438</f>
        <v>53896.800000000003</v>
      </c>
      <c r="DK161" s="204">
        <f>182.7+16104</f>
        <v>16286.7</v>
      </c>
      <c r="DL161" s="204">
        <f>1681.1+10727.7</f>
        <v>12408.800000000001</v>
      </c>
      <c r="DM161" s="204">
        <f>4147.7</f>
        <v>4147.7</v>
      </c>
      <c r="DN161" s="204">
        <f>9156.6-DM161</f>
        <v>5008.9000000000005</v>
      </c>
      <c r="DO161" s="204"/>
      <c r="DP161" s="204">
        <f t="shared" ref="DP161:DP185" si="4">DJ161-SUM(DK161:DN161)</f>
        <v>16044.700000000004</v>
      </c>
      <c r="DQ161" s="203"/>
      <c r="DR161" s="204"/>
      <c r="DS161" s="204"/>
      <c r="DT161" s="204"/>
      <c r="DU161" s="204"/>
      <c r="DV161" s="204"/>
      <c r="DW161" s="204"/>
      <c r="DX161" s="203">
        <v>39553.980812930015</v>
      </c>
      <c r="DY161" s="204"/>
      <c r="DZ161" s="204">
        <v>30708.550616879998</v>
      </c>
      <c r="EA161" s="204">
        <v>4200.18854164</v>
      </c>
      <c r="EB161" s="204">
        <v>2679.8200062400001</v>
      </c>
      <c r="EC161" s="204"/>
      <c r="ED161" s="204">
        <v>1965.4216481699998</v>
      </c>
      <c r="EE161" s="203">
        <v>40573.754000000001</v>
      </c>
      <c r="EF161" s="204">
        <v>3046.79</v>
      </c>
      <c r="EG161" s="204">
        <v>8449.0280000000002</v>
      </c>
      <c r="EH161" s="204">
        <v>2026.1320000000001</v>
      </c>
      <c r="EI161" s="204">
        <v>10933.62</v>
      </c>
      <c r="EJ161" s="204"/>
      <c r="EK161" s="204">
        <f>EE161-EF161-EG161-EH161-EI161</f>
        <v>16118.183999999999</v>
      </c>
      <c r="EL161" s="203">
        <v>1035610.178114</v>
      </c>
      <c r="EM161" s="204">
        <v>345344.43773500004</v>
      </c>
      <c r="EN161" s="204">
        <v>13724.698704999997</v>
      </c>
      <c r="EO161" s="204">
        <v>144801.95601300002</v>
      </c>
      <c r="EP161" s="204">
        <v>40602.829606000007</v>
      </c>
      <c r="EQ161" s="204"/>
      <c r="ER161" s="204">
        <v>490652.29491100006</v>
      </c>
      <c r="ES161" s="203">
        <v>12889.094767549999</v>
      </c>
      <c r="ET161" s="204">
        <v>1548.5658840599999</v>
      </c>
      <c r="EU161" s="204">
        <v>2922.5642889199999</v>
      </c>
      <c r="EV161" s="204">
        <v>741.13748055999997</v>
      </c>
      <c r="EW161" s="204">
        <v>3741.6490176999996</v>
      </c>
      <c r="EX161" s="204"/>
      <c r="EY161" s="204">
        <f>ES161-ET161-EU161-EV161-EW161</f>
        <v>3935.17809631</v>
      </c>
      <c r="EZ161" s="203">
        <v>11552</v>
      </c>
      <c r="FA161" s="204">
        <v>509</v>
      </c>
      <c r="FB161" s="204">
        <v>3815</v>
      </c>
      <c r="FC161" s="204">
        <v>2756</v>
      </c>
      <c r="FD161" s="204">
        <v>2307</v>
      </c>
      <c r="FE161" s="204"/>
      <c r="FF161" s="204">
        <f>EZ161-FA161-FB161-FC161-FD161</f>
        <v>2165</v>
      </c>
      <c r="FG161" s="203"/>
      <c r="FH161" s="204"/>
      <c r="FI161" s="204"/>
      <c r="FJ161" s="204"/>
      <c r="FK161" s="204"/>
      <c r="FL161" s="204"/>
      <c r="FM161" s="204"/>
      <c r="FN161" s="203">
        <v>41330.697</v>
      </c>
      <c r="FO161" s="204">
        <v>10616.105</v>
      </c>
      <c r="FP161" s="204">
        <v>5168.5619999999999</v>
      </c>
      <c r="FQ161" s="204"/>
      <c r="FR161" s="204"/>
      <c r="FS161" s="204"/>
      <c r="FT161" s="205"/>
      <c r="FU161" s="203"/>
      <c r="FV161" s="204"/>
      <c r="FW161" s="204"/>
      <c r="FX161" s="204"/>
      <c r="FY161" s="204"/>
      <c r="FZ161" s="204"/>
      <c r="GA161" s="205"/>
      <c r="GB161" s="203">
        <v>1067.0160000000001</v>
      </c>
      <c r="GC161" s="204">
        <v>28.542999999999999</v>
      </c>
      <c r="GD161" s="204">
        <f>119.326+64.573+15.395</f>
        <v>199.29400000000001</v>
      </c>
      <c r="GE161" s="204">
        <v>215.785</v>
      </c>
      <c r="GF161" s="204">
        <f>395-GE161</f>
        <v>179.215</v>
      </c>
      <c r="GG161" s="204"/>
      <c r="GH161" s="205">
        <f>GB161-GC161-GD161-GE161-GF161</f>
        <v>444.1790000000002</v>
      </c>
      <c r="GI161" s="203">
        <v>682.81100000000004</v>
      </c>
      <c r="GJ161" s="204">
        <v>27.361000000000001</v>
      </c>
      <c r="GK161" s="204">
        <f>95.903+29.747+7.876</f>
        <v>133.52600000000001</v>
      </c>
      <c r="GL161" s="204">
        <v>208.34800000000001</v>
      </c>
      <c r="GM161" s="204">
        <f>351.815-GL161</f>
        <v>143.46699999999998</v>
      </c>
      <c r="GN161" s="204"/>
      <c r="GO161" s="205">
        <f>GI161-GJ161-GK161-GL161-GM161</f>
        <v>170.10899999999998</v>
      </c>
      <c r="GP161" s="203">
        <v>1649.5160000000001</v>
      </c>
      <c r="GQ161" s="204">
        <v>46.473999999999997</v>
      </c>
      <c r="GR161" s="204">
        <f>200.347+139.951+15.265</f>
        <v>355.56299999999999</v>
      </c>
      <c r="GS161" s="204">
        <v>378.29199999999997</v>
      </c>
      <c r="GT161" s="204">
        <f>801.18-GS161</f>
        <v>422.88799999999998</v>
      </c>
      <c r="GU161" s="204"/>
      <c r="GV161" s="205">
        <f>GP161-GQ161-GR161-GS161-GT161</f>
        <v>446.29900000000038</v>
      </c>
      <c r="GW161" s="203"/>
      <c r="GX161" s="204"/>
      <c r="GY161" s="204"/>
      <c r="GZ161" s="204"/>
      <c r="HA161" s="204"/>
      <c r="HB161" s="204"/>
      <c r="HC161" s="205"/>
      <c r="HD161" s="203">
        <f>'[2]t&amp;t'!W293</f>
        <v>13243.7</v>
      </c>
      <c r="HE161" s="204">
        <f>'[2]t&amp;t'!X293</f>
        <v>1629</v>
      </c>
      <c r="HF161" s="204">
        <f>'[2]t&amp;t'!Y293</f>
        <v>1124.7</v>
      </c>
      <c r="HG161" s="204">
        <f>'[2]t&amp;t'!Z293</f>
        <v>732.30000000000007</v>
      </c>
      <c r="HH161" s="204">
        <f>'[2]t&amp;t'!AA293</f>
        <v>5448.6</v>
      </c>
      <c r="HI161" s="204"/>
      <c r="HJ161" s="205">
        <f>'[2]t&amp;t'!AC293</f>
        <v>4309.1000000000004</v>
      </c>
      <c r="HK161" s="203"/>
      <c r="HL161" s="204"/>
      <c r="HM161" s="204"/>
      <c r="HN161" s="204"/>
      <c r="HO161" s="204"/>
      <c r="HP161" s="204"/>
      <c r="HQ161" s="204"/>
      <c r="HR161" s="197"/>
      <c r="HS161" s="206"/>
      <c r="HT161" s="204"/>
      <c r="HU161" s="204"/>
      <c r="HV161" s="204"/>
      <c r="HW161" s="204"/>
      <c r="HX161" s="204"/>
      <c r="HY161" s="198"/>
    </row>
    <row r="162" spans="1:233">
      <c r="A162" s="185" t="s">
        <v>668</v>
      </c>
      <c r="B162" s="197"/>
      <c r="C162" s="198"/>
      <c r="D162" s="198"/>
      <c r="E162" s="198"/>
      <c r="F162" s="198"/>
      <c r="G162" s="198"/>
      <c r="H162" s="199"/>
      <c r="I162" s="197"/>
      <c r="J162" s="198"/>
      <c r="K162" s="198"/>
      <c r="L162" s="198"/>
      <c r="M162" s="198"/>
      <c r="N162" s="198"/>
      <c r="O162" s="199"/>
      <c r="P162" s="198"/>
      <c r="Q162" s="198"/>
      <c r="R162" s="198"/>
      <c r="S162" s="198"/>
      <c r="T162" s="198"/>
      <c r="U162" s="198"/>
      <c r="V162" s="199"/>
      <c r="W162" s="198">
        <v>2728.8519999999999</v>
      </c>
      <c r="X162" s="198">
        <v>96.141999999999996</v>
      </c>
      <c r="Y162" s="198">
        <v>644.06000000000006</v>
      </c>
      <c r="Z162" s="198">
        <v>237.953</v>
      </c>
      <c r="AA162" s="198">
        <v>1072.6969999999999</v>
      </c>
      <c r="AB162" s="198"/>
      <c r="AC162" s="199">
        <f t="shared" si="3"/>
        <v>678.00000000000023</v>
      </c>
      <c r="AD162" s="198"/>
      <c r="AE162" s="198">
        <v>44.7</v>
      </c>
      <c r="AF162" s="198">
        <v>158.239</v>
      </c>
      <c r="AG162" s="198">
        <v>190.245</v>
      </c>
      <c r="AH162" s="198">
        <v>167.59</v>
      </c>
      <c r="AI162" s="198"/>
      <c r="AJ162" s="198"/>
      <c r="AK162" s="197"/>
      <c r="AL162" s="198"/>
      <c r="AM162" s="198"/>
      <c r="AN162" s="198"/>
      <c r="AO162" s="198"/>
      <c r="AP162" s="198"/>
      <c r="AQ162" s="199"/>
      <c r="AR162" s="198">
        <v>326686.06319925003</v>
      </c>
      <c r="AS162" s="198">
        <v>84152.86063344001</v>
      </c>
      <c r="AT162" s="198">
        <v>31686.663778389997</v>
      </c>
      <c r="AU162" s="198">
        <v>53929.464834289996</v>
      </c>
      <c r="AV162" s="198">
        <v>65703.789172230012</v>
      </c>
      <c r="AW162" s="198"/>
      <c r="AX162" s="198">
        <v>91213.28478089998</v>
      </c>
      <c r="AY162" s="197">
        <v>27855524</v>
      </c>
      <c r="AZ162" s="198"/>
      <c r="BA162" s="198">
        <v>20913688</v>
      </c>
      <c r="BB162" s="198">
        <v>4706911</v>
      </c>
      <c r="BC162" s="198">
        <v>2234925</v>
      </c>
      <c r="BD162" s="198"/>
      <c r="BE162" s="198"/>
      <c r="BF162" s="197">
        <v>47416052.75</v>
      </c>
      <c r="BG162" s="198"/>
      <c r="BH162" s="198">
        <v>27511259.100000001</v>
      </c>
      <c r="BI162" s="198">
        <v>12890155.249999998</v>
      </c>
      <c r="BJ162" s="198">
        <v>7014638.4000000004</v>
      </c>
      <c r="BK162" s="198">
        <v>0</v>
      </c>
      <c r="BL162" s="198"/>
      <c r="BM162" s="197">
        <v>1280685.835</v>
      </c>
      <c r="BN162" s="198">
        <v>146242.89799999999</v>
      </c>
      <c r="BO162" s="198">
        <v>210320.42300000001</v>
      </c>
      <c r="BP162" s="198">
        <v>236319.94099999999</v>
      </c>
      <c r="BQ162" s="198">
        <v>319393.55599999998</v>
      </c>
      <c r="BR162" s="198"/>
      <c r="BS162" s="198">
        <f t="shared" si="2"/>
        <v>368409.01699999999</v>
      </c>
      <c r="BT162" s="197"/>
      <c r="BU162" s="198"/>
      <c r="BV162" s="198"/>
      <c r="BW162" s="198"/>
      <c r="BX162" s="198"/>
      <c r="BY162" s="198"/>
      <c r="BZ162" s="198"/>
      <c r="CA162" s="197"/>
      <c r="CB162" s="198"/>
      <c r="CC162" s="198"/>
      <c r="CD162" s="198"/>
      <c r="CE162" s="198"/>
      <c r="CF162" s="198"/>
      <c r="CG162" s="198"/>
      <c r="CH162" s="197"/>
      <c r="CI162" s="198"/>
      <c r="CJ162" s="198"/>
      <c r="CK162" s="198"/>
      <c r="CL162" s="198"/>
      <c r="CM162" s="198"/>
      <c r="CN162" s="198"/>
      <c r="CO162" s="197"/>
      <c r="CP162" s="198"/>
      <c r="CQ162" s="198"/>
      <c r="CR162" s="198"/>
      <c r="CS162" s="198"/>
      <c r="CT162" s="198"/>
      <c r="CU162" s="198"/>
      <c r="CV162" s="197"/>
      <c r="CW162" s="198"/>
      <c r="CX162" s="198"/>
      <c r="CY162" s="198"/>
      <c r="CZ162" s="198"/>
      <c r="DA162" s="198"/>
      <c r="DB162" s="198"/>
      <c r="DC162" s="197"/>
      <c r="DD162" s="198"/>
      <c r="DE162" s="198"/>
      <c r="DF162" s="198"/>
      <c r="DG162" s="198"/>
      <c r="DH162" s="198"/>
      <c r="DI162" s="198"/>
      <c r="DJ162" s="197">
        <f>512+53486.7</f>
        <v>53998.7</v>
      </c>
      <c r="DK162" s="198">
        <f>181.1+16304.4</f>
        <v>16485.5</v>
      </c>
      <c r="DL162" s="198">
        <f>1636.5+10719</f>
        <v>12355.5</v>
      </c>
      <c r="DM162" s="198">
        <v>4269.6000000000004</v>
      </c>
      <c r="DN162" s="198">
        <f>8802.2-DM162</f>
        <v>4532.6000000000004</v>
      </c>
      <c r="DO162" s="198"/>
      <c r="DP162" s="198">
        <f t="shared" si="4"/>
        <v>16355.5</v>
      </c>
      <c r="DQ162" s="197"/>
      <c r="DR162" s="198"/>
      <c r="DS162" s="198"/>
      <c r="DT162" s="198"/>
      <c r="DU162" s="198"/>
      <c r="DV162" s="198"/>
      <c r="DW162" s="198"/>
      <c r="DX162" s="197">
        <v>39853.247614529988</v>
      </c>
      <c r="DY162" s="198"/>
      <c r="DZ162" s="198">
        <v>30851.037323249995</v>
      </c>
      <c r="EA162" s="198">
        <v>4236.8219954900005</v>
      </c>
      <c r="EB162" s="198">
        <v>2688.5440129699996</v>
      </c>
      <c r="EC162" s="198"/>
      <c r="ED162" s="198">
        <v>2076.84428282</v>
      </c>
      <c r="EE162" s="207"/>
      <c r="EL162" s="207">
        <v>1031061.427458</v>
      </c>
      <c r="EM162" s="179">
        <v>338608.72186599986</v>
      </c>
      <c r="EN162" s="179">
        <v>14213.364296999998</v>
      </c>
      <c r="EO162" s="179">
        <v>144611.34507200003</v>
      </c>
      <c r="EP162" s="179">
        <v>40758.338128999989</v>
      </c>
      <c r="ER162" s="179">
        <v>492447.48772199999</v>
      </c>
      <c r="ES162" s="207"/>
      <c r="EZ162" s="197"/>
      <c r="FA162" s="198"/>
      <c r="FB162" s="198"/>
      <c r="FC162" s="198"/>
      <c r="FD162" s="198"/>
      <c r="FE162" s="198"/>
      <c r="FF162" s="198"/>
      <c r="FG162" s="197"/>
      <c r="FH162" s="198"/>
      <c r="FI162" s="198"/>
      <c r="FJ162" s="198"/>
      <c r="FK162" s="198"/>
      <c r="FL162" s="198"/>
      <c r="FM162" s="198"/>
      <c r="FN162" s="197">
        <v>37183.07</v>
      </c>
      <c r="FO162" s="198">
        <v>7424.2860000000001</v>
      </c>
      <c r="FP162" s="198">
        <v>4085.3040000000001</v>
      </c>
      <c r="FQ162" s="198">
        <v>3267.393</v>
      </c>
      <c r="FR162" s="198">
        <v>4002.2710000000002</v>
      </c>
      <c r="FS162" s="198"/>
      <c r="FT162" s="199">
        <f t="shared" ref="FT162:FT173" si="5">FN162-SUM(FO162:FR162)</f>
        <v>18403.815999999999</v>
      </c>
      <c r="FU162" s="197"/>
      <c r="FV162" s="198"/>
      <c r="FW162" s="198"/>
      <c r="FX162" s="198"/>
      <c r="FY162" s="198"/>
      <c r="FZ162" s="198"/>
      <c r="GA162" s="199"/>
      <c r="GB162" s="197"/>
      <c r="GC162" s="198"/>
      <c r="GD162" s="198"/>
      <c r="GE162" s="198"/>
      <c r="GF162" s="198"/>
      <c r="GG162" s="198"/>
      <c r="GH162" s="199"/>
      <c r="GI162" s="197"/>
      <c r="GJ162" s="198"/>
      <c r="GK162" s="198"/>
      <c r="GL162" s="198"/>
      <c r="GM162" s="198"/>
      <c r="GN162" s="198"/>
      <c r="GO162" s="199"/>
      <c r="GP162" s="197"/>
      <c r="GQ162" s="198"/>
      <c r="GR162" s="198"/>
      <c r="GS162" s="198"/>
      <c r="GT162" s="198"/>
      <c r="GU162" s="198"/>
      <c r="GV162" s="199"/>
      <c r="GW162" s="197"/>
      <c r="GX162" s="198"/>
      <c r="GY162" s="198"/>
      <c r="GZ162" s="198"/>
      <c r="HA162" s="198"/>
      <c r="HB162" s="198"/>
      <c r="HC162" s="199"/>
      <c r="HD162" s="197"/>
      <c r="HE162" s="198"/>
      <c r="HF162" s="198"/>
      <c r="HG162" s="198"/>
      <c r="HH162" s="198"/>
      <c r="HI162" s="198"/>
      <c r="HJ162" s="199"/>
      <c r="HK162" s="197"/>
      <c r="HL162" s="198"/>
      <c r="HM162" s="198"/>
      <c r="HN162" s="198"/>
      <c r="HO162" s="198"/>
      <c r="HP162" s="198"/>
      <c r="HQ162" s="198"/>
      <c r="HR162" s="197"/>
      <c r="HT162" s="201"/>
      <c r="HU162" s="201"/>
      <c r="HV162" s="201"/>
      <c r="HW162" s="201"/>
      <c r="HX162" s="198"/>
    </row>
    <row r="163" spans="1:233">
      <c r="A163" s="185" t="s">
        <v>490</v>
      </c>
      <c r="B163" s="197"/>
      <c r="C163" s="198"/>
      <c r="D163" s="198"/>
      <c r="E163" s="198"/>
      <c r="F163" s="198"/>
      <c r="G163" s="198"/>
      <c r="H163" s="199"/>
      <c r="I163" s="197"/>
      <c r="J163" s="198"/>
      <c r="K163" s="198"/>
      <c r="L163" s="198"/>
      <c r="M163" s="198"/>
      <c r="N163" s="198"/>
      <c r="O163" s="199"/>
      <c r="P163" s="198"/>
      <c r="Q163" s="198"/>
      <c r="R163" s="198"/>
      <c r="S163" s="198"/>
      <c r="T163" s="198"/>
      <c r="U163" s="198"/>
      <c r="V163" s="199"/>
      <c r="W163" s="198">
        <v>2728.3879999999999</v>
      </c>
      <c r="X163" s="198">
        <v>93.751999999999995</v>
      </c>
      <c r="Y163" s="198">
        <v>594.40899999999999</v>
      </c>
      <c r="Z163" s="198">
        <v>243.90600000000001</v>
      </c>
      <c r="AA163" s="198">
        <v>1123.21</v>
      </c>
      <c r="AB163" s="198"/>
      <c r="AC163" s="199">
        <f t="shared" si="3"/>
        <v>673.11099999999988</v>
      </c>
      <c r="AD163" s="198"/>
      <c r="AE163" s="198">
        <v>48.290999999999997</v>
      </c>
      <c r="AF163" s="198">
        <v>161.20399999999998</v>
      </c>
      <c r="AG163" s="198">
        <v>190.34100000000001</v>
      </c>
      <c r="AH163" s="198">
        <v>167.99</v>
      </c>
      <c r="AI163" s="198"/>
      <c r="AJ163" s="198"/>
      <c r="AK163" s="197">
        <v>22394.842000000001</v>
      </c>
      <c r="AL163" s="198"/>
      <c r="AM163" s="198"/>
      <c r="AN163" s="198"/>
      <c r="AO163" s="198"/>
      <c r="AP163" s="198"/>
      <c r="AQ163" s="199"/>
      <c r="AR163" s="198">
        <v>335277.98810371</v>
      </c>
      <c r="AS163" s="198">
        <v>87885.583489309996</v>
      </c>
      <c r="AT163" s="198">
        <v>32770.202979640002</v>
      </c>
      <c r="AU163" s="198">
        <v>53552.543736969994</v>
      </c>
      <c r="AV163" s="198">
        <v>67378.323381890019</v>
      </c>
      <c r="AW163" s="198"/>
      <c r="AX163" s="198">
        <v>93691.334515900002</v>
      </c>
      <c r="AY163" s="197">
        <v>27996748</v>
      </c>
      <c r="AZ163" s="198"/>
      <c r="BA163" s="198">
        <v>21052272</v>
      </c>
      <c r="BB163" s="198">
        <v>4719994</v>
      </c>
      <c r="BC163" s="198">
        <v>2224482</v>
      </c>
      <c r="BD163" s="198"/>
      <c r="BE163" s="198"/>
      <c r="BF163" s="197">
        <v>47497449.100000001</v>
      </c>
      <c r="BG163" s="198"/>
      <c r="BH163" s="198">
        <v>27561769.599999998</v>
      </c>
      <c r="BI163" s="198">
        <v>12857288.049999997</v>
      </c>
      <c r="BJ163" s="198">
        <v>7078391.4500000002</v>
      </c>
      <c r="BK163" s="198">
        <v>0</v>
      </c>
      <c r="BL163" s="198"/>
      <c r="BM163" s="197"/>
      <c r="BN163" s="198"/>
      <c r="BO163" s="198"/>
      <c r="BP163" s="198"/>
      <c r="BQ163" s="198"/>
      <c r="BR163" s="198"/>
      <c r="BS163" s="198"/>
      <c r="BT163" s="197"/>
      <c r="BU163" s="198"/>
      <c r="BV163" s="198"/>
      <c r="BW163" s="198"/>
      <c r="BX163" s="198"/>
      <c r="BY163" s="198"/>
      <c r="BZ163" s="198"/>
      <c r="CA163" s="197"/>
      <c r="CB163" s="198"/>
      <c r="CC163" s="198"/>
      <c r="CD163" s="198"/>
      <c r="CE163" s="198"/>
      <c r="CF163" s="198"/>
      <c r="CG163" s="198"/>
      <c r="CH163" s="197"/>
      <c r="CI163" s="198"/>
      <c r="CJ163" s="198"/>
      <c r="CK163" s="198"/>
      <c r="CL163" s="198"/>
      <c r="CM163" s="198"/>
      <c r="CN163" s="198"/>
      <c r="CO163" s="197"/>
      <c r="CP163" s="198"/>
      <c r="CQ163" s="198"/>
      <c r="CR163" s="198"/>
      <c r="CS163" s="198"/>
      <c r="CT163" s="198"/>
      <c r="CU163" s="198"/>
      <c r="CV163" s="197"/>
      <c r="CW163" s="198"/>
      <c r="CX163" s="198"/>
      <c r="CY163" s="198"/>
      <c r="CZ163" s="198"/>
      <c r="DA163" s="198"/>
      <c r="DB163" s="198"/>
      <c r="DC163" s="197"/>
      <c r="DD163" s="198"/>
      <c r="DE163" s="198"/>
      <c r="DF163" s="198"/>
      <c r="DG163" s="198"/>
      <c r="DH163" s="198"/>
      <c r="DI163" s="198"/>
      <c r="DJ163" s="197">
        <f>727.9+53647.7</f>
        <v>54375.6</v>
      </c>
      <c r="DK163" s="198">
        <f>163.8+16769.8</f>
        <v>16933.599999999999</v>
      </c>
      <c r="DL163" s="198">
        <f>1610.9+10483.9</f>
        <v>12094.8</v>
      </c>
      <c r="DM163" s="198">
        <v>4207</v>
      </c>
      <c r="DN163" s="198">
        <f>8773.2-DM163</f>
        <v>4566.2000000000007</v>
      </c>
      <c r="DO163" s="198"/>
      <c r="DP163" s="198">
        <f t="shared" si="4"/>
        <v>16574.000000000007</v>
      </c>
      <c r="DQ163" s="197"/>
      <c r="DR163" s="198"/>
      <c r="DS163" s="198"/>
      <c r="DT163" s="198"/>
      <c r="DU163" s="198"/>
      <c r="DV163" s="198"/>
      <c r="DW163" s="198"/>
      <c r="DX163" s="197">
        <v>40117.279033780003</v>
      </c>
      <c r="DY163" s="198"/>
      <c r="DZ163" s="198">
        <v>30969.671652319998</v>
      </c>
      <c r="EA163" s="198">
        <v>4332.9285508500006</v>
      </c>
      <c r="EB163" s="198">
        <v>2720.5186492299999</v>
      </c>
      <c r="EC163" s="198"/>
      <c r="ED163" s="198">
        <v>2094.1601813799998</v>
      </c>
      <c r="EE163" s="197"/>
      <c r="EF163" s="198"/>
      <c r="EG163" s="198"/>
      <c r="EH163" s="198"/>
      <c r="EI163" s="198"/>
      <c r="EJ163" s="198"/>
      <c r="EK163" s="198"/>
      <c r="EL163" s="197">
        <v>1029532.3980050001</v>
      </c>
      <c r="EM163" s="198">
        <v>333330.10160599998</v>
      </c>
      <c r="EN163" s="198">
        <v>14779.698536</v>
      </c>
      <c r="EO163" s="198">
        <v>144583.081572</v>
      </c>
      <c r="EP163" s="198">
        <v>41737.671875</v>
      </c>
      <c r="EQ163" s="198"/>
      <c r="ER163" s="198">
        <v>494382.85566999996</v>
      </c>
      <c r="ES163" s="197"/>
      <c r="ET163" s="198"/>
      <c r="EU163" s="198"/>
      <c r="EV163" s="198"/>
      <c r="EW163" s="198"/>
      <c r="EX163" s="198"/>
      <c r="EY163" s="198"/>
      <c r="EZ163" s="197"/>
      <c r="FA163" s="198"/>
      <c r="FB163" s="198"/>
      <c r="FC163" s="198"/>
      <c r="FD163" s="198"/>
      <c r="FE163" s="198"/>
      <c r="FF163" s="198"/>
      <c r="FG163" s="197"/>
      <c r="FH163" s="198"/>
      <c r="FI163" s="198"/>
      <c r="FJ163" s="198"/>
      <c r="FK163" s="198"/>
      <c r="FL163" s="198"/>
      <c r="FM163" s="198"/>
      <c r="FN163" s="197">
        <v>37332.548000000003</v>
      </c>
      <c r="FO163" s="198">
        <v>7795.7730000000001</v>
      </c>
      <c r="FP163" s="198">
        <v>4126.6049999999996</v>
      </c>
      <c r="FQ163" s="198">
        <v>3248.94</v>
      </c>
      <c r="FR163" s="198">
        <v>3966.154</v>
      </c>
      <c r="FS163" s="198"/>
      <c r="FT163" s="199">
        <f t="shared" si="5"/>
        <v>18195.076000000001</v>
      </c>
      <c r="FU163" s="197"/>
      <c r="FV163" s="198"/>
      <c r="FW163" s="198"/>
      <c r="FX163" s="198"/>
      <c r="FY163" s="198"/>
      <c r="FZ163" s="198"/>
      <c r="GA163" s="199"/>
      <c r="GB163" s="197"/>
      <c r="GC163" s="198"/>
      <c r="GD163" s="198"/>
      <c r="GE163" s="198"/>
      <c r="GF163" s="198"/>
      <c r="GG163" s="198"/>
      <c r="GH163" s="199"/>
      <c r="GI163" s="197"/>
      <c r="GJ163" s="198"/>
      <c r="GK163" s="198"/>
      <c r="GL163" s="198"/>
      <c r="GM163" s="198"/>
      <c r="GN163" s="198"/>
      <c r="GO163" s="199"/>
      <c r="GP163" s="197"/>
      <c r="GQ163" s="198"/>
      <c r="GR163" s="198"/>
      <c r="GS163" s="198"/>
      <c r="GT163" s="198"/>
      <c r="GU163" s="198"/>
      <c r="GV163" s="199"/>
      <c r="GW163" s="197"/>
      <c r="GX163" s="198"/>
      <c r="GY163" s="198"/>
      <c r="GZ163" s="198"/>
      <c r="HA163" s="198"/>
      <c r="HB163" s="198"/>
      <c r="HC163" s="199"/>
      <c r="HD163" s="197"/>
      <c r="HE163" s="198"/>
      <c r="HF163" s="198"/>
      <c r="HG163" s="198"/>
      <c r="HH163" s="198"/>
      <c r="HI163" s="198"/>
      <c r="HJ163" s="199"/>
      <c r="HK163" s="197"/>
      <c r="HL163" s="198"/>
      <c r="HM163" s="198"/>
      <c r="HN163" s="198"/>
      <c r="HO163" s="198"/>
      <c r="HP163" s="198"/>
      <c r="HQ163" s="198"/>
      <c r="HR163" s="197"/>
      <c r="HT163" s="198"/>
      <c r="HU163" s="198"/>
      <c r="HV163" s="198"/>
      <c r="HW163" s="198"/>
      <c r="HX163" s="198"/>
    </row>
    <row r="164" spans="1:233">
      <c r="A164" s="185" t="s">
        <v>491</v>
      </c>
      <c r="B164" s="197">
        <v>1668.9639999999999</v>
      </c>
      <c r="C164" s="198">
        <v>48.420999999999999</v>
      </c>
      <c r="D164" s="198">
        <f>215.826+141.968+26.96</f>
        <v>384.75399999999996</v>
      </c>
      <c r="E164" s="198">
        <v>361.02499999999998</v>
      </c>
      <c r="F164" s="198">
        <f>715.857-E164</f>
        <v>354.83199999999999</v>
      </c>
      <c r="G164" s="198"/>
      <c r="H164" s="199">
        <f>B164-C164-D164-E164-F164</f>
        <v>519.93200000000002</v>
      </c>
      <c r="I164" s="197"/>
      <c r="J164" s="198"/>
      <c r="K164" s="198"/>
      <c r="L164" s="198"/>
      <c r="M164" s="198"/>
      <c r="N164" s="198"/>
      <c r="O164" s="199"/>
      <c r="P164" s="198">
        <v>3810.9769999999999</v>
      </c>
      <c r="Q164" s="198">
        <v>65.198000000000008</v>
      </c>
      <c r="R164" s="198">
        <v>479.70100000000002</v>
      </c>
      <c r="S164" s="198">
        <v>301.25200000000001</v>
      </c>
      <c r="T164" s="198">
        <v>2282.9340000000002</v>
      </c>
      <c r="U164" s="198"/>
      <c r="V164" s="199">
        <v>681.89200000000017</v>
      </c>
      <c r="W164" s="198">
        <v>2721.29</v>
      </c>
      <c r="X164" s="198">
        <v>96.051000000000002</v>
      </c>
      <c r="Y164" s="198">
        <v>590.69200000000001</v>
      </c>
      <c r="Z164" s="198">
        <v>243.589</v>
      </c>
      <c r="AA164" s="198">
        <v>1129.377</v>
      </c>
      <c r="AB164" s="198"/>
      <c r="AC164" s="199">
        <f t="shared" si="3"/>
        <v>661.58100000000013</v>
      </c>
      <c r="AD164" s="198">
        <f>[1]datos!$S296</f>
        <v>941.09800000000007</v>
      </c>
      <c r="AE164" s="198">
        <v>48.115000000000002</v>
      </c>
      <c r="AF164" s="198">
        <v>160.75399999999999</v>
      </c>
      <c r="AG164" s="198">
        <v>191.65699999999998</v>
      </c>
      <c r="AH164" s="198">
        <v>163.24</v>
      </c>
      <c r="AI164" s="198">
        <f>[1]datos!$U296</f>
        <v>243.619</v>
      </c>
      <c r="AJ164" s="198">
        <f>AD164-AE164-AF164-AG164-AH164-AI164</f>
        <v>133.71300000000011</v>
      </c>
      <c r="AK164" s="197">
        <v>22103.280000000002</v>
      </c>
      <c r="AL164" s="198"/>
      <c r="AM164" s="198"/>
      <c r="AN164" s="198"/>
      <c r="AO164" s="198"/>
      <c r="AP164" s="198"/>
      <c r="AQ164" s="199"/>
      <c r="AR164" s="198">
        <v>343912.74486777</v>
      </c>
      <c r="AS164" s="198">
        <v>90644.237480899988</v>
      </c>
      <c r="AT164" s="198">
        <v>33465.459132570002</v>
      </c>
      <c r="AU164" s="198">
        <v>53543.763728680009</v>
      </c>
      <c r="AV164" s="198">
        <v>70071.705597679989</v>
      </c>
      <c r="AW164" s="198"/>
      <c r="AX164" s="198">
        <v>96187.578927940034</v>
      </c>
      <c r="AY164" s="197">
        <v>28155733</v>
      </c>
      <c r="AZ164" s="198"/>
      <c r="BA164" s="198">
        <v>21161236</v>
      </c>
      <c r="BB164" s="198">
        <v>4727941</v>
      </c>
      <c r="BC164" s="198">
        <v>2266556</v>
      </c>
      <c r="BD164" s="198"/>
      <c r="BE164" s="198"/>
      <c r="BF164" s="197">
        <v>47690343.799999997</v>
      </c>
      <c r="BG164" s="198"/>
      <c r="BH164" s="198">
        <v>27711888.979999997</v>
      </c>
      <c r="BI164" s="198">
        <v>12923874.24</v>
      </c>
      <c r="BJ164" s="198">
        <v>7054580.5799999991</v>
      </c>
      <c r="BK164" s="198">
        <v>0</v>
      </c>
      <c r="BL164" s="198"/>
      <c r="BM164" s="197">
        <v>1312602.558</v>
      </c>
      <c r="BN164" s="198">
        <v>138891.80900000001</v>
      </c>
      <c r="BO164" s="198">
        <v>225764.42300000001</v>
      </c>
      <c r="BP164" s="198">
        <v>247375.63500000001</v>
      </c>
      <c r="BQ164" s="198">
        <v>312091.57900000003</v>
      </c>
      <c r="BR164" s="198"/>
      <c r="BS164" s="198">
        <f t="shared" si="2"/>
        <v>388479.11199999985</v>
      </c>
      <c r="BT164" s="197"/>
      <c r="BU164" s="198"/>
      <c r="BV164" s="198"/>
      <c r="BW164" s="198"/>
      <c r="BX164" s="198"/>
      <c r="BY164" s="198"/>
      <c r="BZ164" s="198"/>
      <c r="CA164" s="197">
        <v>548.86800000000005</v>
      </c>
      <c r="CB164" s="198">
        <v>32.319000000000003</v>
      </c>
      <c r="CC164" s="198">
        <f>77.696+25.683+2.734</f>
        <v>106.11299999999999</v>
      </c>
      <c r="CD164" s="198">
        <v>128.465</v>
      </c>
      <c r="CE164" s="198">
        <f>225.171-CD164</f>
        <v>96.705999999999989</v>
      </c>
      <c r="CF164" s="198"/>
      <c r="CG164" s="198">
        <f>CA164-CB164-CC164-CD164-CE164</f>
        <v>185.26500000000013</v>
      </c>
      <c r="CH164" s="197"/>
      <c r="CI164" s="198"/>
      <c r="CJ164" s="198"/>
      <c r="CK164" s="198"/>
      <c r="CL164" s="198"/>
      <c r="CM164" s="198"/>
      <c r="CN164" s="198"/>
      <c r="CO164" s="197"/>
      <c r="CP164" s="198"/>
      <c r="CQ164" s="198"/>
      <c r="CR164" s="198"/>
      <c r="CS164" s="198"/>
      <c r="CT164" s="198"/>
      <c r="CU164" s="198"/>
      <c r="CV164" s="197">
        <v>1004.583</v>
      </c>
      <c r="CW164" s="198">
        <v>31.481999999999999</v>
      </c>
      <c r="CX164" s="198">
        <f>104.582+54.097+16.107</f>
        <v>174.786</v>
      </c>
      <c r="CY164" s="198">
        <v>314.67899999999997</v>
      </c>
      <c r="CZ164" s="198">
        <f>544.342-CY164</f>
        <v>229.66300000000001</v>
      </c>
      <c r="DA164" s="198"/>
      <c r="DB164" s="198">
        <f>CV164-CW164-CX164-CY164-CZ164</f>
        <v>253.97300000000007</v>
      </c>
      <c r="DC164" s="197"/>
      <c r="DD164" s="198"/>
      <c r="DE164" s="198"/>
      <c r="DF164" s="198"/>
      <c r="DG164" s="198"/>
      <c r="DH164" s="198"/>
      <c r="DI164" s="198"/>
      <c r="DJ164" s="197">
        <f>636.8+52562.8</f>
        <v>53199.600000000006</v>
      </c>
      <c r="DK164" s="198">
        <f>164.5+15553.1</f>
        <v>15717.6</v>
      </c>
      <c r="DL164" s="198">
        <f>1614.4+10734.2</f>
        <v>12348.6</v>
      </c>
      <c r="DM164" s="198">
        <v>3905.7</v>
      </c>
      <c r="DN164" s="198">
        <f>8938.2-DM164</f>
        <v>5032.5000000000009</v>
      </c>
      <c r="DO164" s="198"/>
      <c r="DP164" s="198">
        <f t="shared" si="4"/>
        <v>16195.200000000004</v>
      </c>
      <c r="DQ164" s="197"/>
      <c r="DR164" s="198"/>
      <c r="DS164" s="198"/>
      <c r="DT164" s="198"/>
      <c r="DU164" s="198"/>
      <c r="DV164" s="198"/>
      <c r="DW164" s="198"/>
      <c r="DX164" s="197">
        <v>40931.612040610002</v>
      </c>
      <c r="DY164" s="198"/>
      <c r="DZ164" s="198">
        <v>31606.364435109994</v>
      </c>
      <c r="EA164" s="198">
        <v>4577.6300511700001</v>
      </c>
      <c r="EB164" s="198">
        <v>2680.7348443599994</v>
      </c>
      <c r="EC164" s="198"/>
      <c r="ED164" s="198">
        <v>2066.8827099700002</v>
      </c>
      <c r="EE164" s="197"/>
      <c r="EF164" s="198"/>
      <c r="EG164" s="198"/>
      <c r="EH164" s="198"/>
      <c r="EI164" s="198"/>
      <c r="EJ164" s="198"/>
      <c r="EK164" s="198"/>
      <c r="EL164" s="197">
        <v>1018068.2694489999</v>
      </c>
      <c r="EM164" s="198">
        <v>328102.01091399993</v>
      </c>
      <c r="EN164" s="198">
        <v>15003.624123</v>
      </c>
      <c r="EO164" s="198">
        <v>140467.08399099999</v>
      </c>
      <c r="EP164" s="198">
        <v>42820.078150000001</v>
      </c>
      <c r="EQ164" s="198"/>
      <c r="ER164" s="198">
        <v>491319.45081700006</v>
      </c>
      <c r="ES164" s="197"/>
      <c r="ET164" s="198"/>
      <c r="EU164" s="198"/>
      <c r="EV164" s="198"/>
      <c r="EW164" s="198"/>
      <c r="EX164" s="198"/>
      <c r="EY164" s="198"/>
      <c r="EZ164" s="197"/>
      <c r="FA164" s="198"/>
      <c r="FB164" s="198"/>
      <c r="FC164" s="198"/>
      <c r="FD164" s="198"/>
      <c r="FE164" s="198"/>
      <c r="FF164" s="198"/>
      <c r="FG164" s="197"/>
      <c r="FH164" s="198"/>
      <c r="FI164" s="198"/>
      <c r="FJ164" s="198"/>
      <c r="FK164" s="198"/>
      <c r="FL164" s="198"/>
      <c r="FM164" s="198"/>
      <c r="FN164" s="197">
        <v>37825.213000000003</v>
      </c>
      <c r="FO164" s="198">
        <v>8145.7719999999999</v>
      </c>
      <c r="FP164" s="198">
        <v>4263.9049999999997</v>
      </c>
      <c r="FQ164" s="198">
        <v>3254.2629999999999</v>
      </c>
      <c r="FR164" s="198">
        <v>3933.7710000000002</v>
      </c>
      <c r="FS164" s="198"/>
      <c r="FT164" s="199">
        <f t="shared" si="5"/>
        <v>18227.502000000004</v>
      </c>
      <c r="FU164" s="197"/>
      <c r="FV164" s="198"/>
      <c r="FW164" s="198"/>
      <c r="FX164" s="198"/>
      <c r="FY164" s="198"/>
      <c r="FZ164" s="198"/>
      <c r="GA164" s="199"/>
      <c r="GB164" s="197">
        <v>1072.232</v>
      </c>
      <c r="GC164" s="198">
        <v>26.568999999999999</v>
      </c>
      <c r="GD164" s="198">
        <f>118.68+64.11+15.921</f>
        <v>198.71100000000001</v>
      </c>
      <c r="GE164" s="198">
        <v>226.941</v>
      </c>
      <c r="GF164" s="198">
        <f>399.718-226.941</f>
        <v>172.77700000000002</v>
      </c>
      <c r="GG164" s="198"/>
      <c r="GH164" s="199">
        <f>GB164-GC164-GD164-GE164-GF164</f>
        <v>447.23399999999992</v>
      </c>
      <c r="GI164" s="197">
        <v>687.99599999999998</v>
      </c>
      <c r="GJ164" s="198">
        <v>23.004999999999999</v>
      </c>
      <c r="GK164" s="198">
        <f>97.235+28.9+7.739</f>
        <v>133.874</v>
      </c>
      <c r="GL164" s="198">
        <v>207.41399999999999</v>
      </c>
      <c r="GM164" s="198">
        <f>360.488-GL164</f>
        <v>153.07400000000001</v>
      </c>
      <c r="GN164" s="198"/>
      <c r="GO164" s="199">
        <f>GI164-GJ164-GK164-GL164-GM164</f>
        <v>170.62899999999996</v>
      </c>
      <c r="GP164" s="197">
        <v>1654.4760000000001</v>
      </c>
      <c r="GQ164" s="198">
        <v>48.637</v>
      </c>
      <c r="GR164" s="198">
        <f>198.127+133.166+14.14</f>
        <v>345.43299999999999</v>
      </c>
      <c r="GS164" s="198">
        <v>388.11399999999998</v>
      </c>
      <c r="GT164" s="198">
        <f>807.466-GS164</f>
        <v>419.35200000000003</v>
      </c>
      <c r="GU164" s="198"/>
      <c r="GV164" s="199">
        <f>GP164-GQ164-GR164-GS164-GT164</f>
        <v>452.94000000000011</v>
      </c>
      <c r="GW164" s="197"/>
      <c r="GX164" s="198"/>
      <c r="GY164" s="198"/>
      <c r="GZ164" s="198"/>
      <c r="HA164" s="198"/>
      <c r="HB164" s="198"/>
      <c r="HC164" s="199"/>
      <c r="HD164" s="197">
        <f>'[2]t&amp;t'!W296</f>
        <v>13373.4</v>
      </c>
      <c r="HE164" s="198">
        <f>'[2]t&amp;t'!X296</f>
        <v>1656.6</v>
      </c>
      <c r="HF164" s="198">
        <f>'[2]t&amp;t'!Y296</f>
        <v>1184.8</v>
      </c>
      <c r="HG164" s="198">
        <f>'[2]t&amp;t'!Z296</f>
        <v>711.30000000000007</v>
      </c>
      <c r="HH164" s="198">
        <f>'[2]t&amp;t'!AA296</f>
        <v>5341.8</v>
      </c>
      <c r="HI164" s="198"/>
      <c r="HJ164" s="199">
        <f>'[2]t&amp;t'!AC296</f>
        <v>4478.8999999999996</v>
      </c>
      <c r="HK164" s="197"/>
      <c r="HL164" s="198"/>
      <c r="HM164" s="198"/>
      <c r="HN164" s="198"/>
      <c r="HO164" s="198"/>
      <c r="HP164" s="198"/>
      <c r="HQ164" s="198"/>
      <c r="HR164" s="197"/>
      <c r="HT164" s="198"/>
      <c r="HU164" s="198"/>
      <c r="HV164" s="198"/>
      <c r="HW164" s="198"/>
      <c r="HX164" s="198"/>
    </row>
    <row r="165" spans="1:233">
      <c r="A165" s="185" t="s">
        <v>492</v>
      </c>
      <c r="B165" s="197"/>
      <c r="C165" s="198"/>
      <c r="D165" s="198"/>
      <c r="E165" s="198"/>
      <c r="F165" s="198"/>
      <c r="G165" s="198"/>
      <c r="H165" s="199"/>
      <c r="I165" s="197"/>
      <c r="J165" s="198"/>
      <c r="K165" s="198"/>
      <c r="L165" s="198"/>
      <c r="M165" s="198"/>
      <c r="N165" s="198"/>
      <c r="O165" s="199"/>
      <c r="P165" s="198"/>
      <c r="Q165" s="198"/>
      <c r="R165" s="198"/>
      <c r="S165" s="198"/>
      <c r="T165" s="198"/>
      <c r="U165" s="198"/>
      <c r="V165" s="199"/>
      <c r="W165" s="198">
        <v>2720.663</v>
      </c>
      <c r="X165" s="198">
        <v>90.965000000000003</v>
      </c>
      <c r="Y165" s="198">
        <v>604.1149999999999</v>
      </c>
      <c r="Z165" s="198">
        <v>241.79400000000001</v>
      </c>
      <c r="AA165" s="198">
        <v>1133.6199999999999</v>
      </c>
      <c r="AB165" s="198"/>
      <c r="AC165" s="199">
        <f t="shared" si="3"/>
        <v>650.1690000000001</v>
      </c>
      <c r="AD165" s="198"/>
      <c r="AE165" s="198">
        <v>46.332999999999998</v>
      </c>
      <c r="AF165" s="198">
        <v>159.548</v>
      </c>
      <c r="AG165" s="198">
        <v>199.989</v>
      </c>
      <c r="AH165" s="198">
        <v>166.149</v>
      </c>
      <c r="AI165" s="198"/>
      <c r="AJ165" s="198"/>
      <c r="AK165" s="197"/>
      <c r="AL165" s="198"/>
      <c r="AM165" s="198"/>
      <c r="AN165" s="198"/>
      <c r="AO165" s="198"/>
      <c r="AP165" s="198"/>
      <c r="AQ165" s="199"/>
      <c r="AR165" s="198">
        <v>349562.58446454001</v>
      </c>
      <c r="AS165" s="198">
        <v>91398.709854849993</v>
      </c>
      <c r="AT165" s="198">
        <v>34016.660577399998</v>
      </c>
      <c r="AU165" s="198">
        <v>53166.933685469987</v>
      </c>
      <c r="AV165" s="198">
        <v>72689.323246800006</v>
      </c>
      <c r="AW165" s="198"/>
      <c r="AX165" s="198">
        <v>98290.957100020009</v>
      </c>
      <c r="AY165" s="197">
        <v>28761760</v>
      </c>
      <c r="AZ165" s="198"/>
      <c r="BA165" s="198">
        <v>21722046</v>
      </c>
      <c r="BB165" s="198">
        <v>4753731</v>
      </c>
      <c r="BC165" s="198">
        <v>2285983</v>
      </c>
      <c r="BD165" s="198"/>
      <c r="BE165" s="198"/>
      <c r="BF165" s="197">
        <v>47432030.369999997</v>
      </c>
      <c r="BG165" s="198"/>
      <c r="BH165" s="198">
        <v>27496728.890000001</v>
      </c>
      <c r="BI165" s="198">
        <v>12847520.249999998</v>
      </c>
      <c r="BJ165" s="198">
        <v>7087781.2299999995</v>
      </c>
      <c r="BK165" s="198">
        <v>0</v>
      </c>
      <c r="BL165" s="198"/>
      <c r="BM165" s="197">
        <v>1305464.0959999999</v>
      </c>
      <c r="BN165" s="198">
        <v>134039.62400000001</v>
      </c>
      <c r="BO165" s="198">
        <v>223187.93900000001</v>
      </c>
      <c r="BP165" s="198">
        <v>251297.09899999999</v>
      </c>
      <c r="BQ165" s="198">
        <v>318549.52</v>
      </c>
      <c r="BR165" s="198"/>
      <c r="BS165" s="198">
        <f t="shared" si="2"/>
        <v>378389.91399999987</v>
      </c>
      <c r="BT165" s="197"/>
      <c r="BU165" s="198"/>
      <c r="BV165" s="198"/>
      <c r="BW165" s="198"/>
      <c r="BX165" s="198"/>
      <c r="BY165" s="198"/>
      <c r="BZ165" s="198"/>
      <c r="CA165" s="197"/>
      <c r="CB165" s="198"/>
      <c r="CC165" s="198"/>
      <c r="CD165" s="198"/>
      <c r="CE165" s="198"/>
      <c r="CF165" s="198"/>
      <c r="CG165" s="198"/>
      <c r="CH165" s="197"/>
      <c r="CI165" s="198"/>
      <c r="CJ165" s="198"/>
      <c r="CK165" s="198"/>
      <c r="CL165" s="198"/>
      <c r="CM165" s="198"/>
      <c r="CN165" s="198"/>
      <c r="CO165" s="197"/>
      <c r="CP165" s="198"/>
      <c r="CQ165" s="198"/>
      <c r="CR165" s="198"/>
      <c r="CS165" s="198"/>
      <c r="CT165" s="198"/>
      <c r="CU165" s="198"/>
      <c r="CV165" s="197"/>
      <c r="CW165" s="198"/>
      <c r="CX165" s="198"/>
      <c r="CY165" s="198"/>
      <c r="CZ165" s="198"/>
      <c r="DA165" s="198"/>
      <c r="DB165" s="198"/>
      <c r="DC165" s="197"/>
      <c r="DD165" s="198"/>
      <c r="DE165" s="198"/>
      <c r="DF165" s="198"/>
      <c r="DG165" s="198"/>
      <c r="DH165" s="198"/>
      <c r="DI165" s="198"/>
      <c r="DJ165" s="197">
        <f>704+52652.6</f>
        <v>53356.6</v>
      </c>
      <c r="DK165" s="198">
        <f>166+15781.8</f>
        <v>15947.8</v>
      </c>
      <c r="DL165" s="198">
        <f>1683.8+10650.2</f>
        <v>12334</v>
      </c>
      <c r="DM165" s="198">
        <v>4165.8999999999996</v>
      </c>
      <c r="DN165" s="198">
        <f>8865.5-DM165</f>
        <v>4699.6000000000004</v>
      </c>
      <c r="DO165" s="198"/>
      <c r="DP165" s="198">
        <f t="shared" si="4"/>
        <v>16209.300000000003</v>
      </c>
      <c r="DQ165" s="197"/>
      <c r="DR165" s="198"/>
      <c r="DS165" s="198"/>
      <c r="DT165" s="198"/>
      <c r="DU165" s="198"/>
      <c r="DV165" s="198"/>
      <c r="DW165" s="198"/>
      <c r="DX165" s="197">
        <v>41355.503919189992</v>
      </c>
      <c r="DY165" s="198"/>
      <c r="DZ165" s="198">
        <v>31676.67747079</v>
      </c>
      <c r="EA165" s="198">
        <v>4697.5076490899992</v>
      </c>
      <c r="EB165" s="198">
        <v>2812.2105902499993</v>
      </c>
      <c r="EC165" s="198"/>
      <c r="ED165" s="198">
        <v>2169.1082090599998</v>
      </c>
      <c r="EE165" s="197"/>
      <c r="EF165" s="198"/>
      <c r="EG165" s="198"/>
      <c r="EH165" s="198"/>
      <c r="EI165" s="198"/>
      <c r="EJ165" s="198"/>
      <c r="EK165" s="198"/>
      <c r="EL165" s="197">
        <v>1014349.9507279999</v>
      </c>
      <c r="EM165" s="198">
        <v>332424.67598300008</v>
      </c>
      <c r="EN165" s="198">
        <v>13540.522319999996</v>
      </c>
      <c r="EO165" s="198">
        <v>139832.534644</v>
      </c>
      <c r="EP165" s="198">
        <v>45007.005715999985</v>
      </c>
      <c r="EQ165" s="198"/>
      <c r="ER165" s="198">
        <v>483220.87273999996</v>
      </c>
      <c r="ES165" s="197"/>
      <c r="ET165" s="198"/>
      <c r="EU165" s="198"/>
      <c r="EV165" s="198"/>
      <c r="EW165" s="198"/>
      <c r="EX165" s="198"/>
      <c r="EY165" s="198"/>
      <c r="EZ165" s="197"/>
      <c r="FA165" s="198"/>
      <c r="FB165" s="198"/>
      <c r="FC165" s="198"/>
      <c r="FD165" s="198"/>
      <c r="FE165" s="198"/>
      <c r="FF165" s="198"/>
      <c r="FG165" s="197"/>
      <c r="FH165" s="198"/>
      <c r="FI165" s="198"/>
      <c r="FJ165" s="198"/>
      <c r="FK165" s="198"/>
      <c r="FL165" s="198"/>
      <c r="FM165" s="198"/>
      <c r="FN165" s="197">
        <v>38924.711000000003</v>
      </c>
      <c r="FO165" s="198">
        <v>8038.9679999999998</v>
      </c>
      <c r="FP165" s="198">
        <v>4619.17</v>
      </c>
      <c r="FQ165" s="198">
        <v>3336.6709999999998</v>
      </c>
      <c r="FR165" s="198">
        <v>3836.4</v>
      </c>
      <c r="FS165" s="198"/>
      <c r="FT165" s="199">
        <f t="shared" si="5"/>
        <v>19093.502000000004</v>
      </c>
      <c r="FU165" s="197"/>
      <c r="FV165" s="198"/>
      <c r="FW165" s="198"/>
      <c r="FX165" s="198"/>
      <c r="FY165" s="198"/>
      <c r="FZ165" s="198"/>
      <c r="GA165" s="199"/>
      <c r="GB165" s="197"/>
      <c r="GC165" s="198"/>
      <c r="GD165" s="198"/>
      <c r="GE165" s="198"/>
      <c r="GF165" s="198"/>
      <c r="GG165" s="198"/>
      <c r="GH165" s="199"/>
      <c r="GI165" s="197"/>
      <c r="GJ165" s="198"/>
      <c r="GK165" s="198"/>
      <c r="GL165" s="198"/>
      <c r="GM165" s="198"/>
      <c r="GN165" s="198"/>
      <c r="GO165" s="199"/>
      <c r="GP165" s="197"/>
      <c r="GQ165" s="198"/>
      <c r="GR165" s="198"/>
      <c r="GS165" s="198"/>
      <c r="GT165" s="198"/>
      <c r="GU165" s="198"/>
      <c r="GV165" s="199"/>
      <c r="GW165" s="197"/>
      <c r="GX165" s="198"/>
      <c r="GY165" s="198"/>
      <c r="GZ165" s="198"/>
      <c r="HA165" s="198"/>
      <c r="HB165" s="198"/>
      <c r="HC165" s="199"/>
      <c r="HD165" s="197"/>
      <c r="HE165" s="198"/>
      <c r="HF165" s="198"/>
      <c r="HG165" s="198"/>
      <c r="HH165" s="198"/>
      <c r="HI165" s="198"/>
      <c r="HJ165" s="199"/>
      <c r="HK165" s="197"/>
      <c r="HL165" s="198"/>
      <c r="HM165" s="198"/>
      <c r="HN165" s="198"/>
      <c r="HO165" s="198"/>
      <c r="HP165" s="198"/>
      <c r="HQ165" s="198"/>
      <c r="HR165" s="197"/>
      <c r="HT165" s="198"/>
      <c r="HU165" s="198"/>
      <c r="HV165" s="198"/>
      <c r="HW165" s="198"/>
      <c r="HX165" s="198"/>
    </row>
    <row r="166" spans="1:233">
      <c r="A166" s="185" t="s">
        <v>493</v>
      </c>
      <c r="B166" s="197"/>
      <c r="C166" s="198"/>
      <c r="D166" s="198"/>
      <c r="E166" s="198"/>
      <c r="F166" s="198"/>
      <c r="G166" s="198"/>
      <c r="H166" s="199"/>
      <c r="I166" s="197">
        <v>71861.5</v>
      </c>
      <c r="J166" s="198"/>
      <c r="K166" s="198"/>
      <c r="L166" s="198">
        <v>16970.5</v>
      </c>
      <c r="M166" s="198">
        <v>5439.7</v>
      </c>
      <c r="N166" s="198"/>
      <c r="O166" s="199">
        <f>[3]arg!$G32</f>
        <v>36946.1</v>
      </c>
      <c r="P166" s="198"/>
      <c r="Q166" s="198"/>
      <c r="R166" s="198"/>
      <c r="S166" s="198"/>
      <c r="T166" s="198"/>
      <c r="U166" s="198"/>
      <c r="V166" s="199"/>
      <c r="W166" s="198">
        <v>2727.259</v>
      </c>
      <c r="X166" s="198">
        <v>89.003</v>
      </c>
      <c r="Y166" s="198">
        <v>605.35399999999993</v>
      </c>
      <c r="Z166" s="198">
        <v>239.26</v>
      </c>
      <c r="AA166" s="198">
        <v>1137.806</v>
      </c>
      <c r="AB166" s="198"/>
      <c r="AC166" s="199">
        <f t="shared" si="3"/>
        <v>655.83600000000001</v>
      </c>
      <c r="AD166" s="198"/>
      <c r="AE166" s="198">
        <v>43.801000000000002</v>
      </c>
      <c r="AF166" s="198">
        <v>156.02099999999999</v>
      </c>
      <c r="AG166" s="198">
        <v>202.333</v>
      </c>
      <c r="AH166" s="198">
        <v>171.495</v>
      </c>
      <c r="AI166" s="198"/>
      <c r="AJ166" s="198"/>
      <c r="AK166" s="197"/>
      <c r="AL166" s="198"/>
      <c r="AM166" s="198"/>
      <c r="AN166" s="198"/>
      <c r="AO166" s="198"/>
      <c r="AP166" s="198"/>
      <c r="AQ166" s="199"/>
      <c r="AR166" s="198">
        <v>355930.75269310997</v>
      </c>
      <c r="AS166" s="198">
        <v>94311.775923430003</v>
      </c>
      <c r="AT166" s="198">
        <v>34465.402096509999</v>
      </c>
      <c r="AU166" s="198">
        <v>52949.957475710005</v>
      </c>
      <c r="AV166" s="198">
        <v>74442.771818360008</v>
      </c>
      <c r="AW166" s="198"/>
      <c r="AX166" s="198">
        <v>99760.845379099963</v>
      </c>
      <c r="AY166" s="197">
        <v>29113671</v>
      </c>
      <c r="AZ166" s="198"/>
      <c r="BA166" s="198">
        <v>22057540.444200002</v>
      </c>
      <c r="BB166" s="198">
        <v>4775862.5558000002</v>
      </c>
      <c r="BC166" s="198">
        <v>2280268</v>
      </c>
      <c r="BD166" s="198"/>
      <c r="BE166" s="198"/>
      <c r="BF166" s="197">
        <v>47707395.25</v>
      </c>
      <c r="BG166" s="198"/>
      <c r="BH166" s="198">
        <v>27523877.330000006</v>
      </c>
      <c r="BI166" s="198">
        <v>12968268.85</v>
      </c>
      <c r="BJ166" s="198">
        <v>7215249.0699999994</v>
      </c>
      <c r="BK166" s="198">
        <v>0</v>
      </c>
      <c r="BL166" s="198"/>
      <c r="BM166" s="197">
        <v>1343596.6629999999</v>
      </c>
      <c r="BN166" s="198">
        <v>136468.25</v>
      </c>
      <c r="BO166" s="198">
        <v>221815.08199999999</v>
      </c>
      <c r="BP166" s="198">
        <v>279920.50300000003</v>
      </c>
      <c r="BQ166" s="198">
        <v>321922.446</v>
      </c>
      <c r="BR166" s="198"/>
      <c r="BS166" s="198">
        <f t="shared" si="2"/>
        <v>383470.38199999998</v>
      </c>
      <c r="BT166" s="197"/>
      <c r="BU166" s="198"/>
      <c r="BV166" s="198"/>
      <c r="BW166" s="198"/>
      <c r="BX166" s="198"/>
      <c r="BY166" s="198"/>
      <c r="BZ166" s="198"/>
      <c r="CA166" s="197"/>
      <c r="CB166" s="198"/>
      <c r="CC166" s="198"/>
      <c r="CD166" s="198"/>
      <c r="CE166" s="198"/>
      <c r="CF166" s="198"/>
      <c r="CG166" s="198"/>
      <c r="CH166" s="197"/>
      <c r="CI166" s="198"/>
      <c r="CJ166" s="198"/>
      <c r="CK166" s="198"/>
      <c r="CL166" s="198"/>
      <c r="CM166" s="198"/>
      <c r="CN166" s="198"/>
      <c r="CO166" s="197"/>
      <c r="CP166" s="198"/>
      <c r="CQ166" s="198"/>
      <c r="CR166" s="198"/>
      <c r="CS166" s="198"/>
      <c r="CT166" s="198"/>
      <c r="CU166" s="198"/>
      <c r="CV166" s="197"/>
      <c r="CW166" s="198"/>
      <c r="CX166" s="198"/>
      <c r="CY166" s="198"/>
      <c r="CZ166" s="198"/>
      <c r="DA166" s="198"/>
      <c r="DB166" s="198"/>
      <c r="DC166" s="197"/>
      <c r="DD166" s="198"/>
      <c r="DE166" s="198"/>
      <c r="DF166" s="198"/>
      <c r="DG166" s="198"/>
      <c r="DH166" s="198"/>
      <c r="DI166" s="198"/>
      <c r="DJ166" s="197">
        <f>552.5+52252.4</f>
        <v>52804.9</v>
      </c>
      <c r="DK166" s="198">
        <f>167+15797.7</f>
        <v>15964.7</v>
      </c>
      <c r="DL166" s="198">
        <f>1748.1+10255.1</f>
        <v>12003.2</v>
      </c>
      <c r="DM166" s="198">
        <v>4243</v>
      </c>
      <c r="DN166" s="198">
        <f>9097.3-DM166</f>
        <v>4854.2999999999993</v>
      </c>
      <c r="DO166" s="198"/>
      <c r="DP166" s="198">
        <f t="shared" si="4"/>
        <v>15739.700000000004</v>
      </c>
      <c r="DQ166" s="197"/>
      <c r="DR166" s="198"/>
      <c r="DS166" s="198"/>
      <c r="DT166" s="198"/>
      <c r="DU166" s="198"/>
      <c r="DV166" s="198"/>
      <c r="DW166" s="198"/>
      <c r="DX166" s="197">
        <v>41569.602685080004</v>
      </c>
      <c r="DY166" s="198"/>
      <c r="DZ166" s="198">
        <v>31983.540038359999</v>
      </c>
      <c r="EA166" s="198">
        <v>4821.5170486300003</v>
      </c>
      <c r="EB166" s="198">
        <v>2773.2626956600002</v>
      </c>
      <c r="EC166" s="198"/>
      <c r="ED166" s="198">
        <v>1991.2829024299995</v>
      </c>
      <c r="EE166" s="197"/>
      <c r="EF166" s="198"/>
      <c r="EG166" s="198"/>
      <c r="EH166" s="198"/>
      <c r="EI166" s="198"/>
      <c r="EJ166" s="198"/>
      <c r="EK166" s="199"/>
      <c r="EL166" s="197">
        <v>1011072.2071550001</v>
      </c>
      <c r="EM166" s="198">
        <v>329646.32738199999</v>
      </c>
      <c r="EN166" s="198">
        <v>15632.436877000002</v>
      </c>
      <c r="EO166" s="198">
        <v>138814.678724</v>
      </c>
      <c r="EP166" s="198">
        <v>45277.646121999991</v>
      </c>
      <c r="EQ166" s="198"/>
      <c r="ER166" s="199">
        <v>481462.04382399982</v>
      </c>
      <c r="ES166" s="197"/>
      <c r="ET166" s="198"/>
      <c r="EU166" s="198"/>
      <c r="EV166" s="198"/>
      <c r="EW166" s="198"/>
      <c r="EX166" s="198"/>
      <c r="EY166" s="199"/>
      <c r="EZ166" s="198"/>
      <c r="FA166" s="198"/>
      <c r="FB166" s="198"/>
      <c r="FC166" s="198"/>
      <c r="FD166" s="198"/>
      <c r="FE166" s="198"/>
      <c r="FF166" s="198"/>
      <c r="FG166" s="197"/>
      <c r="FH166" s="198"/>
      <c r="FI166" s="198"/>
      <c r="FJ166" s="198"/>
      <c r="FK166" s="198"/>
      <c r="FL166" s="198"/>
      <c r="FM166" s="198"/>
      <c r="FN166" s="197">
        <v>39403.341999999997</v>
      </c>
      <c r="FO166" s="198">
        <v>8268.0450000000001</v>
      </c>
      <c r="FP166" s="198">
        <v>4590.2619999999997</v>
      </c>
      <c r="FQ166" s="198">
        <v>3369.239</v>
      </c>
      <c r="FR166" s="198">
        <v>3766.3980000000001</v>
      </c>
      <c r="FS166" s="198"/>
      <c r="FT166" s="199">
        <f t="shared" si="5"/>
        <v>19409.397999999997</v>
      </c>
      <c r="FU166" s="197"/>
      <c r="FV166" s="198"/>
      <c r="FW166" s="198"/>
      <c r="FX166" s="198"/>
      <c r="FY166" s="198"/>
      <c r="FZ166" s="198"/>
      <c r="GA166" s="199"/>
      <c r="GB166" s="197"/>
      <c r="GC166" s="198"/>
      <c r="GD166" s="198"/>
      <c r="GE166" s="198"/>
      <c r="GF166" s="198"/>
      <c r="GG166" s="198"/>
      <c r="GH166" s="199"/>
      <c r="GI166" s="197"/>
      <c r="GJ166" s="198"/>
      <c r="GK166" s="198"/>
      <c r="GL166" s="198"/>
      <c r="GM166" s="198"/>
      <c r="GN166" s="198"/>
      <c r="GO166" s="199"/>
      <c r="GP166" s="197"/>
      <c r="GQ166" s="198"/>
      <c r="GR166" s="198"/>
      <c r="GS166" s="198"/>
      <c r="GT166" s="198"/>
      <c r="GU166" s="198"/>
      <c r="GV166" s="199"/>
      <c r="GW166" s="197"/>
      <c r="GX166" s="198"/>
      <c r="GY166" s="198"/>
      <c r="GZ166" s="198"/>
      <c r="HA166" s="198"/>
      <c r="HB166" s="198"/>
      <c r="HC166" s="199"/>
      <c r="HD166" s="197"/>
      <c r="HE166" s="198"/>
      <c r="HF166" s="198"/>
      <c r="HG166" s="198"/>
      <c r="HH166" s="198"/>
      <c r="HI166" s="198"/>
      <c r="HJ166" s="199"/>
      <c r="HK166" s="197"/>
      <c r="HL166" s="198"/>
      <c r="HM166" s="198"/>
      <c r="HN166" s="198"/>
      <c r="HO166" s="198"/>
      <c r="HP166" s="198"/>
      <c r="HQ166" s="198"/>
      <c r="HR166" s="197"/>
      <c r="HT166" s="198"/>
      <c r="HU166" s="198"/>
      <c r="HV166" s="198"/>
      <c r="HW166" s="198"/>
      <c r="HX166" s="198"/>
    </row>
    <row r="167" spans="1:233">
      <c r="A167" s="185" t="s">
        <v>494</v>
      </c>
      <c r="B167" s="197">
        <v>1664.335</v>
      </c>
      <c r="C167" s="198">
        <v>47.893000000000001</v>
      </c>
      <c r="D167" s="198">
        <v>369.52699999999999</v>
      </c>
      <c r="E167" s="198">
        <v>369.74299999999999</v>
      </c>
      <c r="F167" s="198">
        <v>358.76265800204482</v>
      </c>
      <c r="G167" s="198"/>
      <c r="H167" s="199">
        <v>518.40934199795515</v>
      </c>
      <c r="I167" s="197">
        <v>72072.2</v>
      </c>
      <c r="J167" s="198"/>
      <c r="K167" s="198"/>
      <c r="L167" s="198">
        <v>17010.599999999999</v>
      </c>
      <c r="M167" s="198">
        <v>5399.9</v>
      </c>
      <c r="N167" s="198"/>
      <c r="O167" s="199">
        <f>[3]arg!$G33</f>
        <v>36998.6</v>
      </c>
      <c r="P167" s="198">
        <v>3835.6730000000002</v>
      </c>
      <c r="Q167" s="198">
        <v>65.448000000000008</v>
      </c>
      <c r="R167" s="198">
        <v>469.69799999999998</v>
      </c>
      <c r="S167" s="198">
        <v>302.54000000000002</v>
      </c>
      <c r="T167" s="198">
        <v>2357.5920000000001</v>
      </c>
      <c r="U167" s="198"/>
      <c r="V167" s="199">
        <v>640.39499999999998</v>
      </c>
      <c r="W167" s="198">
        <v>2722.4560000000001</v>
      </c>
      <c r="X167" s="198">
        <v>90.948999999999998</v>
      </c>
      <c r="Y167" s="198">
        <v>598.75</v>
      </c>
      <c r="Z167" s="198">
        <v>241.631</v>
      </c>
      <c r="AA167" s="198">
        <v>1144.653</v>
      </c>
      <c r="AB167" s="198"/>
      <c r="AC167" s="199">
        <f t="shared" si="3"/>
        <v>646.47299999999996</v>
      </c>
      <c r="AD167" s="198">
        <f>[1]datos!$S299</f>
        <v>994.40300000000002</v>
      </c>
      <c r="AE167" s="198">
        <v>46.030999999999999</v>
      </c>
      <c r="AF167" s="198">
        <v>159.22299999999998</v>
      </c>
      <c r="AG167" s="198">
        <v>206.83600000000001</v>
      </c>
      <c r="AH167" s="198">
        <v>175.04499999999999</v>
      </c>
      <c r="AI167" s="198">
        <f>[1]datos!$U299</f>
        <v>256.59899999999999</v>
      </c>
      <c r="AJ167" s="198">
        <f>AD167-AE167-AF167-AG167-AH167-AI167</f>
        <v>150.66900000000015</v>
      </c>
      <c r="AK167" s="197">
        <v>21705.775000000001</v>
      </c>
      <c r="AL167" s="198"/>
      <c r="AM167" s="198"/>
      <c r="AN167" s="198"/>
      <c r="AO167" s="198"/>
      <c r="AP167" s="198"/>
      <c r="AQ167" s="199"/>
      <c r="AR167" s="198">
        <v>319495.92177396006</v>
      </c>
      <c r="AS167" s="198">
        <v>94756.208223670023</v>
      </c>
      <c r="AT167" s="198">
        <v>35456.809360350002</v>
      </c>
      <c r="AU167" s="198">
        <v>22751.463249270004</v>
      </c>
      <c r="AV167" s="198">
        <v>74987.346919030009</v>
      </c>
      <c r="AW167" s="198"/>
      <c r="AX167" s="198">
        <v>91544.094021640019</v>
      </c>
      <c r="AY167" s="197">
        <v>29458285.182799999</v>
      </c>
      <c r="AZ167" s="198"/>
      <c r="BA167" s="198">
        <v>22339472.301899999</v>
      </c>
      <c r="BB167" s="198">
        <v>4845114.0915999999</v>
      </c>
      <c r="BC167" s="198">
        <v>2273698.7892999998</v>
      </c>
      <c r="BD167" s="198"/>
      <c r="BE167" s="198"/>
      <c r="BF167" s="197">
        <v>48174453.169999994</v>
      </c>
      <c r="BG167" s="198"/>
      <c r="BH167" s="198">
        <v>27928325.989999995</v>
      </c>
      <c r="BI167" s="198">
        <v>12966891.149999999</v>
      </c>
      <c r="BJ167" s="198">
        <v>7279236.0299999993</v>
      </c>
      <c r="BK167" s="198">
        <v>0</v>
      </c>
      <c r="BL167" s="198"/>
      <c r="BM167" s="197">
        <v>1373855.5789999999</v>
      </c>
      <c r="BN167" s="198">
        <v>137251.75200000001</v>
      </c>
      <c r="BO167" s="198">
        <v>222729.67499999999</v>
      </c>
      <c r="BP167" s="198">
        <v>290383.90100000001</v>
      </c>
      <c r="BQ167" s="198">
        <v>332952.48300000001</v>
      </c>
      <c r="BR167" s="198"/>
      <c r="BS167" s="198">
        <f t="shared" si="2"/>
        <v>390537.76799999992</v>
      </c>
      <c r="BT167" s="197"/>
      <c r="BU167" s="198"/>
      <c r="BV167" s="198"/>
      <c r="BW167" s="198"/>
      <c r="BX167" s="198"/>
      <c r="BY167" s="198"/>
      <c r="BZ167" s="198"/>
      <c r="CA167" s="197">
        <v>538.71699999999998</v>
      </c>
      <c r="CB167" s="198">
        <v>25.641999999999999</v>
      </c>
      <c r="CC167" s="198">
        <v>105.357</v>
      </c>
      <c r="CD167" s="198">
        <v>128.70599999999999</v>
      </c>
      <c r="CE167" s="198">
        <v>98.108999999999995</v>
      </c>
      <c r="CF167" s="198"/>
      <c r="CG167" s="198">
        <f>CA167-CB167-CC167-CD167-CE167</f>
        <v>180.90299999999996</v>
      </c>
      <c r="CH167" s="197"/>
      <c r="CI167" s="198"/>
      <c r="CJ167" s="198"/>
      <c r="CK167" s="198"/>
      <c r="CL167" s="198"/>
      <c r="CM167" s="198"/>
      <c r="CN167" s="198"/>
      <c r="CO167" s="197"/>
      <c r="CP167" s="198"/>
      <c r="CQ167" s="198"/>
      <c r="CR167" s="198"/>
      <c r="CS167" s="198"/>
      <c r="CT167" s="198"/>
      <c r="CU167" s="198"/>
      <c r="CV167" s="197">
        <v>1050.569</v>
      </c>
      <c r="CW167" s="198">
        <v>29.666</v>
      </c>
      <c r="CX167" s="198">
        <v>170.91300000000001</v>
      </c>
      <c r="CY167" s="198">
        <v>325.19799999999998</v>
      </c>
      <c r="CZ167" s="198">
        <v>230.90700000000001</v>
      </c>
      <c r="DA167" s="198"/>
      <c r="DB167" s="198">
        <f>CV167-CW167-CX167-CY167-CZ167</f>
        <v>293.88499999999988</v>
      </c>
      <c r="DC167" s="197"/>
      <c r="DD167" s="198"/>
      <c r="DE167" s="198"/>
      <c r="DF167" s="198"/>
      <c r="DG167" s="198"/>
      <c r="DH167" s="198"/>
      <c r="DI167" s="198"/>
      <c r="DJ167" s="197">
        <f>680.9+52307.5</f>
        <v>52988.4</v>
      </c>
      <c r="DK167" s="198">
        <f>167.9+15613.1</f>
        <v>15781</v>
      </c>
      <c r="DL167" s="198">
        <f>1732.1+10545.9</f>
        <v>12278</v>
      </c>
      <c r="DM167" s="198">
        <v>4240.8999999999996</v>
      </c>
      <c r="DN167" s="198">
        <f>9103.1-DM167</f>
        <v>4862.2000000000007</v>
      </c>
      <c r="DO167" s="198"/>
      <c r="DP167" s="198">
        <f t="shared" si="4"/>
        <v>15826.299999999996</v>
      </c>
      <c r="DQ167" s="197"/>
      <c r="DR167" s="198"/>
      <c r="DS167" s="198"/>
      <c r="DT167" s="198"/>
      <c r="DU167" s="198"/>
      <c r="DV167" s="198"/>
      <c r="DW167" s="198"/>
      <c r="DX167" s="197">
        <v>42087.594086610006</v>
      </c>
      <c r="DY167" s="198"/>
      <c r="DZ167" s="198">
        <v>32136.192845880003</v>
      </c>
      <c r="EA167" s="198">
        <v>4803.0534592000004</v>
      </c>
      <c r="EB167" s="198">
        <v>2650.2072041799997</v>
      </c>
      <c r="EC167" s="198"/>
      <c r="ED167" s="198">
        <v>2498.1405773500001</v>
      </c>
      <c r="EE167" s="197"/>
      <c r="EF167" s="198"/>
      <c r="EG167" s="198"/>
      <c r="EH167" s="198"/>
      <c r="EI167" s="198"/>
      <c r="EJ167" s="198"/>
      <c r="EK167" s="199"/>
      <c r="EL167" s="197">
        <v>995572.91719000007</v>
      </c>
      <c r="EM167" s="198">
        <v>325352.13531299989</v>
      </c>
      <c r="EN167" s="198">
        <v>13284.153665999998</v>
      </c>
      <c r="EO167" s="198">
        <v>137979.589527</v>
      </c>
      <c r="EP167" s="198">
        <v>46195.25763</v>
      </c>
      <c r="EQ167" s="198"/>
      <c r="ER167" s="199">
        <v>472533.83419000008</v>
      </c>
      <c r="ES167" s="197"/>
      <c r="ET167" s="198"/>
      <c r="EU167" s="198"/>
      <c r="EV167" s="198"/>
      <c r="EW167" s="198"/>
      <c r="EX167" s="198"/>
      <c r="EY167" s="199"/>
      <c r="EZ167" s="198"/>
      <c r="FA167" s="198"/>
      <c r="FB167" s="198"/>
      <c r="FC167" s="198"/>
      <c r="FD167" s="198"/>
      <c r="FE167" s="198"/>
      <c r="FF167" s="198"/>
      <c r="FG167" s="197"/>
      <c r="FH167" s="198"/>
      <c r="FI167" s="198"/>
      <c r="FJ167" s="198"/>
      <c r="FK167" s="198"/>
      <c r="FL167" s="198"/>
      <c r="FM167" s="198"/>
      <c r="FN167" s="197">
        <v>38354.625999999997</v>
      </c>
      <c r="FO167" s="198">
        <v>7850.9250000000002</v>
      </c>
      <c r="FP167" s="198">
        <v>5140.4210000000003</v>
      </c>
      <c r="FQ167" s="198">
        <v>3279.8440000000001</v>
      </c>
      <c r="FR167" s="198">
        <v>3683.1</v>
      </c>
      <c r="FS167" s="198"/>
      <c r="FT167" s="199">
        <f t="shared" si="5"/>
        <v>18400.335999999996</v>
      </c>
      <c r="FU167" s="197"/>
      <c r="FV167" s="198"/>
      <c r="FW167" s="198"/>
      <c r="FX167" s="198"/>
      <c r="FY167" s="198"/>
      <c r="FZ167" s="198"/>
      <c r="GA167" s="199"/>
      <c r="GB167" s="197">
        <v>1065.308</v>
      </c>
      <c r="GC167" s="198">
        <v>22.707000000000001</v>
      </c>
      <c r="GD167" s="198">
        <v>197.00299999999999</v>
      </c>
      <c r="GE167" s="198">
        <v>231.18600000000001</v>
      </c>
      <c r="GF167" s="198">
        <v>176.95599999999999</v>
      </c>
      <c r="GG167" s="198"/>
      <c r="GH167" s="199">
        <f>GB167-GC167-GD167-GE167-GF167</f>
        <v>437.4559999999999</v>
      </c>
      <c r="GI167" s="197">
        <v>693.82600000000002</v>
      </c>
      <c r="GJ167" s="198">
        <v>20.512</v>
      </c>
      <c r="GK167" s="198">
        <v>133.30699999999999</v>
      </c>
      <c r="GL167" s="198">
        <v>218.613</v>
      </c>
      <c r="GM167" s="198">
        <v>148.58699999999999</v>
      </c>
      <c r="GN167" s="198"/>
      <c r="GO167" s="199">
        <f>GI167-GJ167-GK167-GL167-GM167</f>
        <v>172.80700000000007</v>
      </c>
      <c r="GP167" s="197">
        <v>1688.681</v>
      </c>
      <c r="GQ167" s="198">
        <v>48.485999999999997</v>
      </c>
      <c r="GR167" s="198">
        <v>334.06400000000002</v>
      </c>
      <c r="GS167" s="198">
        <v>394.38299999999998</v>
      </c>
      <c r="GT167" s="198">
        <v>430.858</v>
      </c>
      <c r="GU167" s="198"/>
      <c r="GV167" s="199">
        <f>GP167-GQ167-GR167-GS167-GT167</f>
        <v>480.88999999999982</v>
      </c>
      <c r="GW167" s="197"/>
      <c r="GX167" s="198"/>
      <c r="GY167" s="198"/>
      <c r="GZ167" s="198"/>
      <c r="HA167" s="198"/>
      <c r="HB167" s="198"/>
      <c r="HC167" s="199"/>
      <c r="HD167" s="197">
        <f>'[2]t&amp;t'!W299</f>
        <v>14621.8</v>
      </c>
      <c r="HE167" s="198">
        <f>'[2]t&amp;t'!X299</f>
        <v>1898.9</v>
      </c>
      <c r="HF167" s="198">
        <f>'[2]t&amp;t'!Y299</f>
        <v>1181.2</v>
      </c>
      <c r="HG167" s="198">
        <f>'[2]t&amp;t'!Z299</f>
        <v>744.40000000000009</v>
      </c>
      <c r="HH167" s="198">
        <f>'[2]t&amp;t'!AA299</f>
        <v>5541.1</v>
      </c>
      <c r="HI167" s="198"/>
      <c r="HJ167" s="199">
        <f>'[2]t&amp;t'!AC299</f>
        <v>5256.2000000000007</v>
      </c>
      <c r="HK167" s="197"/>
      <c r="HL167" s="198"/>
      <c r="HM167" s="198"/>
      <c r="HN167" s="198"/>
      <c r="HO167" s="198"/>
      <c r="HP167" s="198"/>
      <c r="HQ167" s="198"/>
      <c r="HR167" s="197"/>
      <c r="HT167" s="198"/>
      <c r="HU167" s="198"/>
      <c r="HV167" s="198"/>
      <c r="HW167" s="198"/>
      <c r="HX167" s="198"/>
    </row>
    <row r="168" spans="1:233">
      <c r="A168" s="185" t="s">
        <v>495</v>
      </c>
      <c r="B168" s="197"/>
      <c r="C168" s="198"/>
      <c r="D168" s="198"/>
      <c r="E168" s="198"/>
      <c r="F168" s="198"/>
      <c r="G168" s="198"/>
      <c r="H168" s="199"/>
      <c r="I168" s="197">
        <v>69724</v>
      </c>
      <c r="J168" s="198"/>
      <c r="K168" s="198"/>
      <c r="L168" s="198">
        <v>16917.900000000001</v>
      </c>
      <c r="M168" s="198">
        <v>5352.4</v>
      </c>
      <c r="N168" s="198"/>
      <c r="O168" s="199">
        <f>[3]arg!$G34</f>
        <v>35546.400000000001</v>
      </c>
      <c r="P168" s="198"/>
      <c r="Q168" s="198"/>
      <c r="R168" s="198"/>
      <c r="S168" s="198"/>
      <c r="T168" s="198"/>
      <c r="U168" s="198"/>
      <c r="V168" s="199"/>
      <c r="W168" s="198">
        <v>2741.2979999999998</v>
      </c>
      <c r="X168" s="198">
        <v>94.29</v>
      </c>
      <c r="Y168" s="198">
        <v>584.73200000000008</v>
      </c>
      <c r="Z168" s="198">
        <v>240.09800000000001</v>
      </c>
      <c r="AA168" s="198">
        <v>1161.979</v>
      </c>
      <c r="AB168" s="198"/>
      <c r="AC168" s="199">
        <f t="shared" si="3"/>
        <v>660.19899999999984</v>
      </c>
      <c r="AD168" s="198"/>
      <c r="AE168" s="198">
        <v>43.137</v>
      </c>
      <c r="AF168" s="198">
        <v>169.33799999999999</v>
      </c>
      <c r="AG168" s="198">
        <v>209.84899999999999</v>
      </c>
      <c r="AH168" s="198">
        <v>175.517</v>
      </c>
      <c r="AI168" s="198"/>
      <c r="AJ168" s="198"/>
      <c r="AK168" s="197"/>
      <c r="AL168" s="198"/>
      <c r="AM168" s="198"/>
      <c r="AN168" s="198"/>
      <c r="AO168" s="198"/>
      <c r="AP168" s="198"/>
      <c r="AQ168" s="199"/>
      <c r="AR168" s="198">
        <v>324558.47985217994</v>
      </c>
      <c r="AS168" s="198">
        <v>97936.973594499985</v>
      </c>
      <c r="AT168" s="198">
        <v>35554.522342409997</v>
      </c>
      <c r="AU168" s="198">
        <v>22968.957676630002</v>
      </c>
      <c r="AV168" s="198">
        <v>75687.938034530001</v>
      </c>
      <c r="AW168" s="198"/>
      <c r="AX168" s="198">
        <v>92410.088204109954</v>
      </c>
      <c r="AY168" s="197">
        <v>29705500.710700002</v>
      </c>
      <c r="AZ168" s="198"/>
      <c r="BA168" s="198">
        <v>22542908.564000003</v>
      </c>
      <c r="BB168" s="198">
        <v>4894562.8859000001</v>
      </c>
      <c r="BC168" s="198">
        <v>2268029.2607999998</v>
      </c>
      <c r="BD168" s="198"/>
      <c r="BE168" s="198"/>
      <c r="BF168" s="197">
        <v>48079069.479999989</v>
      </c>
      <c r="BG168" s="198"/>
      <c r="BH168" s="198">
        <v>27796058.469999995</v>
      </c>
      <c r="BI168" s="198">
        <v>12928257.109999996</v>
      </c>
      <c r="BJ168" s="198">
        <v>7354753.8999999985</v>
      </c>
      <c r="BK168" s="198">
        <v>0</v>
      </c>
      <c r="BL168" s="198"/>
      <c r="BM168" s="197">
        <v>1398632.561</v>
      </c>
      <c r="BN168" s="198">
        <v>136756.19899999999</v>
      </c>
      <c r="BO168" s="198">
        <v>230936.10800000001</v>
      </c>
      <c r="BP168" s="198">
        <v>300139.86599999998</v>
      </c>
      <c r="BQ168" s="198">
        <v>361425.51500000001</v>
      </c>
      <c r="BR168" s="198"/>
      <c r="BS168" s="198">
        <f t="shared" si="2"/>
        <v>369374.87300000002</v>
      </c>
      <c r="BT168" s="197"/>
      <c r="BU168" s="198"/>
      <c r="BV168" s="198"/>
      <c r="BW168" s="198"/>
      <c r="BX168" s="198"/>
      <c r="BY168" s="198"/>
      <c r="BZ168" s="198"/>
      <c r="CA168" s="197"/>
      <c r="CB168" s="198"/>
      <c r="CC168" s="198"/>
      <c r="CD168" s="198"/>
      <c r="CE168" s="198"/>
      <c r="CF168" s="198"/>
      <c r="CG168" s="198"/>
      <c r="CH168" s="197"/>
      <c r="CI168" s="198"/>
      <c r="CJ168" s="198"/>
      <c r="CK168" s="198"/>
      <c r="CL168" s="198"/>
      <c r="CM168" s="198"/>
      <c r="CN168" s="198"/>
      <c r="CO168" s="197"/>
      <c r="CP168" s="198"/>
      <c r="CQ168" s="198"/>
      <c r="CR168" s="198"/>
      <c r="CS168" s="198"/>
      <c r="CT168" s="198"/>
      <c r="CU168" s="198"/>
      <c r="CV168" s="197"/>
      <c r="CW168" s="198"/>
      <c r="CX168" s="198"/>
      <c r="CY168" s="198"/>
      <c r="CZ168" s="198"/>
      <c r="DA168" s="198"/>
      <c r="DB168" s="198"/>
      <c r="DC168" s="197"/>
      <c r="DD168" s="198"/>
      <c r="DE168" s="198"/>
      <c r="DF168" s="198"/>
      <c r="DG168" s="198"/>
      <c r="DH168" s="198"/>
      <c r="DI168" s="198"/>
      <c r="DJ168" s="197">
        <f>461.9+52496.1</f>
        <v>52958</v>
      </c>
      <c r="DK168" s="198">
        <f>174.2+15902.2</f>
        <v>16076.400000000001</v>
      </c>
      <c r="DL168" s="198">
        <f>1776.8+10399.7</f>
        <v>12176.5</v>
      </c>
      <c r="DM168" s="198">
        <v>3768.8</v>
      </c>
      <c r="DN168" s="198">
        <f>9290-DM168</f>
        <v>5521.2</v>
      </c>
      <c r="DO168" s="198"/>
      <c r="DP168" s="198">
        <f t="shared" si="4"/>
        <v>15415.099999999999</v>
      </c>
      <c r="DQ168" s="197"/>
      <c r="DR168" s="198"/>
      <c r="DS168" s="198"/>
      <c r="DT168" s="198"/>
      <c r="DU168" s="198"/>
      <c r="DV168" s="198"/>
      <c r="DW168" s="198"/>
      <c r="DX168" s="197">
        <v>41476.272720000001</v>
      </c>
      <c r="DY168" s="198"/>
      <c r="DZ168" s="198">
        <v>31626.78744</v>
      </c>
      <c r="EA168" s="198">
        <v>4953.2562600000001</v>
      </c>
      <c r="EB168" s="198">
        <v>2623.7547799999998</v>
      </c>
      <c r="EC168" s="198"/>
      <c r="ED168" s="198">
        <v>2272.47424</v>
      </c>
      <c r="EE168" s="197"/>
      <c r="EF168" s="198"/>
      <c r="EG168" s="198"/>
      <c r="EH168" s="198"/>
      <c r="EI168" s="198"/>
      <c r="EJ168" s="198"/>
      <c r="EK168" s="199"/>
      <c r="EL168" s="197">
        <v>998324.5529400002</v>
      </c>
      <c r="EM168" s="198">
        <v>319018.86307600001</v>
      </c>
      <c r="EN168" s="198">
        <v>19413.604057</v>
      </c>
      <c r="EO168" s="198">
        <v>135675.56864099999</v>
      </c>
      <c r="EP168" s="198">
        <v>47680.623950999994</v>
      </c>
      <c r="EQ168" s="198"/>
      <c r="ER168" s="199">
        <v>476346.05461400002</v>
      </c>
      <c r="ES168" s="197"/>
      <c r="ET168" s="198"/>
      <c r="EU168" s="198"/>
      <c r="EV168" s="198"/>
      <c r="EW168" s="198"/>
      <c r="EX168" s="198"/>
      <c r="EY168" s="199"/>
      <c r="EZ168" s="198"/>
      <c r="FA168" s="198"/>
      <c r="FB168" s="198"/>
      <c r="FC168" s="198"/>
      <c r="FD168" s="198"/>
      <c r="FE168" s="198"/>
      <c r="FF168" s="198"/>
      <c r="FG168" s="197"/>
      <c r="FH168" s="198"/>
      <c r="FI168" s="198"/>
      <c r="FJ168" s="198"/>
      <c r="FK168" s="198"/>
      <c r="FL168" s="198"/>
      <c r="FM168" s="198"/>
      <c r="FN168" s="197">
        <v>37541.144999999997</v>
      </c>
      <c r="FO168" s="198">
        <v>9521.9259999999995</v>
      </c>
      <c r="FP168" s="198">
        <v>5750.7070000000003</v>
      </c>
      <c r="FQ168" s="198">
        <v>3273.915</v>
      </c>
      <c r="FR168" s="198">
        <v>3464.9780000000001</v>
      </c>
      <c r="FS168" s="198"/>
      <c r="FT168" s="199">
        <f t="shared" si="5"/>
        <v>15529.618999999999</v>
      </c>
      <c r="FU168" s="197"/>
      <c r="FV168" s="198"/>
      <c r="FW168" s="198"/>
      <c r="FX168" s="198"/>
      <c r="FY168" s="198"/>
      <c r="FZ168" s="198"/>
      <c r="GA168" s="199"/>
      <c r="GB168" s="197"/>
      <c r="GC168" s="198"/>
      <c r="GD168" s="198"/>
      <c r="GE168" s="198"/>
      <c r="GF168" s="198"/>
      <c r="GG168" s="198"/>
      <c r="GH168" s="199"/>
      <c r="GI168" s="197"/>
      <c r="GJ168" s="198"/>
      <c r="GK168" s="198"/>
      <c r="GL168" s="198"/>
      <c r="GM168" s="198"/>
      <c r="GN168" s="198"/>
      <c r="GO168" s="199"/>
      <c r="GP168" s="197"/>
      <c r="GQ168" s="198"/>
      <c r="GR168" s="198"/>
      <c r="GS168" s="198"/>
      <c r="GT168" s="198"/>
      <c r="GU168" s="198"/>
      <c r="GV168" s="199"/>
      <c r="GW168" s="197"/>
      <c r="GX168" s="198"/>
      <c r="GY168" s="198"/>
      <c r="GZ168" s="198"/>
      <c r="HA168" s="198"/>
      <c r="HB168" s="198"/>
      <c r="HC168" s="199"/>
      <c r="HD168" s="197"/>
      <c r="HE168" s="198"/>
      <c r="HF168" s="198"/>
      <c r="HG168" s="198"/>
      <c r="HH168" s="198"/>
      <c r="HI168" s="198"/>
      <c r="HJ168" s="199"/>
      <c r="HK168" s="197"/>
      <c r="HL168" s="198"/>
      <c r="HM168" s="198"/>
      <c r="HN168" s="198"/>
      <c r="HO168" s="198"/>
      <c r="HP168" s="198"/>
      <c r="HQ168" s="198"/>
      <c r="HR168" s="197"/>
      <c r="HT168" s="198"/>
      <c r="HU168" s="198"/>
      <c r="HV168" s="198"/>
      <c r="HW168" s="198"/>
      <c r="HX168" s="198"/>
    </row>
    <row r="169" spans="1:233">
      <c r="A169" s="185" t="s">
        <v>496</v>
      </c>
      <c r="B169" s="197"/>
      <c r="C169" s="198"/>
      <c r="D169" s="198"/>
      <c r="E169" s="198"/>
      <c r="F169" s="198"/>
      <c r="G169" s="198"/>
      <c r="H169" s="199"/>
      <c r="I169" s="197">
        <v>68294.399999999994</v>
      </c>
      <c r="J169" s="198"/>
      <c r="K169" s="198"/>
      <c r="L169" s="198">
        <v>16727.3</v>
      </c>
      <c r="M169" s="198">
        <v>5178</v>
      </c>
      <c r="N169" s="198"/>
      <c r="O169" s="199">
        <f>[3]arg!$G35</f>
        <v>34594.5</v>
      </c>
      <c r="P169" s="198"/>
      <c r="Q169" s="198"/>
      <c r="R169" s="198"/>
      <c r="S169" s="198"/>
      <c r="T169" s="198"/>
      <c r="U169" s="198"/>
      <c r="V169" s="199"/>
      <c r="W169" s="198">
        <v>2742.9059999999999</v>
      </c>
      <c r="X169" s="198">
        <v>93.453000000000003</v>
      </c>
      <c r="Y169" s="198">
        <v>581.13499999999999</v>
      </c>
      <c r="Z169" s="198">
        <v>242.465</v>
      </c>
      <c r="AA169" s="198">
        <v>1158.6130000000001</v>
      </c>
      <c r="AB169" s="198"/>
      <c r="AC169" s="199">
        <f t="shared" si="3"/>
        <v>667.24000000000024</v>
      </c>
      <c r="AD169" s="198"/>
      <c r="AE169" s="198">
        <v>41.889000000000003</v>
      </c>
      <c r="AF169" s="198">
        <v>167.30499999999998</v>
      </c>
      <c r="AG169" s="198">
        <v>211.56799999999998</v>
      </c>
      <c r="AH169" s="198">
        <v>181.80699999999999</v>
      </c>
      <c r="AI169" s="198"/>
      <c r="AJ169" s="198"/>
      <c r="AK169" s="197"/>
      <c r="AL169" s="198"/>
      <c r="AM169" s="198"/>
      <c r="AN169" s="198"/>
      <c r="AO169" s="198"/>
      <c r="AP169" s="198"/>
      <c r="AQ169" s="199"/>
      <c r="AR169" s="198">
        <v>332145.2767403</v>
      </c>
      <c r="AS169" s="198">
        <v>100978.24696522001</v>
      </c>
      <c r="AT169" s="198">
        <v>35861.470956930003</v>
      </c>
      <c r="AU169" s="198">
        <v>23153.684578510001</v>
      </c>
      <c r="AV169" s="198">
        <v>76696.59161957998</v>
      </c>
      <c r="AW169" s="198"/>
      <c r="AX169" s="198">
        <v>95455.282620059981</v>
      </c>
      <c r="AY169" s="197">
        <v>29892305.314100001</v>
      </c>
      <c r="AZ169" s="198"/>
      <c r="BA169" s="198">
        <v>22712042.291600004</v>
      </c>
      <c r="BB169" s="198">
        <v>4911687.9879999999</v>
      </c>
      <c r="BC169" s="198">
        <v>2268575.0345000001</v>
      </c>
      <c r="BD169" s="198"/>
      <c r="BE169" s="198"/>
      <c r="BF169" s="197">
        <v>48133851.020000003</v>
      </c>
      <c r="BG169" s="198"/>
      <c r="BH169" s="198">
        <v>27828326.989999998</v>
      </c>
      <c r="BI169" s="198">
        <v>12847266.419999998</v>
      </c>
      <c r="BJ169" s="198">
        <v>7458257.6100000003</v>
      </c>
      <c r="BK169" s="198">
        <v>0</v>
      </c>
      <c r="BL169" s="198"/>
      <c r="BM169" s="197">
        <v>1423163.5919999999</v>
      </c>
      <c r="BN169" s="198">
        <v>139332.76800000001</v>
      </c>
      <c r="BO169" s="198">
        <v>235441.93299999999</v>
      </c>
      <c r="BP169" s="198">
        <v>305501.36099999998</v>
      </c>
      <c r="BQ169" s="198">
        <v>377373.16100000002</v>
      </c>
      <c r="BR169" s="198"/>
      <c r="BS169" s="198">
        <f t="shared" si="2"/>
        <v>365514.36899999995</v>
      </c>
      <c r="BT169" s="197"/>
      <c r="BU169" s="198"/>
      <c r="BV169" s="198"/>
      <c r="BW169" s="198"/>
      <c r="BX169" s="198"/>
      <c r="BY169" s="198"/>
      <c r="BZ169" s="198"/>
      <c r="CA169" s="197"/>
      <c r="CB169" s="198"/>
      <c r="CC169" s="198"/>
      <c r="CD169" s="198"/>
      <c r="CE169" s="198"/>
      <c r="CF169" s="198"/>
      <c r="CG169" s="198"/>
      <c r="CH169" s="197"/>
      <c r="CI169" s="198"/>
      <c r="CJ169" s="198"/>
      <c r="CK169" s="198"/>
      <c r="CL169" s="198"/>
      <c r="CM169" s="198"/>
      <c r="CN169" s="198"/>
      <c r="CO169" s="197"/>
      <c r="CP169" s="198"/>
      <c r="CQ169" s="198"/>
      <c r="CR169" s="198"/>
      <c r="CS169" s="198"/>
      <c r="CT169" s="198"/>
      <c r="CU169" s="198"/>
      <c r="CV169" s="197"/>
      <c r="CW169" s="198"/>
      <c r="CX169" s="198"/>
      <c r="CY169" s="198"/>
      <c r="CZ169" s="198"/>
      <c r="DA169" s="198"/>
      <c r="DB169" s="198"/>
      <c r="DC169" s="197"/>
      <c r="DD169" s="198"/>
      <c r="DE169" s="198"/>
      <c r="DF169" s="198"/>
      <c r="DG169" s="198"/>
      <c r="DH169" s="198"/>
      <c r="DI169" s="198"/>
      <c r="DJ169" s="197">
        <f>587.5+52740.7</f>
        <v>53328.2</v>
      </c>
      <c r="DK169" s="198">
        <f>175.5+15863.1</f>
        <v>16038.6</v>
      </c>
      <c r="DL169" s="198">
        <f>1768.8+10573.4</f>
        <v>12342.199999999999</v>
      </c>
      <c r="DM169" s="198">
        <v>3807.9</v>
      </c>
      <c r="DN169" s="198">
        <f>9258.2-DM169</f>
        <v>5450.3000000000011</v>
      </c>
      <c r="DO169" s="198"/>
      <c r="DP169" s="198">
        <f t="shared" si="4"/>
        <v>15689.199999999997</v>
      </c>
      <c r="DQ169" s="197"/>
      <c r="DR169" s="198"/>
      <c r="DS169" s="198"/>
      <c r="DT169" s="198"/>
      <c r="DU169" s="198"/>
      <c r="DV169" s="198"/>
      <c r="DW169" s="198"/>
      <c r="DX169" s="197">
        <v>41919.865439999994</v>
      </c>
      <c r="DY169" s="198"/>
      <c r="DZ169" s="198">
        <v>31886.227039999998</v>
      </c>
      <c r="EA169" s="198">
        <v>5070.4682599999996</v>
      </c>
      <c r="EB169" s="198">
        <v>2762.2849799999999</v>
      </c>
      <c r="EC169" s="198"/>
      <c r="ED169" s="198">
        <v>2200.8851600000003</v>
      </c>
      <c r="EE169" s="197"/>
      <c r="EF169" s="198"/>
      <c r="EG169" s="198"/>
      <c r="EH169" s="198"/>
      <c r="EI169" s="198"/>
      <c r="EJ169" s="198"/>
      <c r="EK169" s="199"/>
      <c r="EL169" s="197">
        <v>999759.76396500005</v>
      </c>
      <c r="EM169" s="198">
        <v>324011.08031400014</v>
      </c>
      <c r="EN169" s="198">
        <v>15058.598119000002</v>
      </c>
      <c r="EO169" s="198">
        <v>135379.507514</v>
      </c>
      <c r="EP169" s="198">
        <v>48988.504149999993</v>
      </c>
      <c r="EQ169" s="198"/>
      <c r="ER169" s="199">
        <v>476139.80005000002</v>
      </c>
      <c r="ES169" s="197"/>
      <c r="ET169" s="198"/>
      <c r="EU169" s="198"/>
      <c r="EV169" s="198"/>
      <c r="EW169" s="198"/>
      <c r="EX169" s="198"/>
      <c r="EY169" s="199"/>
      <c r="EZ169" s="198"/>
      <c r="FA169" s="198"/>
      <c r="FB169" s="198"/>
      <c r="FC169" s="198"/>
      <c r="FD169" s="198"/>
      <c r="FE169" s="198"/>
      <c r="FF169" s="198"/>
      <c r="FG169" s="197"/>
      <c r="FH169" s="198"/>
      <c r="FI169" s="198"/>
      <c r="FJ169" s="198"/>
      <c r="FK169" s="198"/>
      <c r="FL169" s="198"/>
      <c r="FM169" s="198"/>
      <c r="FN169" s="197">
        <v>37445.553999999996</v>
      </c>
      <c r="FO169" s="198">
        <v>9107.3080000000009</v>
      </c>
      <c r="FP169" s="198">
        <v>6126.2269999999999</v>
      </c>
      <c r="FQ169" s="198">
        <v>3280.4549999999999</v>
      </c>
      <c r="FR169" s="198">
        <v>3442.9879999999998</v>
      </c>
      <c r="FS169" s="198"/>
      <c r="FT169" s="199">
        <f t="shared" si="5"/>
        <v>15488.575999999997</v>
      </c>
      <c r="FU169" s="197"/>
      <c r="FV169" s="198"/>
      <c r="FW169" s="198"/>
      <c r="FX169" s="198"/>
      <c r="FY169" s="198"/>
      <c r="FZ169" s="198"/>
      <c r="GA169" s="199"/>
      <c r="GB169" s="197"/>
      <c r="GC169" s="198"/>
      <c r="GD169" s="198"/>
      <c r="GE169" s="198"/>
      <c r="GF169" s="198"/>
      <c r="GG169" s="198"/>
      <c r="GH169" s="199"/>
      <c r="GI169" s="197"/>
      <c r="GJ169" s="198"/>
      <c r="GK169" s="198"/>
      <c r="GL169" s="198"/>
      <c r="GM169" s="198"/>
      <c r="GN169" s="198"/>
      <c r="GO169" s="199"/>
      <c r="GP169" s="197"/>
      <c r="GQ169" s="198"/>
      <c r="GR169" s="198"/>
      <c r="GS169" s="198"/>
      <c r="GT169" s="198"/>
      <c r="GU169" s="198"/>
      <c r="GV169" s="199"/>
      <c r="GW169" s="197"/>
      <c r="GX169" s="198"/>
      <c r="GY169" s="198"/>
      <c r="GZ169" s="198"/>
      <c r="HA169" s="198"/>
      <c r="HB169" s="198"/>
      <c r="HC169" s="199"/>
      <c r="HD169" s="197"/>
      <c r="HE169" s="198"/>
      <c r="HF169" s="198"/>
      <c r="HG169" s="198"/>
      <c r="HH169" s="198"/>
      <c r="HI169" s="198"/>
      <c r="HJ169" s="199"/>
      <c r="HK169" s="197"/>
      <c r="HL169" s="198"/>
      <c r="HM169" s="198"/>
      <c r="HN169" s="198"/>
      <c r="HO169" s="198"/>
      <c r="HP169" s="198"/>
      <c r="HQ169" s="198"/>
      <c r="HR169" s="197"/>
      <c r="HT169" s="198"/>
      <c r="HU169" s="198"/>
      <c r="HV169" s="198"/>
      <c r="HW169" s="198"/>
      <c r="HX169" s="198"/>
    </row>
    <row r="170" spans="1:233">
      <c r="A170" s="185" t="s">
        <v>497</v>
      </c>
      <c r="B170" s="197">
        <v>1668.586</v>
      </c>
      <c r="C170" s="198">
        <v>49.174999999999997</v>
      </c>
      <c r="D170" s="198">
        <v>370.05700000000002</v>
      </c>
      <c r="E170" s="198">
        <v>374.62099999999998</v>
      </c>
      <c r="F170" s="198">
        <v>359.67899999999997</v>
      </c>
      <c r="G170" s="198"/>
      <c r="H170" s="199">
        <v>515.05399999999997</v>
      </c>
      <c r="I170" s="197">
        <v>67984.3</v>
      </c>
      <c r="J170" s="198"/>
      <c r="K170" s="198"/>
      <c r="L170" s="198">
        <v>16663.5</v>
      </c>
      <c r="M170" s="198">
        <v>5153.8</v>
      </c>
      <c r="N170" s="198"/>
      <c r="O170" s="199">
        <f>[3]arg!$G36</f>
        <v>34493.31</v>
      </c>
      <c r="P170" s="198">
        <v>3950.1559999999999</v>
      </c>
      <c r="Q170" s="198">
        <v>67.295000000000002</v>
      </c>
      <c r="R170" s="198">
        <v>484.18299999999999</v>
      </c>
      <c r="S170" s="198">
        <v>346.78200000000004</v>
      </c>
      <c r="T170" s="198">
        <v>2407.788</v>
      </c>
      <c r="U170" s="198"/>
      <c r="V170" s="199">
        <v>644.10800000000017</v>
      </c>
      <c r="W170" s="198">
        <v>2757.0740000000001</v>
      </c>
      <c r="X170" s="198">
        <v>97.338999999999999</v>
      </c>
      <c r="Y170" s="198">
        <v>576.52599999999995</v>
      </c>
      <c r="Z170" s="198">
        <v>241.46799999999999</v>
      </c>
      <c r="AA170" s="198">
        <v>1170.8420000000001</v>
      </c>
      <c r="AB170" s="198"/>
      <c r="AC170" s="199">
        <f t="shared" si="3"/>
        <v>670.89900000000011</v>
      </c>
      <c r="AD170" s="198">
        <f>[1]datos!$S302</f>
        <v>1041.2940000000001</v>
      </c>
      <c r="AE170" s="198">
        <v>41.731999999999999</v>
      </c>
      <c r="AF170" s="198">
        <v>177.69400000000002</v>
      </c>
      <c r="AG170" s="198">
        <v>213.749</v>
      </c>
      <c r="AH170" s="198">
        <v>172.446</v>
      </c>
      <c r="AI170" s="198">
        <f>[1]datos!$U302</f>
        <v>262.92</v>
      </c>
      <c r="AJ170" s="198">
        <f>AD170-AE170-AF170-AG170-AH170-AI170</f>
        <v>172.7530000000001</v>
      </c>
      <c r="AK170" s="197">
        <v>21207.363999999998</v>
      </c>
      <c r="AL170" s="198"/>
      <c r="AM170" s="198"/>
      <c r="AN170" s="198"/>
      <c r="AO170" s="198"/>
      <c r="AP170" s="198"/>
      <c r="AQ170" s="199"/>
      <c r="AR170" s="198">
        <v>340659.56700500002</v>
      </c>
      <c r="AS170" s="198">
        <v>103777.60987574002</v>
      </c>
      <c r="AT170" s="198">
        <v>36663.146247769997</v>
      </c>
      <c r="AU170" s="198">
        <v>23580.821021899996</v>
      </c>
      <c r="AV170" s="198">
        <v>77550.718067569993</v>
      </c>
      <c r="AW170" s="198"/>
      <c r="AX170" s="198">
        <v>99087.271792020023</v>
      </c>
      <c r="AY170" s="197">
        <v>30560211.705800001</v>
      </c>
      <c r="AZ170" s="198"/>
      <c r="BA170" s="198">
        <v>23363696.138499998</v>
      </c>
      <c r="BB170" s="198">
        <v>4915427.7938999999</v>
      </c>
      <c r="BC170" s="198">
        <v>2281087.7733999998</v>
      </c>
      <c r="BD170" s="198"/>
      <c r="BE170" s="198"/>
      <c r="BF170" s="197">
        <v>47870955.650000006</v>
      </c>
      <c r="BG170" s="198"/>
      <c r="BH170" s="198">
        <v>27805452.379999999</v>
      </c>
      <c r="BI170" s="198">
        <v>12681018.859999999</v>
      </c>
      <c r="BJ170" s="198">
        <v>7384484.4099999992</v>
      </c>
      <c r="BK170" s="198">
        <v>0</v>
      </c>
      <c r="BL170" s="198"/>
      <c r="BM170" s="197">
        <v>1450351.7320000001</v>
      </c>
      <c r="BN170" s="198">
        <v>141954.99900000001</v>
      </c>
      <c r="BO170" s="198">
        <v>238149.883</v>
      </c>
      <c r="BP170" s="198">
        <v>308749.71299999999</v>
      </c>
      <c r="BQ170" s="198">
        <v>371427.533</v>
      </c>
      <c r="BR170" s="198"/>
      <c r="BS170" s="198">
        <f t="shared" si="2"/>
        <v>390069.60400000005</v>
      </c>
      <c r="BT170" s="197"/>
      <c r="BU170" s="198"/>
      <c r="BV170" s="198"/>
      <c r="BW170" s="198"/>
      <c r="BX170" s="198"/>
      <c r="BY170" s="198"/>
      <c r="BZ170" s="198"/>
      <c r="CA170" s="197">
        <v>545.12800000000004</v>
      </c>
      <c r="CB170" s="198">
        <v>25.675999999999998</v>
      </c>
      <c r="CC170" s="198">
        <v>104.461</v>
      </c>
      <c r="CD170" s="198">
        <v>118.628</v>
      </c>
      <c r="CE170" s="198">
        <v>110.6</v>
      </c>
      <c r="CF170" s="198"/>
      <c r="CG170" s="198">
        <f>CA170-CB170-CC170-CD170-CE170</f>
        <v>185.76300000000001</v>
      </c>
      <c r="CH170" s="197"/>
      <c r="CI170" s="198"/>
      <c r="CJ170" s="198"/>
      <c r="CK170" s="198"/>
      <c r="CL170" s="198"/>
      <c r="CM170" s="198"/>
      <c r="CN170" s="198"/>
      <c r="CO170" s="197"/>
      <c r="CP170" s="198"/>
      <c r="CQ170" s="198"/>
      <c r="CR170" s="198"/>
      <c r="CS170" s="198"/>
      <c r="CT170" s="198"/>
      <c r="CU170" s="198"/>
      <c r="CV170" s="197">
        <v>1051.585</v>
      </c>
      <c r="CW170" s="198">
        <v>27.195</v>
      </c>
      <c r="CX170" s="198">
        <v>169.268</v>
      </c>
      <c r="CY170" s="198">
        <v>335.79700000000003</v>
      </c>
      <c r="CZ170" s="198">
        <v>233.51300000000001</v>
      </c>
      <c r="DA170" s="198"/>
      <c r="DB170" s="198">
        <f>CV170-CW170-CX170-CY170-CZ170</f>
        <v>285.81200000000001</v>
      </c>
      <c r="DC170" s="197"/>
      <c r="DD170" s="198"/>
      <c r="DE170" s="198"/>
      <c r="DF170" s="198"/>
      <c r="DG170" s="198"/>
      <c r="DH170" s="198"/>
      <c r="DI170" s="198"/>
      <c r="DJ170" s="197">
        <f>732.6+50846.7</f>
        <v>51579.299999999996</v>
      </c>
      <c r="DK170" s="198">
        <f>174.2+15560</f>
        <v>15734.2</v>
      </c>
      <c r="DL170" s="198">
        <f>1796.3+10153.7</f>
        <v>11950</v>
      </c>
      <c r="DM170" s="198">
        <v>4367.7</v>
      </c>
      <c r="DN170" s="198">
        <f>8763.3-DM170</f>
        <v>4395.5999999999995</v>
      </c>
      <c r="DO170" s="198"/>
      <c r="DP170" s="198">
        <f t="shared" si="4"/>
        <v>15131.799999999996</v>
      </c>
      <c r="DQ170" s="197"/>
      <c r="DR170" s="198"/>
      <c r="DS170" s="198"/>
      <c r="DT170" s="198"/>
      <c r="DU170" s="198"/>
      <c r="DV170" s="198"/>
      <c r="DW170" s="198"/>
      <c r="DX170" s="197">
        <v>40694.919840000002</v>
      </c>
      <c r="DY170" s="198"/>
      <c r="DZ170" s="198">
        <v>30208.481920000002</v>
      </c>
      <c r="EA170" s="198">
        <v>5297.7950599999995</v>
      </c>
      <c r="EB170" s="198">
        <v>3182.4633199999998</v>
      </c>
      <c r="EC170" s="198"/>
      <c r="ED170" s="198">
        <v>2006.17956</v>
      </c>
      <c r="EE170" s="197"/>
      <c r="EF170" s="198"/>
      <c r="EG170" s="198"/>
      <c r="EH170" s="198"/>
      <c r="EI170" s="198"/>
      <c r="EJ170" s="198"/>
      <c r="EK170" s="199"/>
      <c r="EL170" s="197">
        <v>1002854.9103300001</v>
      </c>
      <c r="EM170" s="198">
        <v>330404.75108000007</v>
      </c>
      <c r="EN170" s="198">
        <v>14915.871529999999</v>
      </c>
      <c r="EO170" s="198">
        <v>135661.26739400002</v>
      </c>
      <c r="EP170" s="198">
        <v>49439.790824000003</v>
      </c>
      <c r="EQ170" s="198"/>
      <c r="ER170" s="199">
        <v>472239.21240000008</v>
      </c>
      <c r="ES170" s="197"/>
      <c r="ET170" s="198"/>
      <c r="EU170" s="198"/>
      <c r="EV170" s="198"/>
      <c r="EW170" s="198"/>
      <c r="EX170" s="198"/>
      <c r="EY170" s="199"/>
      <c r="EZ170" s="198"/>
      <c r="FA170" s="198"/>
      <c r="FB170" s="198"/>
      <c r="FC170" s="198"/>
      <c r="FD170" s="198"/>
      <c r="FE170" s="198"/>
      <c r="FF170" s="198"/>
      <c r="FG170" s="197"/>
      <c r="FH170" s="198"/>
      <c r="FI170" s="198"/>
      <c r="FJ170" s="198"/>
      <c r="FK170" s="198"/>
      <c r="FL170" s="198"/>
      <c r="FM170" s="198"/>
      <c r="FN170" s="197">
        <v>36985.360999999997</v>
      </c>
      <c r="FO170" s="198">
        <v>8716.5400000000009</v>
      </c>
      <c r="FP170" s="198">
        <v>6313.3389999999999</v>
      </c>
      <c r="FQ170" s="198">
        <v>3292.2460000000001</v>
      </c>
      <c r="FR170" s="198">
        <v>3417.1190000000001</v>
      </c>
      <c r="FS170" s="198"/>
      <c r="FT170" s="199">
        <f t="shared" si="5"/>
        <v>15246.116999999998</v>
      </c>
      <c r="FU170" s="197"/>
      <c r="FV170" s="198"/>
      <c r="FW170" s="198"/>
      <c r="FX170" s="198"/>
      <c r="FY170" s="198"/>
      <c r="FZ170" s="198"/>
      <c r="GA170" s="199"/>
      <c r="GB170" s="197">
        <v>1062.221</v>
      </c>
      <c r="GC170" s="198">
        <v>23.66</v>
      </c>
      <c r="GD170" s="198">
        <v>186.78200000000001</v>
      </c>
      <c r="GE170" s="198">
        <v>236.41900000000001</v>
      </c>
      <c r="GF170" s="198">
        <v>175.32900000000001</v>
      </c>
      <c r="GG170" s="198"/>
      <c r="GH170" s="199">
        <f>GB170-GC170-GD170-GE170-GF170</f>
        <v>440.03099999999989</v>
      </c>
      <c r="GI170" s="197">
        <v>721.29499999999996</v>
      </c>
      <c r="GJ170" s="198">
        <v>19.584</v>
      </c>
      <c r="GK170" s="198">
        <v>131.245</v>
      </c>
      <c r="GL170" s="198">
        <v>226.11699999999999</v>
      </c>
      <c r="GM170" s="198">
        <v>154.52199999999999</v>
      </c>
      <c r="GN170" s="198"/>
      <c r="GO170" s="199">
        <f>GI170-GJ170-GK170-GL170-GM170</f>
        <v>189.82700000000006</v>
      </c>
      <c r="GP170" s="197">
        <v>1692.874</v>
      </c>
      <c r="GQ170" s="198">
        <v>55.485999999999997</v>
      </c>
      <c r="GR170" s="198">
        <v>370.20400000000001</v>
      </c>
      <c r="GS170" s="198">
        <v>319.52999999999997</v>
      </c>
      <c r="GT170" s="198">
        <v>458.41500000000002</v>
      </c>
      <c r="GU170" s="198"/>
      <c r="GV170" s="199">
        <f>GP170-GQ170-GR170-GS170-GT170</f>
        <v>489.23899999999998</v>
      </c>
      <c r="GW170" s="197"/>
      <c r="GX170" s="198"/>
      <c r="GY170" s="198"/>
      <c r="GZ170" s="198"/>
      <c r="HA170" s="198"/>
      <c r="HB170" s="198"/>
      <c r="HC170" s="199"/>
      <c r="HD170" s="197">
        <f>'[2]t&amp;t'!W302</f>
        <v>14621.400000000001</v>
      </c>
      <c r="HE170" s="198">
        <f>'[2]t&amp;t'!X302</f>
        <v>1944.8000000000002</v>
      </c>
      <c r="HF170" s="198">
        <f>'[2]t&amp;t'!Y302</f>
        <v>1714.9</v>
      </c>
      <c r="HG170" s="198">
        <f>'[2]t&amp;t'!Z302</f>
        <v>755.8</v>
      </c>
      <c r="HH170" s="198">
        <f>'[2]t&amp;t'!AA302</f>
        <v>5464</v>
      </c>
      <c r="HI170" s="198"/>
      <c r="HJ170" s="199">
        <f>'[2]t&amp;t'!AC302</f>
        <v>4741.9000000000005</v>
      </c>
      <c r="HK170" s="197"/>
      <c r="HL170" s="198"/>
      <c r="HM170" s="198"/>
      <c r="HN170" s="198"/>
      <c r="HO170" s="198"/>
      <c r="HP170" s="198"/>
      <c r="HQ170" s="198"/>
      <c r="HR170" s="197"/>
      <c r="HT170" s="198"/>
      <c r="HU170" s="198"/>
      <c r="HV170" s="198"/>
      <c r="HW170" s="198"/>
      <c r="HX170" s="198"/>
    </row>
    <row r="171" spans="1:233">
      <c r="A171" s="185" t="s">
        <v>498</v>
      </c>
      <c r="B171" s="197"/>
      <c r="C171" s="198"/>
      <c r="D171" s="198"/>
      <c r="E171" s="198"/>
      <c r="F171" s="198"/>
      <c r="G171" s="198"/>
      <c r="H171" s="199"/>
      <c r="I171" s="197">
        <v>66362.2</v>
      </c>
      <c r="J171" s="198"/>
      <c r="K171" s="198"/>
      <c r="L171" s="198">
        <v>16555.400000000001</v>
      </c>
      <c r="M171" s="198">
        <v>4866.7</v>
      </c>
      <c r="N171" s="198"/>
      <c r="O171" s="199">
        <f>[3]arg!$G37</f>
        <v>33312.5</v>
      </c>
      <c r="P171" s="198"/>
      <c r="Q171" s="198"/>
      <c r="R171" s="198"/>
      <c r="S171" s="198"/>
      <c r="T171" s="198"/>
      <c r="U171" s="198"/>
      <c r="V171" s="199"/>
      <c r="W171" s="198">
        <v>2740.7089999999998</v>
      </c>
      <c r="X171" s="198">
        <v>87.572000000000003</v>
      </c>
      <c r="Y171" s="198">
        <v>591.92099999999994</v>
      </c>
      <c r="Z171" s="198">
        <v>240.46799999999999</v>
      </c>
      <c r="AA171" s="198">
        <v>1170.289</v>
      </c>
      <c r="AB171" s="198"/>
      <c r="AC171" s="199">
        <f t="shared" si="3"/>
        <v>650.45899999999983</v>
      </c>
      <c r="AD171" s="198"/>
      <c r="AE171" s="198">
        <v>42.396000000000001</v>
      </c>
      <c r="AF171" s="198">
        <v>181.11799999999999</v>
      </c>
      <c r="AG171" s="198">
        <v>214.57300000000001</v>
      </c>
      <c r="AH171" s="198">
        <v>170.684</v>
      </c>
      <c r="AI171" s="198"/>
      <c r="AJ171" s="198"/>
      <c r="AK171" s="197"/>
      <c r="AL171" s="198"/>
      <c r="AM171" s="198"/>
      <c r="AN171" s="198"/>
      <c r="AO171" s="198"/>
      <c r="AP171" s="198"/>
      <c r="AQ171" s="199"/>
      <c r="AR171" s="198">
        <v>343567.09405180003</v>
      </c>
      <c r="AS171" s="198">
        <v>103195.24991578</v>
      </c>
      <c r="AT171" s="198">
        <v>36721.151899399993</v>
      </c>
      <c r="AU171" s="198">
        <v>23755.543652530003</v>
      </c>
      <c r="AV171" s="198">
        <v>78979.241474630006</v>
      </c>
      <c r="AW171" s="198"/>
      <c r="AX171" s="198">
        <v>100915.90710946002</v>
      </c>
      <c r="AY171" s="197">
        <v>30804943.007199999</v>
      </c>
      <c r="AZ171" s="198"/>
      <c r="BA171" s="198">
        <v>23532402.910399999</v>
      </c>
      <c r="BB171" s="198">
        <v>4979737.8493999997</v>
      </c>
      <c r="BC171" s="198">
        <v>2292802.2474000002</v>
      </c>
      <c r="BD171" s="198"/>
      <c r="BE171" s="198"/>
      <c r="BF171" s="197">
        <v>47953292.269999988</v>
      </c>
      <c r="BG171" s="198"/>
      <c r="BH171" s="198">
        <v>27857859.889999997</v>
      </c>
      <c r="BI171" s="198">
        <v>12562151.239999996</v>
      </c>
      <c r="BJ171" s="198">
        <v>7533281.1400000015</v>
      </c>
      <c r="BK171" s="198">
        <v>0</v>
      </c>
      <c r="BL171" s="198"/>
      <c r="BM171" s="197">
        <v>1489282.8319999999</v>
      </c>
      <c r="BN171" s="198">
        <v>142784.18599999999</v>
      </c>
      <c r="BO171" s="198">
        <v>244739.1</v>
      </c>
      <c r="BP171" s="198">
        <v>316803.54800000001</v>
      </c>
      <c r="BQ171" s="198">
        <v>414942.93800000002</v>
      </c>
      <c r="BR171" s="198"/>
      <c r="BS171" s="198">
        <f t="shared" si="2"/>
        <v>370013.05999999982</v>
      </c>
      <c r="BT171" s="197"/>
      <c r="BU171" s="198"/>
      <c r="BV171" s="198"/>
      <c r="BW171" s="198"/>
      <c r="BX171" s="198"/>
      <c r="BY171" s="198"/>
      <c r="BZ171" s="198"/>
      <c r="CA171" s="197"/>
      <c r="CB171" s="198"/>
      <c r="CC171" s="198"/>
      <c r="CD171" s="198"/>
      <c r="CE171" s="198"/>
      <c r="CF171" s="198"/>
      <c r="CG171" s="198"/>
      <c r="CH171" s="197"/>
      <c r="CI171" s="198"/>
      <c r="CJ171" s="198"/>
      <c r="CK171" s="198"/>
      <c r="CL171" s="198"/>
      <c r="CM171" s="198"/>
      <c r="CN171" s="198"/>
      <c r="CO171" s="197"/>
      <c r="CP171" s="198"/>
      <c r="CQ171" s="198"/>
      <c r="CR171" s="198"/>
      <c r="CS171" s="198"/>
      <c r="CT171" s="198"/>
      <c r="CU171" s="198"/>
      <c r="CV171" s="197"/>
      <c r="CW171" s="198"/>
      <c r="CX171" s="198"/>
      <c r="CY171" s="198"/>
      <c r="CZ171" s="198"/>
      <c r="DA171" s="198"/>
      <c r="DB171" s="198"/>
      <c r="DC171" s="197"/>
      <c r="DD171" s="198"/>
      <c r="DE171" s="198"/>
      <c r="DF171" s="198"/>
      <c r="DG171" s="198"/>
      <c r="DH171" s="198"/>
      <c r="DI171" s="198"/>
      <c r="DJ171" s="197">
        <f>877.6+51210.2</f>
        <v>52087.799999999996</v>
      </c>
      <c r="DK171" s="198">
        <f>175.5+15614.6</f>
        <v>15790.1</v>
      </c>
      <c r="DL171" s="198">
        <f>1875.4+10320.6</f>
        <v>12196</v>
      </c>
      <c r="DM171" s="198">
        <v>5078.3</v>
      </c>
      <c r="DN171" s="198">
        <f>8709.7-DM171</f>
        <v>3631.4000000000005</v>
      </c>
      <c r="DO171" s="198"/>
      <c r="DP171" s="198">
        <f t="shared" si="4"/>
        <v>15391.999999999993</v>
      </c>
      <c r="DQ171" s="197"/>
      <c r="DR171" s="198"/>
      <c r="DS171" s="198"/>
      <c r="DT171" s="198"/>
      <c r="DU171" s="198"/>
      <c r="DV171" s="198"/>
      <c r="DW171" s="198"/>
      <c r="DX171" s="197">
        <v>42821.17858</v>
      </c>
      <c r="DY171" s="198"/>
      <c r="DZ171" s="198">
        <v>32134.06784</v>
      </c>
      <c r="EA171" s="198">
        <v>5364.9406799999997</v>
      </c>
      <c r="EB171" s="198">
        <v>3226.0684500000002</v>
      </c>
      <c r="EC171" s="198"/>
      <c r="ED171" s="198">
        <v>2096.1015900000002</v>
      </c>
      <c r="EE171" s="197"/>
      <c r="EF171" s="198"/>
      <c r="EG171" s="198"/>
      <c r="EH171" s="198"/>
      <c r="EI171" s="198"/>
      <c r="EJ171" s="198"/>
      <c r="EK171" s="199"/>
      <c r="EL171" s="197">
        <v>1000177.373394</v>
      </c>
      <c r="EM171" s="198">
        <v>325139.46241000004</v>
      </c>
      <c r="EN171" s="198">
        <v>13287.572633</v>
      </c>
      <c r="EO171" s="198">
        <v>135059.60504900001</v>
      </c>
      <c r="EP171" s="198">
        <v>51474.13593400002</v>
      </c>
      <c r="EQ171" s="198"/>
      <c r="ER171" s="199">
        <v>474296.77494699991</v>
      </c>
      <c r="ES171" s="197"/>
      <c r="ET171" s="198"/>
      <c r="EU171" s="198"/>
      <c r="EV171" s="198"/>
      <c r="EW171" s="198"/>
      <c r="EX171" s="198"/>
      <c r="EY171" s="199"/>
      <c r="EZ171" s="198"/>
      <c r="FA171" s="198"/>
      <c r="FB171" s="198"/>
      <c r="FC171" s="198"/>
      <c r="FD171" s="198"/>
      <c r="FE171" s="198"/>
      <c r="FF171" s="198"/>
      <c r="FG171" s="197"/>
      <c r="FH171" s="198"/>
      <c r="FI171" s="198"/>
      <c r="FJ171" s="198"/>
      <c r="FK171" s="198"/>
      <c r="FL171" s="198"/>
      <c r="FM171" s="198"/>
      <c r="FN171" s="197">
        <v>36616.097000000002</v>
      </c>
      <c r="FO171" s="198">
        <v>8513.2610000000004</v>
      </c>
      <c r="FP171" s="198">
        <v>6577.1589999999997</v>
      </c>
      <c r="FQ171" s="198">
        <v>3258.0509999999999</v>
      </c>
      <c r="FR171" s="198">
        <v>3357.2730000000001</v>
      </c>
      <c r="FS171" s="198"/>
      <c r="FT171" s="199">
        <f t="shared" si="5"/>
        <v>14910.352999999999</v>
      </c>
      <c r="FU171" s="197"/>
      <c r="FV171" s="198"/>
      <c r="FW171" s="198"/>
      <c r="FX171" s="198"/>
      <c r="FY171" s="198"/>
      <c r="FZ171" s="198"/>
      <c r="GA171" s="199"/>
      <c r="GB171" s="197"/>
      <c r="GC171" s="198"/>
      <c r="GD171" s="198"/>
      <c r="GE171" s="198"/>
      <c r="GF171" s="198"/>
      <c r="GG171" s="198"/>
      <c r="GH171" s="199"/>
      <c r="GI171" s="197"/>
      <c r="GJ171" s="198"/>
      <c r="GK171" s="198"/>
      <c r="GL171" s="198"/>
      <c r="GM171" s="198"/>
      <c r="GN171" s="198"/>
      <c r="GO171" s="199"/>
      <c r="GP171" s="197"/>
      <c r="GQ171" s="198"/>
      <c r="GR171" s="198"/>
      <c r="GS171" s="198"/>
      <c r="GT171" s="198"/>
      <c r="GU171" s="198"/>
      <c r="GV171" s="199"/>
      <c r="GW171" s="197"/>
      <c r="GX171" s="198"/>
      <c r="GY171" s="198"/>
      <c r="GZ171" s="198"/>
      <c r="HA171" s="198"/>
      <c r="HB171" s="198"/>
      <c r="HC171" s="199"/>
      <c r="HD171" s="197"/>
      <c r="HE171" s="198"/>
      <c r="HF171" s="198"/>
      <c r="HG171" s="198"/>
      <c r="HH171" s="198"/>
      <c r="HI171" s="198"/>
      <c r="HJ171" s="199"/>
      <c r="HK171" s="197"/>
      <c r="HL171" s="198"/>
      <c r="HM171" s="198"/>
      <c r="HN171" s="198"/>
      <c r="HO171" s="198"/>
      <c r="HP171" s="198"/>
      <c r="HQ171" s="198"/>
      <c r="HR171" s="197"/>
      <c r="HT171" s="198"/>
      <c r="HU171" s="198"/>
      <c r="HV171" s="198"/>
      <c r="HW171" s="198"/>
      <c r="HX171" s="198"/>
    </row>
    <row r="172" spans="1:233">
      <c r="A172" s="185" t="s">
        <v>499</v>
      </c>
      <c r="B172" s="197"/>
      <c r="C172" s="198"/>
      <c r="D172" s="198"/>
      <c r="E172" s="198"/>
      <c r="F172" s="198"/>
      <c r="G172" s="198"/>
      <c r="H172" s="199"/>
      <c r="I172" s="197">
        <v>70798.8</v>
      </c>
      <c r="J172" s="198"/>
      <c r="K172" s="198"/>
      <c r="L172" s="198">
        <v>16472.3</v>
      </c>
      <c r="M172" s="198">
        <v>4750.8999999999996</v>
      </c>
      <c r="N172" s="198"/>
      <c r="O172" s="199">
        <f>[3]arg!$G38</f>
        <v>32344</v>
      </c>
      <c r="P172" s="198"/>
      <c r="Q172" s="198"/>
      <c r="R172" s="198"/>
      <c r="S172" s="198"/>
      <c r="T172" s="198"/>
      <c r="U172" s="198"/>
      <c r="V172" s="199"/>
      <c r="W172" s="198">
        <v>2736.8110000000001</v>
      </c>
      <c r="X172" s="198">
        <v>92.445999999999998</v>
      </c>
      <c r="Y172" s="198">
        <v>574.49599999999998</v>
      </c>
      <c r="Z172" s="198">
        <v>225.648</v>
      </c>
      <c r="AA172" s="198">
        <v>1182.434</v>
      </c>
      <c r="AB172" s="198"/>
      <c r="AC172" s="199">
        <f t="shared" si="3"/>
        <v>661.78700000000026</v>
      </c>
      <c r="AD172" s="198"/>
      <c r="AE172" s="198">
        <v>46.058999999999997</v>
      </c>
      <c r="AF172" s="198">
        <v>183.06400000000002</v>
      </c>
      <c r="AG172" s="198">
        <v>214.73400000000001</v>
      </c>
      <c r="AH172" s="198">
        <v>173.16300000000001</v>
      </c>
      <c r="AI172" s="198"/>
      <c r="AJ172" s="198"/>
      <c r="AK172" s="197"/>
      <c r="AL172" s="198"/>
      <c r="AM172" s="198"/>
      <c r="AN172" s="198"/>
      <c r="AO172" s="198"/>
      <c r="AP172" s="198"/>
      <c r="AQ172" s="199"/>
      <c r="AR172" s="198">
        <v>345007.86552902003</v>
      </c>
      <c r="AS172" s="198">
        <v>101221.34420616001</v>
      </c>
      <c r="AT172" s="198">
        <v>36995.567375060004</v>
      </c>
      <c r="AU172" s="198">
        <v>23896.445014680001</v>
      </c>
      <c r="AV172" s="198">
        <v>80231.615101360003</v>
      </c>
      <c r="AW172" s="198"/>
      <c r="AX172" s="198">
        <v>102662.89383176003</v>
      </c>
      <c r="AY172" s="197">
        <v>30596324.8347</v>
      </c>
      <c r="AZ172" s="198"/>
      <c r="BA172" s="198">
        <v>23262015.934700001</v>
      </c>
      <c r="BB172" s="198">
        <v>5030974.7346000001</v>
      </c>
      <c r="BC172" s="198">
        <v>2303334.1653999998</v>
      </c>
      <c r="BD172" s="198"/>
      <c r="BE172" s="198"/>
      <c r="BF172" s="197">
        <v>48184606.640000008</v>
      </c>
      <c r="BG172" s="198"/>
      <c r="BH172" s="198">
        <v>28006404.809999999</v>
      </c>
      <c r="BI172" s="198">
        <v>12503749.810000002</v>
      </c>
      <c r="BJ172" s="198">
        <v>7674452.0200000014</v>
      </c>
      <c r="BK172" s="198">
        <v>0</v>
      </c>
      <c r="BL172" s="198"/>
      <c r="BM172" s="197">
        <v>1525037.412</v>
      </c>
      <c r="BN172" s="198">
        <v>143142.109</v>
      </c>
      <c r="BO172" s="198">
        <v>252685.48800000001</v>
      </c>
      <c r="BP172" s="198">
        <v>337747.73800000001</v>
      </c>
      <c r="BQ172" s="198">
        <v>432043.74699999997</v>
      </c>
      <c r="BR172" s="198"/>
      <c r="BS172" s="198">
        <f t="shared" si="2"/>
        <v>359418.33000000007</v>
      </c>
      <c r="BT172" s="197"/>
      <c r="BU172" s="198"/>
      <c r="BV172" s="198"/>
      <c r="BW172" s="198"/>
      <c r="BX172" s="198"/>
      <c r="BY172" s="198"/>
      <c r="BZ172" s="198"/>
      <c r="CA172" s="197"/>
      <c r="CB172" s="198"/>
      <c r="CC172" s="198"/>
      <c r="CD172" s="198"/>
      <c r="CE172" s="198"/>
      <c r="CF172" s="198"/>
      <c r="CG172" s="198"/>
      <c r="CH172" s="197"/>
      <c r="CI172" s="198"/>
      <c r="CJ172" s="198"/>
      <c r="CK172" s="198"/>
      <c r="CL172" s="198"/>
      <c r="CM172" s="198"/>
      <c r="CN172" s="198"/>
      <c r="CO172" s="197"/>
      <c r="CP172" s="198"/>
      <c r="CQ172" s="198"/>
      <c r="CR172" s="198"/>
      <c r="CS172" s="198"/>
      <c r="CT172" s="198"/>
      <c r="CU172" s="198"/>
      <c r="CV172" s="197"/>
      <c r="CW172" s="198"/>
      <c r="CX172" s="198"/>
      <c r="CY172" s="198"/>
      <c r="CZ172" s="198"/>
      <c r="DA172" s="198"/>
      <c r="DB172" s="198"/>
      <c r="DC172" s="197"/>
      <c r="DD172" s="198"/>
      <c r="DE172" s="198"/>
      <c r="DF172" s="198"/>
      <c r="DG172" s="198"/>
      <c r="DH172" s="198"/>
      <c r="DI172" s="198"/>
      <c r="DJ172" s="197">
        <f>604.8+51663.3</f>
        <v>52268.100000000006</v>
      </c>
      <c r="DK172" s="198">
        <f>175.5+15588</f>
        <v>15763.5</v>
      </c>
      <c r="DL172" s="198">
        <f>1887.1+10302.3</f>
        <v>12189.4</v>
      </c>
      <c r="DM172" s="198">
        <v>3497.1</v>
      </c>
      <c r="DN172" s="198">
        <f>9364.3-DM172</f>
        <v>5867.1999999999989</v>
      </c>
      <c r="DO172" s="198"/>
      <c r="DP172" s="198">
        <f t="shared" si="4"/>
        <v>14950.900000000009</v>
      </c>
      <c r="DQ172" s="197"/>
      <c r="DR172" s="198"/>
      <c r="DS172" s="198"/>
      <c r="DT172" s="198"/>
      <c r="DU172" s="198"/>
      <c r="DV172" s="198"/>
      <c r="DW172" s="198"/>
      <c r="DX172" s="197">
        <v>43237.382579999998</v>
      </c>
      <c r="DY172" s="198"/>
      <c r="DZ172" s="198">
        <v>32627.223389999999</v>
      </c>
      <c r="EA172" s="198">
        <v>5257.6204200000002</v>
      </c>
      <c r="EB172" s="198">
        <v>3326.1411800000001</v>
      </c>
      <c r="EC172" s="198"/>
      <c r="ED172" s="198">
        <v>2026.3976</v>
      </c>
      <c r="EE172" s="197"/>
      <c r="EF172" s="198"/>
      <c r="EG172" s="198"/>
      <c r="EH172" s="198"/>
      <c r="EI172" s="198"/>
      <c r="EJ172" s="198"/>
      <c r="EK172" s="199"/>
      <c r="EL172" s="197">
        <v>992667.96301400044</v>
      </c>
      <c r="EM172" s="198">
        <v>321990.76239099994</v>
      </c>
      <c r="EN172" s="198">
        <v>15280.71391</v>
      </c>
      <c r="EO172" s="198">
        <v>132842.03773899999</v>
      </c>
      <c r="EP172" s="198">
        <v>54397.376398000008</v>
      </c>
      <c r="EQ172" s="198"/>
      <c r="ER172" s="199">
        <v>467992.66682400007</v>
      </c>
      <c r="ES172" s="197"/>
      <c r="ET172" s="198"/>
      <c r="EU172" s="198"/>
      <c r="EV172" s="198"/>
      <c r="EW172" s="198"/>
      <c r="EX172" s="198"/>
      <c r="EY172" s="199"/>
      <c r="EZ172" s="198"/>
      <c r="FA172" s="198"/>
      <c r="FB172" s="198"/>
      <c r="FC172" s="198"/>
      <c r="FD172" s="198"/>
      <c r="FE172" s="198"/>
      <c r="FF172" s="198"/>
      <c r="FG172" s="197"/>
      <c r="FH172" s="198"/>
      <c r="FI172" s="198"/>
      <c r="FJ172" s="198"/>
      <c r="FK172" s="198"/>
      <c r="FL172" s="198"/>
      <c r="FM172" s="198"/>
      <c r="FN172" s="197">
        <v>36475.868999999999</v>
      </c>
      <c r="FO172" s="198">
        <v>8649.7990000000009</v>
      </c>
      <c r="FP172" s="198">
        <v>6690.2110000000002</v>
      </c>
      <c r="FQ172" s="198">
        <v>3276.2939999999999</v>
      </c>
      <c r="FR172" s="198">
        <v>3377.317</v>
      </c>
      <c r="FS172" s="198"/>
      <c r="FT172" s="199">
        <f t="shared" si="5"/>
        <v>14482.247999999996</v>
      </c>
      <c r="FU172" s="197"/>
      <c r="FV172" s="198"/>
      <c r="FW172" s="198"/>
      <c r="FX172" s="198"/>
      <c r="FY172" s="198"/>
      <c r="FZ172" s="198"/>
      <c r="GA172" s="199"/>
      <c r="GB172" s="197"/>
      <c r="GC172" s="198"/>
      <c r="GD172" s="198"/>
      <c r="GE172" s="198"/>
      <c r="GF172" s="198"/>
      <c r="GG172" s="198"/>
      <c r="GH172" s="199"/>
      <c r="GI172" s="197"/>
      <c r="GJ172" s="198"/>
      <c r="GK172" s="198"/>
      <c r="GL172" s="198"/>
      <c r="GM172" s="198"/>
      <c r="GN172" s="198"/>
      <c r="GO172" s="199"/>
      <c r="GP172" s="197"/>
      <c r="GQ172" s="198"/>
      <c r="GR172" s="198"/>
      <c r="GS172" s="198"/>
      <c r="GT172" s="198"/>
      <c r="GU172" s="198"/>
      <c r="GV172" s="199"/>
      <c r="GW172" s="197"/>
      <c r="GX172" s="198"/>
      <c r="GY172" s="198"/>
      <c r="GZ172" s="198"/>
      <c r="HA172" s="198"/>
      <c r="HB172" s="198"/>
      <c r="HC172" s="199"/>
      <c r="HD172" s="197"/>
      <c r="HE172" s="198"/>
      <c r="HF172" s="198"/>
      <c r="HG172" s="198"/>
      <c r="HH172" s="198"/>
      <c r="HI172" s="198"/>
      <c r="HJ172" s="199"/>
      <c r="HK172" s="197"/>
      <c r="HL172" s="198"/>
      <c r="HM172" s="198"/>
      <c r="HN172" s="198"/>
      <c r="HO172" s="198"/>
      <c r="HP172" s="198"/>
      <c r="HQ172" s="198"/>
      <c r="HR172" s="197"/>
      <c r="HT172" s="198"/>
      <c r="HU172" s="198"/>
      <c r="HV172" s="198"/>
      <c r="HW172" s="198"/>
      <c r="HX172" s="198"/>
    </row>
    <row r="173" spans="1:233">
      <c r="A173" s="202" t="s">
        <v>500</v>
      </c>
      <c r="B173" s="203">
        <v>1699.921</v>
      </c>
      <c r="C173" s="204">
        <v>51.347999999999999</v>
      </c>
      <c r="D173" s="204">
        <v>369.78800000000001</v>
      </c>
      <c r="E173" s="204">
        <v>387.714</v>
      </c>
      <c r="F173" s="204">
        <v>351.21800000000002</v>
      </c>
      <c r="G173" s="204"/>
      <c r="H173" s="205">
        <v>539.85299999999995</v>
      </c>
      <c r="I173" s="203">
        <v>70175.600000000006</v>
      </c>
      <c r="J173" s="204"/>
      <c r="K173" s="204"/>
      <c r="L173" s="204">
        <v>16037</v>
      </c>
      <c r="M173" s="204">
        <v>4529.8</v>
      </c>
      <c r="N173" s="204"/>
      <c r="O173" s="205">
        <f>[3]arg!$G39</f>
        <v>31427.7</v>
      </c>
      <c r="P173" s="204">
        <v>4025.0050000000001</v>
      </c>
      <c r="Q173" s="204">
        <v>67.461000000000013</v>
      </c>
      <c r="R173" s="204">
        <v>487.50200000000001</v>
      </c>
      <c r="S173" s="204">
        <v>355.27</v>
      </c>
      <c r="T173" s="204">
        <v>2440.9459999999999</v>
      </c>
      <c r="U173" s="204"/>
      <c r="V173" s="205">
        <v>673.82599999999979</v>
      </c>
      <c r="W173" s="204">
        <v>2732.4870000000001</v>
      </c>
      <c r="X173" s="204">
        <v>92.558999999999997</v>
      </c>
      <c r="Y173" s="204">
        <v>578.25099999999998</v>
      </c>
      <c r="Z173" s="204">
        <v>228.23</v>
      </c>
      <c r="AA173" s="204">
        <v>1183.1189999999999</v>
      </c>
      <c r="AB173" s="204"/>
      <c r="AC173" s="205">
        <f t="shared" si="3"/>
        <v>650.32799999999975</v>
      </c>
      <c r="AD173" s="204">
        <f>[1]datos!$S305</f>
        <v>1055.1860000000001</v>
      </c>
      <c r="AE173" s="204">
        <v>44.284999999999997</v>
      </c>
      <c r="AF173" s="204">
        <v>182.53400000000002</v>
      </c>
      <c r="AG173" s="204">
        <v>216.697</v>
      </c>
      <c r="AH173" s="204">
        <v>172.99799999999999</v>
      </c>
      <c r="AI173" s="204">
        <f>[1]datos!$U305</f>
        <v>266.64400000000001</v>
      </c>
      <c r="AJ173" s="204">
        <f>AD173-AE173-AF173-AG173-AH173-AI173</f>
        <v>172.02800000000019</v>
      </c>
      <c r="AK173" s="203">
        <v>24906.551624260002</v>
      </c>
      <c r="AL173" s="204"/>
      <c r="AM173" s="204"/>
      <c r="AN173" s="204"/>
      <c r="AO173" s="204"/>
      <c r="AP173" s="204"/>
      <c r="AQ173" s="205"/>
      <c r="AR173" s="204">
        <v>336376.15211985994</v>
      </c>
      <c r="AS173" s="204">
        <v>98797.656767919994</v>
      </c>
      <c r="AT173" s="204">
        <v>36380.947950699992</v>
      </c>
      <c r="AU173" s="204">
        <v>23941.471642230001</v>
      </c>
      <c r="AV173" s="204">
        <v>80359.014033139989</v>
      </c>
      <c r="AW173" s="204"/>
      <c r="AX173" s="204">
        <v>96897.061725869935</v>
      </c>
      <c r="AY173" s="203">
        <v>30270626.424699999</v>
      </c>
      <c r="AZ173" s="204"/>
      <c r="BA173" s="204">
        <v>22920510.322499998</v>
      </c>
      <c r="BB173" s="204">
        <v>5023355.5</v>
      </c>
      <c r="BC173" s="204">
        <v>2326760.6022000001</v>
      </c>
      <c r="BD173" s="204"/>
      <c r="BE173" s="204"/>
      <c r="BF173" s="203">
        <v>47928810.790000007</v>
      </c>
      <c r="BG173" s="204"/>
      <c r="BH173" s="204">
        <v>27846660.610000003</v>
      </c>
      <c r="BI173" s="204">
        <v>12412908.6</v>
      </c>
      <c r="BJ173" s="204">
        <v>7669241.5799999991</v>
      </c>
      <c r="BK173" s="204">
        <v>0</v>
      </c>
      <c r="BL173" s="204"/>
      <c r="BM173" s="203">
        <v>1571588.304</v>
      </c>
      <c r="BN173" s="204">
        <v>150667.851</v>
      </c>
      <c r="BO173" s="204">
        <v>260358.595</v>
      </c>
      <c r="BP173" s="204">
        <v>348745.44699999999</v>
      </c>
      <c r="BQ173" s="204">
        <v>445362.21299999999</v>
      </c>
      <c r="BR173" s="204"/>
      <c r="BS173" s="204">
        <f t="shared" si="2"/>
        <v>366454.19800000009</v>
      </c>
      <c r="BT173" s="203"/>
      <c r="BU173" s="204"/>
      <c r="BV173" s="204"/>
      <c r="BW173" s="204"/>
      <c r="BX173" s="204"/>
      <c r="BY173" s="204"/>
      <c r="BZ173" s="204"/>
      <c r="CA173" s="203">
        <v>546.75300000000004</v>
      </c>
      <c r="CB173" s="204">
        <v>24.265999999999998</v>
      </c>
      <c r="CC173" s="204">
        <v>101.33</v>
      </c>
      <c r="CD173" s="204">
        <v>129.76900000000001</v>
      </c>
      <c r="CE173" s="204">
        <v>100.982</v>
      </c>
      <c r="CF173" s="204"/>
      <c r="CG173" s="204">
        <f>CA173-CB173-CC173-CD173-CE173</f>
        <v>190.40600000000009</v>
      </c>
      <c r="CH173" s="203"/>
      <c r="CI173" s="204"/>
      <c r="CJ173" s="204"/>
      <c r="CK173" s="204"/>
      <c r="CL173" s="204"/>
      <c r="CM173" s="204"/>
      <c r="CN173" s="204"/>
      <c r="CO173" s="203"/>
      <c r="CP173" s="204"/>
      <c r="CQ173" s="204"/>
      <c r="CR173" s="204"/>
      <c r="CS173" s="204"/>
      <c r="CT173" s="204"/>
      <c r="CU173" s="204"/>
      <c r="CV173" s="203">
        <v>1064.328</v>
      </c>
      <c r="CW173" s="204">
        <v>32.085999999999999</v>
      </c>
      <c r="CX173" s="204">
        <v>162.40700000000001</v>
      </c>
      <c r="CY173" s="204">
        <v>340.52100000000002</v>
      </c>
      <c r="CZ173" s="204">
        <v>238.08500000000001</v>
      </c>
      <c r="DA173" s="204"/>
      <c r="DB173" s="204">
        <f>CV173-CW173-CX173-CY173-CZ173</f>
        <v>291.22899999999981</v>
      </c>
      <c r="DC173" s="203"/>
      <c r="DD173" s="204"/>
      <c r="DE173" s="204"/>
      <c r="DF173" s="204"/>
      <c r="DG173" s="204"/>
      <c r="DH173" s="204"/>
      <c r="DI173" s="204"/>
      <c r="DJ173" s="203">
        <f>852.8+50277.9</f>
        <v>51130.700000000004</v>
      </c>
      <c r="DK173" s="204">
        <f>179.2+15079.7</f>
        <v>15258.900000000001</v>
      </c>
      <c r="DL173" s="204">
        <f>1651.2+10091.9</f>
        <v>11743.1</v>
      </c>
      <c r="DM173" s="204">
        <v>3177.6</v>
      </c>
      <c r="DN173" s="204">
        <f>8761.5-DM173</f>
        <v>5583.9</v>
      </c>
      <c r="DO173" s="204"/>
      <c r="DP173" s="204">
        <f t="shared" si="4"/>
        <v>15367.200000000004</v>
      </c>
      <c r="DQ173" s="203"/>
      <c r="DR173" s="204"/>
      <c r="DS173" s="204"/>
      <c r="DT173" s="204"/>
      <c r="DU173" s="204"/>
      <c r="DV173" s="204"/>
      <c r="DW173" s="204"/>
      <c r="DX173" s="203">
        <v>44499.081590000002</v>
      </c>
      <c r="DY173" s="204"/>
      <c r="DZ173" s="204">
        <v>33878.55661</v>
      </c>
      <c r="EA173" s="204">
        <v>5112.5499199999995</v>
      </c>
      <c r="EB173" s="204">
        <v>3444.6701400000002</v>
      </c>
      <c r="EC173" s="204"/>
      <c r="ED173" s="204">
        <v>2063.3049299999998</v>
      </c>
      <c r="EE173" s="203">
        <v>49035.097999999998</v>
      </c>
      <c r="EF173" s="204">
        <v>3119.261</v>
      </c>
      <c r="EG173" s="204">
        <v>8480.4290000000001</v>
      </c>
      <c r="EH173" s="204">
        <v>2339.3589999999999</v>
      </c>
      <c r="EI173" s="204">
        <v>13832.394</v>
      </c>
      <c r="EJ173" s="204"/>
      <c r="EK173" s="204">
        <f>EE173-EF173-EG173-EH173-EI173</f>
        <v>21263.654999999999</v>
      </c>
      <c r="EL173" s="203">
        <v>973314.29742700001</v>
      </c>
      <c r="EM173" s="204">
        <v>301243.36929300003</v>
      </c>
      <c r="EN173" s="204">
        <v>17389.488548999998</v>
      </c>
      <c r="EO173" s="204">
        <v>129611.90193200001</v>
      </c>
      <c r="EP173" s="204">
        <v>56711.253724999995</v>
      </c>
      <c r="EQ173" s="204"/>
      <c r="ER173" s="204">
        <v>468182.77054399997</v>
      </c>
      <c r="ES173" s="203">
        <v>9935.1239874973799</v>
      </c>
      <c r="ET173" s="204">
        <v>1142.5115808400001</v>
      </c>
      <c r="EU173" s="204">
        <v>2383.8525564699999</v>
      </c>
      <c r="EV173" s="204">
        <v>805.31417370999998</v>
      </c>
      <c r="EW173" s="204">
        <v>2952.2502684000001</v>
      </c>
      <c r="EX173" s="204"/>
      <c r="EY173" s="204">
        <f>ES173-ET173-EU173-EV173-EW173</f>
        <v>2651.1954080773803</v>
      </c>
      <c r="EZ173" s="203">
        <v>12222</v>
      </c>
      <c r="FA173" s="204">
        <v>684</v>
      </c>
      <c r="FB173" s="204">
        <v>3861</v>
      </c>
      <c r="FC173" s="204">
        <v>2889</v>
      </c>
      <c r="FD173" s="204">
        <v>2390</v>
      </c>
      <c r="FE173" s="204"/>
      <c r="FF173" s="204">
        <f>EZ173-FA173-FB173-FC173-FD173</f>
        <v>2398</v>
      </c>
      <c r="FG173" s="203"/>
      <c r="FH173" s="204"/>
      <c r="FI173" s="204"/>
      <c r="FJ173" s="204"/>
      <c r="FK173" s="204"/>
      <c r="FL173" s="204"/>
      <c r="FM173" s="204"/>
      <c r="FN173" s="203">
        <v>37103.330999999998</v>
      </c>
      <c r="FO173" s="204">
        <v>8495.9629999999997</v>
      </c>
      <c r="FP173" s="204">
        <v>6733.5619999999999</v>
      </c>
      <c r="FQ173" s="204">
        <v>3576.241</v>
      </c>
      <c r="FR173" s="204">
        <v>3199.4479999999999</v>
      </c>
      <c r="FS173" s="204"/>
      <c r="FT173" s="205">
        <f t="shared" si="5"/>
        <v>15098.116999999998</v>
      </c>
      <c r="FU173" s="203"/>
      <c r="FV173" s="204"/>
      <c r="FW173" s="204"/>
      <c r="FX173" s="204"/>
      <c r="FY173" s="204"/>
      <c r="FZ173" s="204"/>
      <c r="GA173" s="205"/>
      <c r="GB173" s="203">
        <v>1045.6980000000001</v>
      </c>
      <c r="GC173" s="204">
        <v>22.847999999999999</v>
      </c>
      <c r="GD173" s="204">
        <v>176.578</v>
      </c>
      <c r="GE173" s="204">
        <v>234.822</v>
      </c>
      <c r="GF173" s="204">
        <v>181.78299999999999</v>
      </c>
      <c r="GG173" s="204"/>
      <c r="GH173" s="205">
        <f>GB173-GC173-GD173-GE173-GF173</f>
        <v>429.66700000000014</v>
      </c>
      <c r="GI173" s="203">
        <v>711.71</v>
      </c>
      <c r="GJ173" s="204">
        <v>18.896999999999998</v>
      </c>
      <c r="GK173" s="204">
        <v>133.583</v>
      </c>
      <c r="GL173" s="204">
        <v>231.185</v>
      </c>
      <c r="GM173" s="204">
        <v>156.11500000000001</v>
      </c>
      <c r="GN173" s="204"/>
      <c r="GO173" s="205">
        <f>GI173-GJ173-GK173-GL173-GM173</f>
        <v>171.93</v>
      </c>
      <c r="GP173" s="203">
        <v>1709.232</v>
      </c>
      <c r="GQ173" s="204">
        <v>53.811999999999998</v>
      </c>
      <c r="GR173" s="204">
        <v>371.529</v>
      </c>
      <c r="GS173" s="204">
        <v>319.50599999999997</v>
      </c>
      <c r="GT173" s="204">
        <v>473.58800000000002</v>
      </c>
      <c r="GU173" s="204"/>
      <c r="GV173" s="205">
        <f>GP173-GQ173-GR173-GS173-GT173</f>
        <v>490.79700000000008</v>
      </c>
      <c r="GW173" s="203"/>
      <c r="GX173" s="204"/>
      <c r="GY173" s="204"/>
      <c r="GZ173" s="204"/>
      <c r="HA173" s="204"/>
      <c r="HB173" s="204"/>
      <c r="HC173" s="205"/>
      <c r="HD173" s="203">
        <f>'[2]t&amp;t'!W305</f>
        <v>14777.7</v>
      </c>
      <c r="HE173" s="204">
        <f>'[2]t&amp;t'!X305</f>
        <v>1702.8999999999999</v>
      </c>
      <c r="HF173" s="204">
        <f>'[2]t&amp;t'!Y305</f>
        <v>1525.5</v>
      </c>
      <c r="HG173" s="204">
        <f>'[2]t&amp;t'!Z305</f>
        <v>761.4</v>
      </c>
      <c r="HH173" s="204">
        <f>'[2]t&amp;t'!AA305</f>
        <v>5671.5999999999995</v>
      </c>
      <c r="HI173" s="204"/>
      <c r="HJ173" s="205">
        <f>'[2]t&amp;t'!AC305</f>
        <v>5116.3</v>
      </c>
      <c r="HK173" s="203"/>
      <c r="HL173" s="204"/>
      <c r="HM173" s="204"/>
      <c r="HN173" s="204"/>
      <c r="HO173" s="204"/>
      <c r="HP173" s="204"/>
      <c r="HQ173" s="204"/>
      <c r="HR173" s="203">
        <v>10493.366</v>
      </c>
      <c r="HS173" s="206"/>
      <c r="HT173" s="204">
        <v>7247.0609999999997</v>
      </c>
      <c r="HU173" s="204">
        <v>621.23500000000001</v>
      </c>
      <c r="HV173" s="204">
        <v>1747.5239999999999</v>
      </c>
      <c r="HW173" s="204"/>
      <c r="HX173" s="204">
        <v>877.54600000000005</v>
      </c>
      <c r="HY173" s="198"/>
    </row>
    <row r="174" spans="1:233">
      <c r="A174" s="185" t="s">
        <v>669</v>
      </c>
      <c r="B174" s="197"/>
      <c r="C174" s="198"/>
      <c r="D174" s="198"/>
      <c r="E174" s="198"/>
      <c r="F174" s="198"/>
      <c r="G174" s="198"/>
      <c r="H174" s="199"/>
      <c r="I174" s="197">
        <v>76711.899999999994</v>
      </c>
      <c r="J174" s="198"/>
      <c r="K174" s="198"/>
      <c r="L174" s="198">
        <v>15842.9</v>
      </c>
      <c r="M174" s="198">
        <v>4394.1000000000004</v>
      </c>
      <c r="N174" s="198"/>
      <c r="O174" s="199">
        <f>[3]arg!$G40</f>
        <v>32019.200000000001</v>
      </c>
      <c r="P174" s="198">
        <v>4077.9739999999997</v>
      </c>
      <c r="Q174" s="198">
        <v>68.231999999999999</v>
      </c>
      <c r="R174" s="198">
        <v>491.34199999999998</v>
      </c>
      <c r="S174" s="198">
        <v>344.822</v>
      </c>
      <c r="T174" s="198">
        <v>2444.8200000000002</v>
      </c>
      <c r="U174" s="198"/>
      <c r="V174" s="199">
        <v>728.7579999999997</v>
      </c>
      <c r="W174" s="198">
        <v>2756.33</v>
      </c>
      <c r="X174" s="198">
        <v>93.432000000000002</v>
      </c>
      <c r="Y174" s="198">
        <v>581.71600000000001</v>
      </c>
      <c r="Z174" s="198">
        <v>223.88900000000001</v>
      </c>
      <c r="AA174" s="198">
        <v>1180.7929999999999</v>
      </c>
      <c r="AB174" s="198"/>
      <c r="AC174" s="199">
        <f t="shared" si="3"/>
        <v>676.50000000000023</v>
      </c>
      <c r="AD174" s="198"/>
      <c r="AE174" s="198">
        <v>43.753999999999998</v>
      </c>
      <c r="AF174" s="198">
        <v>186.77200000000002</v>
      </c>
      <c r="AG174" s="198">
        <v>228.07900000000001</v>
      </c>
      <c r="AH174" s="198">
        <v>170.28100000000001</v>
      </c>
      <c r="AI174" s="198"/>
      <c r="AJ174" s="198"/>
      <c r="AK174" s="197"/>
      <c r="AL174" s="198"/>
      <c r="AM174" s="198"/>
      <c r="AN174" s="198"/>
      <c r="AO174" s="198"/>
      <c r="AP174" s="198"/>
      <c r="AQ174" s="199"/>
      <c r="AR174" s="198">
        <v>337735.26652306999</v>
      </c>
      <c r="AS174" s="198">
        <v>99100.805690469992</v>
      </c>
      <c r="AT174" s="198">
        <v>36182.747549839994</v>
      </c>
      <c r="AU174" s="198">
        <v>24029.81474247</v>
      </c>
      <c r="AV174" s="198">
        <v>81485.724285010001</v>
      </c>
      <c r="AW174" s="198"/>
      <c r="AX174" s="198">
        <v>96936.174255280013</v>
      </c>
      <c r="AY174" s="197">
        <v>30612137.829300001</v>
      </c>
      <c r="AZ174" s="198"/>
      <c r="BA174" s="198">
        <v>23239900.050900005</v>
      </c>
      <c r="BB174" s="198">
        <v>5035086.5330999997</v>
      </c>
      <c r="BC174" s="198">
        <v>2337151.2453000001</v>
      </c>
      <c r="BD174" s="198"/>
      <c r="BE174" s="198"/>
      <c r="BF174" s="197">
        <v>47319768.490000002</v>
      </c>
      <c r="BG174" s="198"/>
      <c r="BH174" s="198">
        <v>27970778.309999999</v>
      </c>
      <c r="BI174" s="198">
        <v>12166379.59</v>
      </c>
      <c r="BJ174" s="198">
        <v>6916455.419999999</v>
      </c>
      <c r="BK174" s="198">
        <v>266155.17</v>
      </c>
      <c r="BL174" s="198"/>
      <c r="BM174" s="197">
        <v>1610735.2120000001</v>
      </c>
      <c r="BN174" s="198">
        <v>155862.18100000001</v>
      </c>
      <c r="BO174" s="198">
        <v>267007.78200000001</v>
      </c>
      <c r="BP174" s="198">
        <v>356075.18</v>
      </c>
      <c r="BQ174" s="198">
        <v>456746.53100000002</v>
      </c>
      <c r="BR174" s="198"/>
      <c r="BS174" s="198">
        <f t="shared" si="2"/>
        <v>375043.53800000018</v>
      </c>
      <c r="BT174" s="197"/>
      <c r="BU174" s="198"/>
      <c r="BV174" s="198"/>
      <c r="BW174" s="198"/>
      <c r="BX174" s="198"/>
      <c r="BY174" s="198"/>
      <c r="BZ174" s="198"/>
      <c r="CA174" s="197"/>
      <c r="CB174" s="198"/>
      <c r="CC174" s="198"/>
      <c r="CD174" s="198"/>
      <c r="CE174" s="198"/>
      <c r="CF174" s="198"/>
      <c r="CG174" s="198"/>
      <c r="CH174" s="197"/>
      <c r="CI174" s="198"/>
      <c r="CJ174" s="198"/>
      <c r="CK174" s="198"/>
      <c r="CL174" s="198"/>
      <c r="CM174" s="198"/>
      <c r="CN174" s="198"/>
      <c r="CO174" s="197"/>
      <c r="CP174" s="198"/>
      <c r="CQ174" s="198"/>
      <c r="CR174" s="198"/>
      <c r="CS174" s="198"/>
      <c r="CT174" s="198"/>
      <c r="CU174" s="198"/>
      <c r="CV174" s="197"/>
      <c r="CW174" s="198"/>
      <c r="CX174" s="198"/>
      <c r="CY174" s="198"/>
      <c r="CZ174" s="198"/>
      <c r="DA174" s="198"/>
      <c r="DB174" s="198"/>
      <c r="DC174" s="197"/>
      <c r="DD174" s="198"/>
      <c r="DE174" s="198"/>
      <c r="DF174" s="198"/>
      <c r="DG174" s="198"/>
      <c r="DH174" s="198"/>
      <c r="DI174" s="198"/>
      <c r="DJ174" s="197">
        <f>745.6+50184.1</f>
        <v>50929.7</v>
      </c>
      <c r="DK174" s="198">
        <f>178.7+15094.4</f>
        <v>15273.1</v>
      </c>
      <c r="DL174" s="198">
        <f>1770+9952.8</f>
        <v>11722.8</v>
      </c>
      <c r="DM174" s="198">
        <v>3586</v>
      </c>
      <c r="DN174" s="198">
        <f>8681.6-DM174</f>
        <v>5095.6000000000004</v>
      </c>
      <c r="DO174" s="198"/>
      <c r="DP174" s="198">
        <f t="shared" si="4"/>
        <v>15252.199999999997</v>
      </c>
      <c r="DQ174" s="197"/>
      <c r="DR174" s="198"/>
      <c r="DS174" s="198"/>
      <c r="DT174" s="198"/>
      <c r="DU174" s="198"/>
      <c r="DV174" s="198"/>
      <c r="DW174" s="198"/>
      <c r="DX174" s="197">
        <v>43456.73373</v>
      </c>
      <c r="DY174" s="198"/>
      <c r="DZ174" s="198">
        <v>32948.096440000001</v>
      </c>
      <c r="EA174" s="198">
        <v>4957.6767900000004</v>
      </c>
      <c r="EB174" s="198">
        <v>3391.8990199999998</v>
      </c>
      <c r="EC174" s="198"/>
      <c r="ED174" s="198">
        <v>2159.06149</v>
      </c>
      <c r="EE174" s="197"/>
      <c r="EF174" s="198"/>
      <c r="EG174" s="198"/>
      <c r="EH174" s="198"/>
      <c r="EI174" s="198"/>
      <c r="EJ174" s="198"/>
      <c r="EK174" s="199"/>
      <c r="EL174" s="197">
        <v>956089.66596799996</v>
      </c>
      <c r="EM174" s="198">
        <v>292189.50045799999</v>
      </c>
      <c r="EN174" s="198">
        <v>12446.292672</v>
      </c>
      <c r="EO174" s="198">
        <v>128608.53296499999</v>
      </c>
      <c r="EP174" s="198">
        <v>55177.530250000003</v>
      </c>
      <c r="EQ174" s="198"/>
      <c r="ER174" s="199">
        <v>467519.24984900001</v>
      </c>
      <c r="ES174" s="197">
        <v>10113.9158193</v>
      </c>
      <c r="ET174" s="198">
        <v>1094.65487424</v>
      </c>
      <c r="EU174" s="198">
        <v>2258.572334</v>
      </c>
      <c r="EV174" s="198">
        <v>804.99095496999996</v>
      </c>
      <c r="EW174" s="198">
        <v>2965.7930802999999</v>
      </c>
      <c r="EX174" s="198"/>
      <c r="EY174" s="199">
        <f>ES174-ET174-EU174-EV174-EW174</f>
        <v>2989.9045757899994</v>
      </c>
      <c r="EZ174" s="198"/>
      <c r="FA174" s="198"/>
      <c r="FB174" s="198"/>
      <c r="FC174" s="198"/>
      <c r="FD174" s="198"/>
      <c r="FE174" s="198"/>
      <c r="FF174" s="198"/>
      <c r="FG174" s="197"/>
      <c r="FH174" s="198"/>
      <c r="FI174" s="198"/>
      <c r="FJ174" s="198"/>
      <c r="FK174" s="198"/>
      <c r="FL174" s="198"/>
      <c r="FM174" s="198"/>
      <c r="FN174" s="197">
        <v>36667.678999999996</v>
      </c>
      <c r="FO174" s="198">
        <v>8717.7569999999996</v>
      </c>
      <c r="FP174" s="198">
        <v>6610.6239999999998</v>
      </c>
      <c r="FQ174" s="198">
        <v>3600.72</v>
      </c>
      <c r="FR174" s="198">
        <v>3202.3820000000001</v>
      </c>
      <c r="FS174" s="198"/>
      <c r="FT174" s="199">
        <f>FN174-SUM(FO174:FR174)</f>
        <v>14536.195999999996</v>
      </c>
      <c r="FU174" s="197"/>
      <c r="FV174" s="198"/>
      <c r="FW174" s="198"/>
      <c r="FX174" s="198"/>
      <c r="FY174" s="198"/>
      <c r="FZ174" s="198"/>
      <c r="GA174" s="199"/>
      <c r="GB174" s="197"/>
      <c r="GC174" s="198"/>
      <c r="GD174" s="198"/>
      <c r="GE174" s="198"/>
      <c r="GF174" s="198"/>
      <c r="GG174" s="198"/>
      <c r="GH174" s="199"/>
      <c r="GI174" s="197"/>
      <c r="GJ174" s="198"/>
      <c r="GK174" s="198"/>
      <c r="GL174" s="198"/>
      <c r="GM174" s="198"/>
      <c r="GN174" s="198"/>
      <c r="GO174" s="199"/>
      <c r="GP174" s="197"/>
      <c r="GQ174" s="198"/>
      <c r="GR174" s="198"/>
      <c r="GS174" s="198"/>
      <c r="GT174" s="198"/>
      <c r="GU174" s="198"/>
      <c r="GV174" s="199"/>
      <c r="GW174" s="197"/>
      <c r="GX174" s="198"/>
      <c r="GY174" s="198"/>
      <c r="GZ174" s="198"/>
      <c r="HA174" s="198"/>
      <c r="HB174" s="198"/>
      <c r="HC174" s="199"/>
      <c r="HD174" s="197"/>
      <c r="HE174" s="198"/>
      <c r="HF174" s="198"/>
      <c r="HG174" s="198"/>
      <c r="HH174" s="198"/>
      <c r="HI174" s="198"/>
      <c r="HJ174" s="199"/>
      <c r="HK174" s="197"/>
      <c r="HL174" s="198"/>
      <c r="HM174" s="198"/>
      <c r="HN174" s="198"/>
      <c r="HO174" s="198"/>
      <c r="HP174" s="198"/>
      <c r="HQ174" s="198"/>
      <c r="HR174" s="197"/>
      <c r="HT174" s="201"/>
      <c r="HU174" s="201"/>
      <c r="HV174" s="201"/>
      <c r="HW174" s="201"/>
      <c r="HX174" s="198"/>
    </row>
    <row r="175" spans="1:233">
      <c r="A175" s="185" t="s">
        <v>490</v>
      </c>
      <c r="B175" s="197"/>
      <c r="C175" s="198"/>
      <c r="D175" s="198"/>
      <c r="E175" s="198"/>
      <c r="F175" s="198"/>
      <c r="G175" s="198"/>
      <c r="H175" s="199"/>
      <c r="I175" s="197">
        <v>75917.8</v>
      </c>
      <c r="J175" s="198"/>
      <c r="K175" s="198"/>
      <c r="L175" s="198">
        <v>15770.9</v>
      </c>
      <c r="M175" s="198">
        <v>4227.3</v>
      </c>
      <c r="N175" s="198"/>
      <c r="O175" s="199">
        <f>[3]arg!$G41</f>
        <v>31191.399999999998</v>
      </c>
      <c r="P175" s="198">
        <v>4069.3780000000002</v>
      </c>
      <c r="Q175" s="198">
        <v>67.756</v>
      </c>
      <c r="R175" s="198">
        <v>486.30500000000001</v>
      </c>
      <c r="S175" s="198">
        <v>340.70800000000003</v>
      </c>
      <c r="T175" s="198">
        <v>2428.7069999999999</v>
      </c>
      <c r="U175" s="198"/>
      <c r="V175" s="199">
        <v>745.90200000000038</v>
      </c>
      <c r="W175" s="198">
        <v>2761.0250000000001</v>
      </c>
      <c r="X175" s="198">
        <v>87.096999999999994</v>
      </c>
      <c r="Y175" s="198">
        <v>578.55300000000011</v>
      </c>
      <c r="Z175" s="198">
        <v>222.648</v>
      </c>
      <c r="AA175" s="198">
        <v>1185.5619999999999</v>
      </c>
      <c r="AB175" s="198"/>
      <c r="AC175" s="199">
        <f t="shared" si="3"/>
        <v>687.16500000000019</v>
      </c>
      <c r="AD175" s="198"/>
      <c r="AE175" s="198">
        <v>45.331000000000003</v>
      </c>
      <c r="AF175" s="198">
        <v>188.417</v>
      </c>
      <c r="AG175" s="198">
        <v>228.55500000000001</v>
      </c>
      <c r="AH175" s="198">
        <v>172.953</v>
      </c>
      <c r="AI175" s="198"/>
      <c r="AJ175" s="198"/>
      <c r="AK175" s="197"/>
      <c r="AL175" s="198"/>
      <c r="AM175" s="198"/>
      <c r="AN175" s="198"/>
      <c r="AO175" s="198"/>
      <c r="AP175" s="198"/>
      <c r="AQ175" s="199"/>
      <c r="AR175" s="198">
        <v>340039.89654452004</v>
      </c>
      <c r="AS175" s="198">
        <v>100712.28992174</v>
      </c>
      <c r="AT175" s="198">
        <v>35964.486914149995</v>
      </c>
      <c r="AU175" s="198">
        <v>24013.151199490003</v>
      </c>
      <c r="AV175" s="198">
        <v>82201.540578810003</v>
      </c>
      <c r="AW175" s="198"/>
      <c r="AX175" s="198">
        <v>97148.427930330014</v>
      </c>
      <c r="AY175" s="197">
        <v>30510391.396000002</v>
      </c>
      <c r="AZ175" s="198"/>
      <c r="BA175" s="198">
        <v>23133252.297900002</v>
      </c>
      <c r="BB175" s="198">
        <v>5038447.8715000004</v>
      </c>
      <c r="BC175" s="198">
        <v>2338691.2266000002</v>
      </c>
      <c r="BD175" s="198"/>
      <c r="BE175" s="198"/>
      <c r="BF175" s="197">
        <v>47542946.190000005</v>
      </c>
      <c r="BG175" s="198"/>
      <c r="BH175" s="198">
        <v>28190688.18</v>
      </c>
      <c r="BI175" s="198">
        <v>12110038.98</v>
      </c>
      <c r="BJ175" s="198">
        <v>6975077.21</v>
      </c>
      <c r="BK175" s="198">
        <v>267141.82</v>
      </c>
      <c r="BL175" s="198"/>
      <c r="BM175" s="197">
        <v>1625324.105</v>
      </c>
      <c r="BN175" s="198">
        <v>154411.95199999999</v>
      </c>
      <c r="BO175" s="198">
        <v>272287.77899999998</v>
      </c>
      <c r="BP175" s="198">
        <v>360260.799</v>
      </c>
      <c r="BQ175" s="198">
        <v>461397.72600000002</v>
      </c>
      <c r="BR175" s="198"/>
      <c r="BS175" s="198">
        <f t="shared" si="2"/>
        <v>376965.84899999993</v>
      </c>
      <c r="BT175" s="197"/>
      <c r="BU175" s="198"/>
      <c r="BV175" s="198"/>
      <c r="BW175" s="198"/>
      <c r="BX175" s="198"/>
      <c r="BY175" s="198"/>
      <c r="BZ175" s="198"/>
      <c r="CA175" s="197"/>
      <c r="CB175" s="198"/>
      <c r="CC175" s="198"/>
      <c r="CD175" s="198"/>
      <c r="CE175" s="198"/>
      <c r="CF175" s="198"/>
      <c r="CG175" s="198"/>
      <c r="CH175" s="197"/>
      <c r="CI175" s="198"/>
      <c r="CJ175" s="198"/>
      <c r="CK175" s="198"/>
      <c r="CL175" s="198"/>
      <c r="CM175" s="198"/>
      <c r="CN175" s="198"/>
      <c r="CO175" s="197"/>
      <c r="CP175" s="198"/>
      <c r="CQ175" s="198"/>
      <c r="CR175" s="198"/>
      <c r="CS175" s="198"/>
      <c r="CT175" s="198"/>
      <c r="CU175" s="198"/>
      <c r="CV175" s="197"/>
      <c r="CW175" s="198"/>
      <c r="CX175" s="198"/>
      <c r="CY175" s="198"/>
      <c r="CZ175" s="198"/>
      <c r="DA175" s="198"/>
      <c r="DB175" s="198"/>
      <c r="DC175" s="197"/>
      <c r="DD175" s="198"/>
      <c r="DE175" s="198"/>
      <c r="DF175" s="198"/>
      <c r="DG175" s="198"/>
      <c r="DH175" s="198"/>
      <c r="DI175" s="198"/>
      <c r="DJ175" s="197">
        <f>858.6+50189.3</f>
        <v>51047.9</v>
      </c>
      <c r="DK175" s="198">
        <f>179.5+15047</f>
        <v>15226.5</v>
      </c>
      <c r="DL175" s="198">
        <f>1720.8+10072.1</f>
        <v>11792.9</v>
      </c>
      <c r="DM175" s="198">
        <v>3690.3</v>
      </c>
      <c r="DN175" s="198">
        <f>8793.3-DM175</f>
        <v>5102.9999999999991</v>
      </c>
      <c r="DO175" s="198"/>
      <c r="DP175" s="198">
        <f t="shared" si="4"/>
        <v>15235.200000000004</v>
      </c>
      <c r="DQ175" s="197"/>
      <c r="DR175" s="198"/>
      <c r="DS175" s="198"/>
      <c r="DT175" s="198"/>
      <c r="DU175" s="198"/>
      <c r="DV175" s="198"/>
      <c r="DW175" s="198"/>
      <c r="DX175" s="197">
        <v>43263.530740000002</v>
      </c>
      <c r="DY175" s="198"/>
      <c r="DZ175" s="198">
        <v>32748.926199999998</v>
      </c>
      <c r="EA175" s="198">
        <v>4843.1500199999991</v>
      </c>
      <c r="EB175" s="198">
        <v>3411.2022599999996</v>
      </c>
      <c r="EC175" s="198"/>
      <c r="ED175" s="198">
        <v>2260.2522799999997</v>
      </c>
      <c r="EE175" s="197"/>
      <c r="EF175" s="198"/>
      <c r="EG175" s="198"/>
      <c r="EH175" s="198"/>
      <c r="EI175" s="198"/>
      <c r="EJ175" s="198"/>
      <c r="EK175" s="199"/>
      <c r="EL175" s="197">
        <v>953964.83563899994</v>
      </c>
      <c r="EM175" s="198">
        <v>287576.76914299995</v>
      </c>
      <c r="EN175" s="198">
        <v>12817.654876000001</v>
      </c>
      <c r="EO175" s="198">
        <v>128504.99151499999</v>
      </c>
      <c r="EP175" s="198">
        <v>57489.29301400001</v>
      </c>
      <c r="EQ175" s="198"/>
      <c r="ER175" s="199">
        <v>467405.79758499999</v>
      </c>
      <c r="ES175" s="197">
        <v>10166.682261720001</v>
      </c>
      <c r="ET175" s="198">
        <v>1098.38901801</v>
      </c>
      <c r="EU175" s="198">
        <v>2298.26178028</v>
      </c>
      <c r="EV175" s="198">
        <v>816.13481284</v>
      </c>
      <c r="EW175" s="198">
        <v>2977.9762966500002</v>
      </c>
      <c r="EX175" s="198"/>
      <c r="EY175" s="199">
        <f t="shared" ref="EY175:EY238" si="6">ES175-ET175-EU175-EV175-EW175</f>
        <v>2975.9203539400005</v>
      </c>
      <c r="EZ175" s="198"/>
      <c r="FA175" s="198"/>
      <c r="FB175" s="198"/>
      <c r="FC175" s="198"/>
      <c r="FD175" s="198"/>
      <c r="FE175" s="198"/>
      <c r="FF175" s="198"/>
      <c r="FG175" s="197"/>
      <c r="FH175" s="198"/>
      <c r="FI175" s="198"/>
      <c r="FJ175" s="198"/>
      <c r="FK175" s="198"/>
      <c r="FL175" s="198"/>
      <c r="FM175" s="198"/>
      <c r="FN175" s="197">
        <v>37090.152999999998</v>
      </c>
      <c r="FO175" s="198">
        <v>8961.7099999999991</v>
      </c>
      <c r="FP175" s="198">
        <v>6737.9080000000004</v>
      </c>
      <c r="FQ175" s="198">
        <v>3596.8760000000002</v>
      </c>
      <c r="FR175" s="198">
        <v>3173.9630000000002</v>
      </c>
      <c r="FS175" s="198"/>
      <c r="FT175" s="199">
        <f>FN175-SUM(FO175:FR175)</f>
        <v>14619.696</v>
      </c>
      <c r="FU175" s="197"/>
      <c r="FV175" s="198"/>
      <c r="FW175" s="198"/>
      <c r="FX175" s="198"/>
      <c r="FY175" s="198"/>
      <c r="FZ175" s="198"/>
      <c r="GA175" s="199"/>
      <c r="GB175" s="197"/>
      <c r="GC175" s="198"/>
      <c r="GD175" s="198"/>
      <c r="GE175" s="198"/>
      <c r="GF175" s="198"/>
      <c r="GG175" s="198"/>
      <c r="GH175" s="199"/>
      <c r="GI175" s="197"/>
      <c r="GJ175" s="198"/>
      <c r="GK175" s="198"/>
      <c r="GL175" s="198"/>
      <c r="GM175" s="198"/>
      <c r="GN175" s="198"/>
      <c r="GO175" s="199"/>
      <c r="GP175" s="197"/>
      <c r="GQ175" s="198"/>
      <c r="GR175" s="198"/>
      <c r="GS175" s="198"/>
      <c r="GT175" s="198"/>
      <c r="GU175" s="198"/>
      <c r="GV175" s="199"/>
      <c r="GW175" s="197"/>
      <c r="GX175" s="198"/>
      <c r="GY175" s="198"/>
      <c r="GZ175" s="198"/>
      <c r="HA175" s="198"/>
      <c r="HB175" s="198"/>
      <c r="HC175" s="199"/>
      <c r="HD175" s="197"/>
      <c r="HE175" s="198"/>
      <c r="HF175" s="198"/>
      <c r="HG175" s="198"/>
      <c r="HH175" s="198"/>
      <c r="HI175" s="198"/>
      <c r="HJ175" s="199"/>
      <c r="HK175" s="197"/>
      <c r="HL175" s="198"/>
      <c r="HM175" s="198"/>
      <c r="HN175" s="198"/>
      <c r="HO175" s="198"/>
      <c r="HP175" s="198"/>
      <c r="HQ175" s="198"/>
      <c r="HR175" s="197"/>
      <c r="HT175" s="198"/>
      <c r="HU175" s="198"/>
      <c r="HV175" s="198"/>
      <c r="HW175" s="198"/>
      <c r="HX175" s="198"/>
    </row>
    <row r="176" spans="1:233">
      <c r="A176" s="185" t="s">
        <v>491</v>
      </c>
      <c r="B176" s="197">
        <v>1720.1949999999999</v>
      </c>
      <c r="C176" s="198">
        <v>53.125999999999998</v>
      </c>
      <c r="D176" s="198">
        <v>368.73200000000003</v>
      </c>
      <c r="E176" s="198">
        <v>393.74900000000002</v>
      </c>
      <c r="F176" s="198">
        <v>355.73500000000001</v>
      </c>
      <c r="G176" s="198"/>
      <c r="H176" s="199">
        <v>548.85299999999995</v>
      </c>
      <c r="I176" s="197">
        <v>76544.7</v>
      </c>
      <c r="J176" s="198"/>
      <c r="K176" s="198"/>
      <c r="L176" s="198">
        <v>15549.1</v>
      </c>
      <c r="M176" s="198">
        <v>4074.8</v>
      </c>
      <c r="N176" s="198"/>
      <c r="O176" s="199">
        <f>[3]arg!$G42</f>
        <v>32047</v>
      </c>
      <c r="P176" s="198">
        <v>4078.1150000000002</v>
      </c>
      <c r="Q176" s="198">
        <v>67.707999999999998</v>
      </c>
      <c r="R176" s="198">
        <v>480.57</v>
      </c>
      <c r="S176" s="198">
        <v>332.05200000000002</v>
      </c>
      <c r="T176" s="198">
        <v>2443.1770000000001</v>
      </c>
      <c r="U176" s="198"/>
      <c r="V176" s="199">
        <v>754.6080000000004</v>
      </c>
      <c r="W176" s="198">
        <v>2771.4929999999999</v>
      </c>
      <c r="X176" s="198">
        <v>89.028000000000006</v>
      </c>
      <c r="Y176" s="198">
        <v>600.79399999999987</v>
      </c>
      <c r="Z176" s="198">
        <v>226.91900000000001</v>
      </c>
      <c r="AA176" s="198">
        <v>1178.556</v>
      </c>
      <c r="AB176" s="198"/>
      <c r="AC176" s="199">
        <f t="shared" si="3"/>
        <v>676.19600000000014</v>
      </c>
      <c r="AD176" s="198">
        <f>[1]datos!$S308</f>
        <v>1078.6219999999998</v>
      </c>
      <c r="AE176" s="198">
        <v>41.095999999999997</v>
      </c>
      <c r="AF176" s="198">
        <v>188.85399999999998</v>
      </c>
      <c r="AG176" s="198">
        <v>235.46799999999999</v>
      </c>
      <c r="AH176" s="198">
        <v>167.392</v>
      </c>
      <c r="AI176" s="198">
        <f>[1]datos!$U308</f>
        <v>269.94299999999998</v>
      </c>
      <c r="AJ176" s="198">
        <f>AD176-AE176-AF176-AG176-AH176-AI176</f>
        <v>175.86899999999986</v>
      </c>
      <c r="AK176" s="197">
        <v>22870.592711999998</v>
      </c>
      <c r="AL176" s="198"/>
      <c r="AM176" s="198"/>
      <c r="AN176" s="198"/>
      <c r="AO176" s="198"/>
      <c r="AP176" s="198"/>
      <c r="AQ176" s="199"/>
      <c r="AR176" s="198">
        <v>341233.78379502997</v>
      </c>
      <c r="AS176" s="198">
        <v>100529.98330483997</v>
      </c>
      <c r="AT176" s="198">
        <v>36018.855025620003</v>
      </c>
      <c r="AU176" s="198">
        <v>23908.449095470001</v>
      </c>
      <c r="AV176" s="198">
        <v>83095.04300189999</v>
      </c>
      <c r="AW176" s="198"/>
      <c r="AX176" s="198">
        <v>97681.453367200011</v>
      </c>
      <c r="AY176" s="197">
        <v>30435138.602200001</v>
      </c>
      <c r="AZ176" s="198"/>
      <c r="BA176" s="198">
        <v>22949569.300100002</v>
      </c>
      <c r="BB176" s="198">
        <v>5056254.0336999996</v>
      </c>
      <c r="BC176" s="198">
        <v>2429315.2683999999</v>
      </c>
      <c r="BD176" s="198"/>
      <c r="BE176" s="198"/>
      <c r="BF176" s="197">
        <v>47503159.240000002</v>
      </c>
      <c r="BG176" s="198"/>
      <c r="BH176" s="198">
        <v>28263278.990000002</v>
      </c>
      <c r="BI176" s="198">
        <v>12113014.199999999</v>
      </c>
      <c r="BJ176" s="198">
        <v>6829229.8999999994</v>
      </c>
      <c r="BK176" s="198">
        <v>297636.15000000002</v>
      </c>
      <c r="BL176" s="198"/>
      <c r="BM176" s="197">
        <v>1660905.2450000001</v>
      </c>
      <c r="BN176" s="198">
        <v>156126.16399999999</v>
      </c>
      <c r="BO176" s="198">
        <v>285448.93699999998</v>
      </c>
      <c r="BP176" s="198">
        <v>396462.61</v>
      </c>
      <c r="BQ176" s="198">
        <v>441542.80699999997</v>
      </c>
      <c r="BR176" s="198"/>
      <c r="BS176" s="198">
        <f t="shared" si="2"/>
        <v>381324.72700000019</v>
      </c>
      <c r="BT176" s="197"/>
      <c r="BU176" s="198"/>
      <c r="BV176" s="198"/>
      <c r="BW176" s="198"/>
      <c r="BX176" s="198"/>
      <c r="BY176" s="198"/>
      <c r="BZ176" s="198"/>
      <c r="CA176" s="197">
        <v>547.11</v>
      </c>
      <c r="CB176" s="198">
        <v>23.757000000000001</v>
      </c>
      <c r="CC176" s="198">
        <v>99.876999999999995</v>
      </c>
      <c r="CD176" s="198">
        <v>132.67500000000001</v>
      </c>
      <c r="CE176" s="198">
        <v>98.406999999999996</v>
      </c>
      <c r="CF176" s="198"/>
      <c r="CG176" s="198">
        <f>CA176-CB176-CC176-CD176-CE176</f>
        <v>192.39400000000006</v>
      </c>
      <c r="CH176" s="197"/>
      <c r="CI176" s="198"/>
      <c r="CJ176" s="198"/>
      <c r="CK176" s="198"/>
      <c r="CL176" s="198"/>
      <c r="CM176" s="198"/>
      <c r="CN176" s="198"/>
      <c r="CO176" s="197"/>
      <c r="CP176" s="198"/>
      <c r="CQ176" s="198"/>
      <c r="CR176" s="198"/>
      <c r="CS176" s="198"/>
      <c r="CT176" s="198"/>
      <c r="CU176" s="198"/>
      <c r="CV176" s="197">
        <v>1072.404</v>
      </c>
      <c r="CW176" s="198">
        <v>29.808</v>
      </c>
      <c r="CX176" s="198">
        <v>164.90899999999999</v>
      </c>
      <c r="CY176" s="198">
        <v>341.24599999999998</v>
      </c>
      <c r="CZ176" s="198">
        <v>255.036</v>
      </c>
      <c r="DA176" s="198"/>
      <c r="DB176" s="198">
        <f>CV176-CW176-CX176-CY176-CZ176</f>
        <v>281.40500000000003</v>
      </c>
      <c r="DC176" s="197"/>
      <c r="DD176" s="198"/>
      <c r="DE176" s="198"/>
      <c r="DF176" s="198"/>
      <c r="DG176" s="198"/>
      <c r="DH176" s="198"/>
      <c r="DI176" s="198"/>
      <c r="DJ176" s="197">
        <f>747.9+50205.5</f>
        <v>50953.4</v>
      </c>
      <c r="DK176" s="198">
        <f>170.5+14985.1</f>
        <v>15155.6</v>
      </c>
      <c r="DL176" s="198">
        <f>0.3+1773.3+9957.3</f>
        <v>11730.9</v>
      </c>
      <c r="DM176" s="198">
        <v>3700.4</v>
      </c>
      <c r="DN176" s="198">
        <f>9170.7-DM176</f>
        <v>5470.3000000000011</v>
      </c>
      <c r="DO176" s="198"/>
      <c r="DP176" s="198">
        <f t="shared" si="4"/>
        <v>14896.199999999997</v>
      </c>
      <c r="DQ176" s="197"/>
      <c r="DR176" s="198"/>
      <c r="DS176" s="198"/>
      <c r="DT176" s="198"/>
      <c r="DU176" s="198"/>
      <c r="DV176" s="198"/>
      <c r="DW176" s="198"/>
      <c r="DX176" s="197">
        <v>43590.938350000004</v>
      </c>
      <c r="DY176" s="198"/>
      <c r="DZ176" s="198">
        <v>32746.592230000002</v>
      </c>
      <c r="EA176" s="198">
        <v>5110.9106600000005</v>
      </c>
      <c r="EB176" s="198">
        <v>3508.86654</v>
      </c>
      <c r="EC176" s="198"/>
      <c r="ED176" s="198">
        <v>2224.5689300000004</v>
      </c>
      <c r="EE176" s="197"/>
      <c r="EF176" s="198"/>
      <c r="EG176" s="198"/>
      <c r="EH176" s="198"/>
      <c r="EI176" s="198"/>
      <c r="EJ176" s="198"/>
      <c r="EK176" s="199"/>
      <c r="EL176" s="197">
        <v>951893.94987200014</v>
      </c>
      <c r="EM176" s="198">
        <v>285134.12297399994</v>
      </c>
      <c r="EN176" s="198">
        <v>12223.941345000001</v>
      </c>
      <c r="EO176" s="198">
        <v>127960.286909</v>
      </c>
      <c r="EP176" s="198">
        <v>58723.271615999998</v>
      </c>
      <c r="EQ176" s="198"/>
      <c r="ER176" s="199">
        <v>467671.21266100003</v>
      </c>
      <c r="ES176" s="197">
        <v>9889.6258084700094</v>
      </c>
      <c r="ET176" s="198">
        <v>1177.6857414200001</v>
      </c>
      <c r="EU176" s="198">
        <v>2375.7061162</v>
      </c>
      <c r="EV176" s="198">
        <v>849.99275651000005</v>
      </c>
      <c r="EW176" s="198">
        <v>2863.40397433</v>
      </c>
      <c r="EX176" s="198"/>
      <c r="EY176" s="199">
        <f t="shared" si="6"/>
        <v>2622.8372200100093</v>
      </c>
      <c r="EZ176" s="198"/>
      <c r="FA176" s="198"/>
      <c r="FB176" s="198"/>
      <c r="FC176" s="198"/>
      <c r="FD176" s="198"/>
      <c r="FE176" s="198"/>
      <c r="FF176" s="198"/>
      <c r="FG176" s="197"/>
      <c r="FH176" s="198"/>
      <c r="FI176" s="198"/>
      <c r="FJ176" s="198"/>
      <c r="FK176" s="198"/>
      <c r="FL176" s="198"/>
      <c r="FM176" s="198"/>
      <c r="FN176" s="197">
        <v>36761.154999999999</v>
      </c>
      <c r="FO176" s="198">
        <v>8926.4009999999998</v>
      </c>
      <c r="FP176" s="198">
        <v>6611.4059999999999</v>
      </c>
      <c r="FQ176" s="198">
        <v>3583.1260000000002</v>
      </c>
      <c r="FR176" s="198">
        <v>3156.8319999999999</v>
      </c>
      <c r="FS176" s="198"/>
      <c r="FT176" s="199">
        <f t="shared" ref="FT176:FT239" si="7">FN176-SUM(FO176:FR176)</f>
        <v>14483.39</v>
      </c>
      <c r="FU176" s="197"/>
      <c r="FV176" s="198"/>
      <c r="FW176" s="198"/>
      <c r="FX176" s="198"/>
      <c r="FY176" s="198"/>
      <c r="FZ176" s="198"/>
      <c r="GA176" s="199"/>
      <c r="GB176" s="197">
        <v>1040.1310000000001</v>
      </c>
      <c r="GC176" s="198">
        <v>23.006</v>
      </c>
      <c r="GD176" s="198">
        <v>169.02600000000001</v>
      </c>
      <c r="GE176" s="198">
        <v>240.17500000000001</v>
      </c>
      <c r="GF176" s="198">
        <v>182.154</v>
      </c>
      <c r="GG176" s="198"/>
      <c r="GH176" s="199">
        <f>GB176-GC176-GD176-GE176-GF176</f>
        <v>425.77000000000021</v>
      </c>
      <c r="GI176" s="197">
        <v>732.21699999999998</v>
      </c>
      <c r="GJ176" s="198">
        <v>18.754999999999999</v>
      </c>
      <c r="GK176" s="198">
        <v>134.755</v>
      </c>
      <c r="GL176" s="198">
        <v>239.315</v>
      </c>
      <c r="GM176" s="198">
        <v>152.97900000000001</v>
      </c>
      <c r="GN176" s="198"/>
      <c r="GO176" s="199">
        <f>GI176-GJ176-GK176-GL176-GM176</f>
        <v>186.41299999999998</v>
      </c>
      <c r="GP176" s="197">
        <v>1692.232</v>
      </c>
      <c r="GQ176" s="198">
        <v>54.988</v>
      </c>
      <c r="GR176" s="198">
        <v>375.68799999999999</v>
      </c>
      <c r="GS176" s="198">
        <v>321.61799999999999</v>
      </c>
      <c r="GT176" s="198">
        <v>461.10399999999998</v>
      </c>
      <c r="GU176" s="198"/>
      <c r="GV176" s="199">
        <f>GP176-GQ176-GR176-GS176-GT176</f>
        <v>478.83400000000012</v>
      </c>
      <c r="GW176" s="197"/>
      <c r="GX176" s="198"/>
      <c r="GY176" s="198"/>
      <c r="GZ176" s="198"/>
      <c r="HA176" s="198"/>
      <c r="HB176" s="198"/>
      <c r="HC176" s="199"/>
      <c r="HD176" s="197">
        <f>'[2]t&amp;t'!W308</f>
        <v>14785.9</v>
      </c>
      <c r="HE176" s="198">
        <f>'[2]t&amp;t'!X308</f>
        <v>1859.5</v>
      </c>
      <c r="HF176" s="198">
        <f>'[2]t&amp;t'!Y308</f>
        <v>1605.6</v>
      </c>
      <c r="HG176" s="198">
        <f>'[2]t&amp;t'!Z308</f>
        <v>792.1</v>
      </c>
      <c r="HH176" s="198">
        <f>'[2]t&amp;t'!AA308</f>
        <v>5486</v>
      </c>
      <c r="HI176" s="198"/>
      <c r="HJ176" s="199">
        <f>'[2]t&amp;t'!AC308</f>
        <v>5042.7</v>
      </c>
      <c r="HK176" s="197"/>
      <c r="HL176" s="198"/>
      <c r="HM176" s="198"/>
      <c r="HN176" s="198"/>
      <c r="HO176" s="198"/>
      <c r="HP176" s="198"/>
      <c r="HQ176" s="198"/>
      <c r="HR176" s="197"/>
      <c r="HT176" s="198"/>
      <c r="HU176" s="198"/>
      <c r="HV176" s="198"/>
      <c r="HW176" s="198"/>
      <c r="HX176" s="198"/>
    </row>
    <row r="177" spans="1:233">
      <c r="A177" s="185" t="s">
        <v>492</v>
      </c>
      <c r="B177" s="197"/>
      <c r="C177" s="198"/>
      <c r="D177" s="198"/>
      <c r="E177" s="198"/>
      <c r="F177" s="198"/>
      <c r="G177" s="198"/>
      <c r="H177" s="199"/>
      <c r="I177" s="197">
        <v>76326.3</v>
      </c>
      <c r="J177" s="198"/>
      <c r="K177" s="198"/>
      <c r="L177" s="198">
        <v>14680.2</v>
      </c>
      <c r="M177" s="198">
        <v>3926.4</v>
      </c>
      <c r="N177" s="198"/>
      <c r="O177" s="199">
        <f>[3]arg!$G43</f>
        <v>31554.799999999999</v>
      </c>
      <c r="P177" s="198">
        <v>4091.777</v>
      </c>
      <c r="Q177" s="198">
        <v>66.742000000000004</v>
      </c>
      <c r="R177" s="198">
        <v>472.16099999999994</v>
      </c>
      <c r="S177" s="198">
        <v>330.01</v>
      </c>
      <c r="T177" s="198">
        <v>2451.4390000000003</v>
      </c>
      <c r="U177" s="198"/>
      <c r="V177" s="199">
        <v>771.42499999999995</v>
      </c>
      <c r="W177" s="198">
        <v>2754.625</v>
      </c>
      <c r="X177" s="198">
        <v>85.950999999999993</v>
      </c>
      <c r="Y177" s="198">
        <v>587.51200000000006</v>
      </c>
      <c r="Z177" s="198">
        <v>218.935</v>
      </c>
      <c r="AA177" s="198">
        <v>1174.2159999999999</v>
      </c>
      <c r="AB177" s="198"/>
      <c r="AC177" s="199">
        <f t="shared" si="3"/>
        <v>688.01099999999997</v>
      </c>
      <c r="AD177" s="198"/>
      <c r="AE177" s="198">
        <v>47.332000000000001</v>
      </c>
      <c r="AF177" s="198">
        <v>191.31699999999998</v>
      </c>
      <c r="AG177" s="198">
        <v>238.91299999999998</v>
      </c>
      <c r="AH177" s="198">
        <v>178.92</v>
      </c>
      <c r="AI177" s="198"/>
      <c r="AJ177" s="198"/>
      <c r="AK177" s="197"/>
      <c r="AL177" s="198"/>
      <c r="AM177" s="198"/>
      <c r="AN177" s="198"/>
      <c r="AO177" s="198"/>
      <c r="AP177" s="198"/>
      <c r="AQ177" s="199"/>
      <c r="AR177" s="198">
        <v>344648.60943926004</v>
      </c>
      <c r="AS177" s="198">
        <v>99851.711163660002</v>
      </c>
      <c r="AT177" s="198">
        <v>36365.201743230005</v>
      </c>
      <c r="AU177" s="198">
        <v>23877.532099650001</v>
      </c>
      <c r="AV177" s="198">
        <v>85730.145162279994</v>
      </c>
      <c r="AW177" s="198"/>
      <c r="AX177" s="198">
        <v>98824.019270440054</v>
      </c>
      <c r="AY177" s="197">
        <v>30383952.082400002</v>
      </c>
      <c r="AZ177" s="198"/>
      <c r="BA177" s="198">
        <v>22867658.469900005</v>
      </c>
      <c r="BB177" s="198">
        <v>5076302.3125999998</v>
      </c>
      <c r="BC177" s="198">
        <v>2439991.2999</v>
      </c>
      <c r="BD177" s="198"/>
      <c r="BE177" s="198"/>
      <c r="BF177" s="197">
        <v>47543125.120000005</v>
      </c>
      <c r="BG177" s="198"/>
      <c r="BH177" s="198">
        <v>28211357.23</v>
      </c>
      <c r="BI177" s="198">
        <v>12087795.570000002</v>
      </c>
      <c r="BJ177" s="198">
        <v>6941419.3599999994</v>
      </c>
      <c r="BK177" s="198">
        <v>302552.96000000002</v>
      </c>
      <c r="BL177" s="198"/>
      <c r="BM177" s="197">
        <v>1671016.9339999999</v>
      </c>
      <c r="BN177" s="198">
        <v>153095.83799999999</v>
      </c>
      <c r="BO177" s="198">
        <v>292763.21899999998</v>
      </c>
      <c r="BP177" s="198">
        <v>402237.26899999997</v>
      </c>
      <c r="BQ177" s="198">
        <v>453324.951</v>
      </c>
      <c r="BR177" s="198"/>
      <c r="BS177" s="198">
        <f t="shared" si="2"/>
        <v>369595.65700000012</v>
      </c>
      <c r="BT177" s="197"/>
      <c r="BU177" s="198"/>
      <c r="BV177" s="198"/>
      <c r="BW177" s="198"/>
      <c r="BX177" s="198"/>
      <c r="BY177" s="198"/>
      <c r="BZ177" s="198"/>
      <c r="CA177" s="197"/>
      <c r="CB177" s="198"/>
      <c r="CC177" s="198"/>
      <c r="CD177" s="198"/>
      <c r="CE177" s="198"/>
      <c r="CF177" s="198"/>
      <c r="CG177" s="198"/>
      <c r="CH177" s="197"/>
      <c r="CI177" s="198"/>
      <c r="CJ177" s="198"/>
      <c r="CK177" s="198"/>
      <c r="CL177" s="198"/>
      <c r="CM177" s="198"/>
      <c r="CN177" s="198"/>
      <c r="CO177" s="197"/>
      <c r="CP177" s="198"/>
      <c r="CQ177" s="198"/>
      <c r="CR177" s="198"/>
      <c r="CS177" s="198"/>
      <c r="CT177" s="198"/>
      <c r="CU177" s="198"/>
      <c r="CV177" s="197"/>
      <c r="CW177" s="198"/>
      <c r="CX177" s="198"/>
      <c r="CY177" s="198"/>
      <c r="CZ177" s="198"/>
      <c r="DA177" s="198"/>
      <c r="DB177" s="198"/>
      <c r="DC177" s="197"/>
      <c r="DD177" s="198"/>
      <c r="DE177" s="198"/>
      <c r="DF177" s="198"/>
      <c r="DG177" s="198"/>
      <c r="DH177" s="198"/>
      <c r="DI177" s="198"/>
      <c r="DJ177" s="197">
        <f>740.5+50436.2</f>
        <v>51176.7</v>
      </c>
      <c r="DK177" s="198">
        <f>168.9+15054.4</f>
        <v>15223.3</v>
      </c>
      <c r="DL177" s="198">
        <f>1711.7+10078.9</f>
        <v>11790.6</v>
      </c>
      <c r="DM177" s="198">
        <v>3305</v>
      </c>
      <c r="DN177" s="198">
        <f>8990.2-DM177</f>
        <v>5685.2000000000007</v>
      </c>
      <c r="DO177" s="198"/>
      <c r="DP177" s="198">
        <f t="shared" si="4"/>
        <v>15172.599999999991</v>
      </c>
      <c r="DQ177" s="197"/>
      <c r="DR177" s="198"/>
      <c r="DS177" s="198"/>
      <c r="DT177" s="198"/>
      <c r="DU177" s="198"/>
      <c r="DV177" s="198"/>
      <c r="DW177" s="198"/>
      <c r="DX177" s="197">
        <v>43410.499630000006</v>
      </c>
      <c r="DY177" s="198"/>
      <c r="DZ177" s="198">
        <v>32358.695780000002</v>
      </c>
      <c r="EA177" s="198">
        <v>5202.1783700000005</v>
      </c>
      <c r="EB177" s="198">
        <v>3523.8553099999999</v>
      </c>
      <c r="EC177" s="198"/>
      <c r="ED177" s="198">
        <v>2325.7701699999998</v>
      </c>
      <c r="EE177" s="197"/>
      <c r="EF177" s="198"/>
      <c r="EG177" s="198"/>
      <c r="EH177" s="198"/>
      <c r="EI177" s="198"/>
      <c r="EJ177" s="198"/>
      <c r="EK177" s="199"/>
      <c r="EL177" s="197">
        <v>956714.8831930001</v>
      </c>
      <c r="EM177" s="198">
        <v>291512.19975799992</v>
      </c>
      <c r="EN177" s="198">
        <v>12223.258233</v>
      </c>
      <c r="EO177" s="198">
        <v>127693.06943500001</v>
      </c>
      <c r="EP177" s="198">
        <v>60420.828106000008</v>
      </c>
      <c r="EQ177" s="198"/>
      <c r="ER177" s="199">
        <v>464700.28572200006</v>
      </c>
      <c r="ES177" s="197">
        <v>9740.1261083099998</v>
      </c>
      <c r="ET177" s="198">
        <v>1173.4068103100001</v>
      </c>
      <c r="EU177" s="198">
        <v>2322.3582499499998</v>
      </c>
      <c r="EV177" s="198">
        <v>861.62083843999994</v>
      </c>
      <c r="EW177" s="198">
        <v>2774.73988422</v>
      </c>
      <c r="EX177" s="198"/>
      <c r="EY177" s="199">
        <f t="shared" si="6"/>
        <v>2608.0003253900004</v>
      </c>
      <c r="EZ177" s="198"/>
      <c r="FA177" s="198"/>
      <c r="FB177" s="198"/>
      <c r="FC177" s="198"/>
      <c r="FD177" s="198"/>
      <c r="FE177" s="198"/>
      <c r="FF177" s="198"/>
      <c r="FG177" s="197"/>
      <c r="FH177" s="198"/>
      <c r="FI177" s="198"/>
      <c r="FJ177" s="198"/>
      <c r="FK177" s="198"/>
      <c r="FL177" s="198"/>
      <c r="FM177" s="198"/>
      <c r="FN177" s="197">
        <v>36709.474999999999</v>
      </c>
      <c r="FO177" s="198">
        <v>10818.121999999999</v>
      </c>
      <c r="FP177" s="198">
        <v>4227.16</v>
      </c>
      <c r="FQ177" s="198">
        <v>3652.4720000000002</v>
      </c>
      <c r="FR177" s="198">
        <v>3043.6729999999998</v>
      </c>
      <c r="FS177" s="198"/>
      <c r="FT177" s="199">
        <f t="shared" si="7"/>
        <v>14968.047999999999</v>
      </c>
      <c r="FU177" s="197"/>
      <c r="FV177" s="198"/>
      <c r="FW177" s="198"/>
      <c r="FX177" s="198"/>
      <c r="FY177" s="198"/>
      <c r="FZ177" s="198"/>
      <c r="GA177" s="199"/>
      <c r="GB177" s="197"/>
      <c r="GC177" s="198"/>
      <c r="GD177" s="198"/>
      <c r="GE177" s="198"/>
      <c r="GF177" s="198"/>
      <c r="GG177" s="198"/>
      <c r="GH177" s="199"/>
      <c r="GI177" s="197"/>
      <c r="GJ177" s="198"/>
      <c r="GK177" s="198"/>
      <c r="GL177" s="198"/>
      <c r="GM177" s="198"/>
      <c r="GN177" s="198"/>
      <c r="GO177" s="199"/>
      <c r="GP177" s="197"/>
      <c r="GQ177" s="198"/>
      <c r="GR177" s="198"/>
      <c r="GS177" s="198"/>
      <c r="GT177" s="198"/>
      <c r="GU177" s="198"/>
      <c r="GV177" s="199"/>
      <c r="GW177" s="197"/>
      <c r="GX177" s="198"/>
      <c r="GY177" s="198"/>
      <c r="GZ177" s="198"/>
      <c r="HA177" s="198"/>
      <c r="HB177" s="198"/>
      <c r="HC177" s="199"/>
      <c r="HD177" s="197"/>
      <c r="HE177" s="198"/>
      <c r="HF177" s="198"/>
      <c r="HG177" s="198"/>
      <c r="HH177" s="198"/>
      <c r="HI177" s="198"/>
      <c r="HJ177" s="199"/>
      <c r="HK177" s="197"/>
      <c r="HL177" s="198"/>
      <c r="HM177" s="198"/>
      <c r="HN177" s="198"/>
      <c r="HO177" s="198"/>
      <c r="HP177" s="198"/>
      <c r="HQ177" s="198"/>
      <c r="HR177" s="197"/>
      <c r="HT177" s="198"/>
      <c r="HU177" s="198"/>
      <c r="HV177" s="198"/>
      <c r="HW177" s="198"/>
      <c r="HX177" s="198"/>
    </row>
    <row r="178" spans="1:233">
      <c r="A178" s="185" t="s">
        <v>493</v>
      </c>
      <c r="B178" s="197"/>
      <c r="C178" s="198"/>
      <c r="D178" s="198"/>
      <c r="E178" s="198"/>
      <c r="F178" s="198"/>
      <c r="G178" s="198"/>
      <c r="H178" s="199"/>
      <c r="I178" s="197">
        <v>78085.8</v>
      </c>
      <c r="J178" s="198"/>
      <c r="K178" s="198"/>
      <c r="L178" s="198">
        <v>14152.6</v>
      </c>
      <c r="M178" s="198">
        <v>3764.6</v>
      </c>
      <c r="N178" s="198"/>
      <c r="O178" s="199">
        <f>[3]arg!$G44</f>
        <v>31656.799999999999</v>
      </c>
      <c r="P178" s="198">
        <v>4089.7089999999998</v>
      </c>
      <c r="Q178" s="198">
        <v>64.954999999999998</v>
      </c>
      <c r="R178" s="198">
        <v>473.12199999999996</v>
      </c>
      <c r="S178" s="198">
        <v>328.58100000000002</v>
      </c>
      <c r="T178" s="198">
        <v>2475.5639999999999</v>
      </c>
      <c r="U178" s="198"/>
      <c r="V178" s="199">
        <v>747.48700000000008</v>
      </c>
      <c r="W178" s="198">
        <v>2753.4490000000001</v>
      </c>
      <c r="X178" s="198">
        <v>81.906999999999996</v>
      </c>
      <c r="Y178" s="198">
        <v>583.86599999999999</v>
      </c>
      <c r="Z178" s="198">
        <v>220.52199999999999</v>
      </c>
      <c r="AA178" s="198">
        <v>1184.3530000000001</v>
      </c>
      <c r="AB178" s="198"/>
      <c r="AC178" s="199">
        <f t="shared" si="3"/>
        <v>682.80099999999993</v>
      </c>
      <c r="AD178" s="198"/>
      <c r="AE178" s="198">
        <v>46.140999999999998</v>
      </c>
      <c r="AF178" s="198">
        <v>192.21500000000003</v>
      </c>
      <c r="AG178" s="198">
        <v>240.45299999999997</v>
      </c>
      <c r="AH178" s="198">
        <v>180.13200000000001</v>
      </c>
      <c r="AI178" s="198"/>
      <c r="AJ178" s="198"/>
      <c r="AK178" s="197"/>
      <c r="AL178" s="198"/>
      <c r="AM178" s="198"/>
      <c r="AN178" s="198"/>
      <c r="AO178" s="198"/>
      <c r="AP178" s="198"/>
      <c r="AQ178" s="199"/>
      <c r="AR178" s="198">
        <v>349678.04541618994</v>
      </c>
      <c r="AS178" s="198">
        <v>101930.11076125997</v>
      </c>
      <c r="AT178" s="198">
        <v>36903.193503869996</v>
      </c>
      <c r="AU178" s="198">
        <v>24025.932186130005</v>
      </c>
      <c r="AV178" s="198">
        <v>86750.016684350005</v>
      </c>
      <c r="AW178" s="198"/>
      <c r="AX178" s="198">
        <v>100068.79228057998</v>
      </c>
      <c r="AY178" s="197">
        <v>30426294.9219</v>
      </c>
      <c r="AZ178" s="198"/>
      <c r="BA178" s="198">
        <v>22860147.896899998</v>
      </c>
      <c r="BB178" s="198">
        <v>5127029.9835999999</v>
      </c>
      <c r="BC178" s="198">
        <v>2439117.0414</v>
      </c>
      <c r="BD178" s="198"/>
      <c r="BE178" s="198"/>
      <c r="BF178" s="197">
        <v>47380283.260000013</v>
      </c>
      <c r="BG178" s="198"/>
      <c r="BH178" s="198">
        <v>28114104.640000008</v>
      </c>
      <c r="BI178" s="198">
        <v>11788617.320000002</v>
      </c>
      <c r="BJ178" s="198">
        <v>7171003.9800000004</v>
      </c>
      <c r="BK178" s="198">
        <v>306557.32</v>
      </c>
      <c r="BL178" s="198"/>
      <c r="BM178" s="197">
        <v>1717538.5449999999</v>
      </c>
      <c r="BN178" s="198">
        <v>153805.54999999999</v>
      </c>
      <c r="BO178" s="198">
        <v>291386.71500000003</v>
      </c>
      <c r="BP178" s="198">
        <v>418937.47499999998</v>
      </c>
      <c r="BQ178" s="198">
        <v>476391.08</v>
      </c>
      <c r="BR178" s="198"/>
      <c r="BS178" s="198">
        <f t="shared" si="2"/>
        <v>377017.72499999986</v>
      </c>
      <c r="BT178" s="197"/>
      <c r="BU178" s="198"/>
      <c r="BV178" s="198"/>
      <c r="BW178" s="198"/>
      <c r="BX178" s="198"/>
      <c r="BY178" s="198"/>
      <c r="BZ178" s="198"/>
      <c r="CA178" s="197"/>
      <c r="CB178" s="198"/>
      <c r="CC178" s="198"/>
      <c r="CD178" s="198"/>
      <c r="CE178" s="198"/>
      <c r="CF178" s="198"/>
      <c r="CG178" s="198"/>
      <c r="CH178" s="197"/>
      <c r="CI178" s="198"/>
      <c r="CJ178" s="198"/>
      <c r="CK178" s="198"/>
      <c r="CL178" s="198"/>
      <c r="CM178" s="198"/>
      <c r="CN178" s="198"/>
      <c r="CO178" s="197"/>
      <c r="CP178" s="198"/>
      <c r="CQ178" s="198"/>
      <c r="CR178" s="198"/>
      <c r="CS178" s="198"/>
      <c r="CT178" s="198"/>
      <c r="CU178" s="198"/>
      <c r="CV178" s="197"/>
      <c r="CW178" s="198"/>
      <c r="CX178" s="198"/>
      <c r="CY178" s="198"/>
      <c r="CZ178" s="198"/>
      <c r="DA178" s="198"/>
      <c r="DB178" s="198"/>
      <c r="DC178" s="197"/>
      <c r="DD178" s="198"/>
      <c r="DE178" s="198"/>
      <c r="DF178" s="198"/>
      <c r="DG178" s="198"/>
      <c r="DH178" s="198"/>
      <c r="DI178" s="198"/>
      <c r="DJ178" s="197">
        <f>743.4+49820.7</f>
        <v>50564.1</v>
      </c>
      <c r="DK178" s="198">
        <f>168.7+14733.7</f>
        <v>14902.400000000001</v>
      </c>
      <c r="DL178" s="198">
        <f>1757.4+10058.9</f>
        <v>11816.3</v>
      </c>
      <c r="DM178" s="198">
        <v>3440.7</v>
      </c>
      <c r="DN178" s="198">
        <f>8929.6-DM178</f>
        <v>5488.9000000000005</v>
      </c>
      <c r="DO178" s="198"/>
      <c r="DP178" s="198">
        <f t="shared" si="4"/>
        <v>14915.799999999996</v>
      </c>
      <c r="DQ178" s="197"/>
      <c r="DR178" s="198"/>
      <c r="DS178" s="198"/>
      <c r="DT178" s="198"/>
      <c r="DU178" s="198"/>
      <c r="DV178" s="198"/>
      <c r="DW178" s="198"/>
      <c r="DX178" s="197">
        <v>42731.157840000007</v>
      </c>
      <c r="DY178" s="198"/>
      <c r="DZ178" s="198">
        <v>31514.14978</v>
      </c>
      <c r="EA178" s="198">
        <v>5272.96479</v>
      </c>
      <c r="EB178" s="198">
        <v>3583.2867900000001</v>
      </c>
      <c r="EC178" s="198"/>
      <c r="ED178" s="198">
        <v>2360.75648</v>
      </c>
      <c r="EE178" s="197"/>
      <c r="EF178" s="198"/>
      <c r="EG178" s="198"/>
      <c r="EH178" s="198"/>
      <c r="EI178" s="198"/>
      <c r="EJ178" s="198"/>
      <c r="EK178" s="199"/>
      <c r="EL178" s="197">
        <v>954673.50522099982</v>
      </c>
      <c r="EM178" s="198">
        <v>292259.86378999997</v>
      </c>
      <c r="EN178" s="198">
        <v>14935.036717000001</v>
      </c>
      <c r="EO178" s="198">
        <v>127122.166159</v>
      </c>
      <c r="EP178" s="198">
        <v>62376.238384999997</v>
      </c>
      <c r="EQ178" s="198"/>
      <c r="ER178" s="199">
        <v>457792.86530900002</v>
      </c>
      <c r="ES178" s="197">
        <v>10056.226230999999</v>
      </c>
      <c r="ET178" s="198">
        <v>1221.24186444</v>
      </c>
      <c r="EU178" s="198">
        <v>2441.0071938299998</v>
      </c>
      <c r="EV178" s="198">
        <v>876.87758359999998</v>
      </c>
      <c r="EW178" s="198">
        <v>2971.7978603500001</v>
      </c>
      <c r="EX178" s="198"/>
      <c r="EY178" s="199">
        <f t="shared" si="6"/>
        <v>2545.3017287799989</v>
      </c>
      <c r="EZ178" s="198"/>
      <c r="FA178" s="198"/>
      <c r="FB178" s="198"/>
      <c r="FC178" s="198"/>
      <c r="FD178" s="198"/>
      <c r="FE178" s="198"/>
      <c r="FF178" s="198"/>
      <c r="FG178" s="197"/>
      <c r="FH178" s="198"/>
      <c r="FI178" s="198"/>
      <c r="FJ178" s="198"/>
      <c r="FK178" s="198"/>
      <c r="FL178" s="198"/>
      <c r="FM178" s="198"/>
      <c r="FN178" s="197">
        <v>37295.088000000003</v>
      </c>
      <c r="FO178" s="198">
        <v>11096.983</v>
      </c>
      <c r="FP178" s="198">
        <v>4297.6940000000004</v>
      </c>
      <c r="FQ178" s="198">
        <v>3733.277</v>
      </c>
      <c r="FR178" s="198">
        <v>3087.8939999999998</v>
      </c>
      <c r="FS178" s="198"/>
      <c r="FT178" s="199">
        <f t="shared" si="7"/>
        <v>15079.240000000005</v>
      </c>
      <c r="FU178" s="197"/>
      <c r="FV178" s="198"/>
      <c r="FW178" s="198"/>
      <c r="FX178" s="198"/>
      <c r="FY178" s="198"/>
      <c r="FZ178" s="198"/>
      <c r="GA178" s="199"/>
      <c r="GB178" s="197"/>
      <c r="GC178" s="198"/>
      <c r="GD178" s="198"/>
      <c r="GE178" s="198"/>
      <c r="GF178" s="198"/>
      <c r="GG178" s="198"/>
      <c r="GH178" s="199"/>
      <c r="GI178" s="197"/>
      <c r="GJ178" s="198"/>
      <c r="GK178" s="198"/>
      <c r="GL178" s="198"/>
      <c r="GM178" s="198"/>
      <c r="GN178" s="198"/>
      <c r="GO178" s="199"/>
      <c r="GP178" s="197"/>
      <c r="GQ178" s="198"/>
      <c r="GR178" s="198"/>
      <c r="GS178" s="198"/>
      <c r="GT178" s="198"/>
      <c r="GU178" s="198"/>
      <c r="GV178" s="199"/>
      <c r="GW178" s="197"/>
      <c r="GX178" s="198"/>
      <c r="GY178" s="198"/>
      <c r="GZ178" s="198"/>
      <c r="HA178" s="198"/>
      <c r="HB178" s="198"/>
      <c r="HC178" s="199"/>
      <c r="HD178" s="197"/>
      <c r="HE178" s="198"/>
      <c r="HF178" s="198"/>
      <c r="HG178" s="198"/>
      <c r="HH178" s="198"/>
      <c r="HI178" s="198"/>
      <c r="HJ178" s="199"/>
      <c r="HK178" s="197"/>
      <c r="HL178" s="198"/>
      <c r="HM178" s="198"/>
      <c r="HN178" s="198"/>
      <c r="HO178" s="198"/>
      <c r="HP178" s="198"/>
      <c r="HQ178" s="198"/>
      <c r="HR178" s="197"/>
      <c r="HT178" s="198"/>
      <c r="HU178" s="198"/>
      <c r="HV178" s="198"/>
      <c r="HW178" s="198"/>
      <c r="HX178" s="198"/>
    </row>
    <row r="179" spans="1:233">
      <c r="A179" s="185" t="s">
        <v>494</v>
      </c>
      <c r="B179" s="197">
        <v>1762.1780000000001</v>
      </c>
      <c r="C179" s="198">
        <v>57.145000000000003</v>
      </c>
      <c r="D179" s="198">
        <v>374.27300000000002</v>
      </c>
      <c r="E179" s="198">
        <v>387.14699999999999</v>
      </c>
      <c r="F179" s="198">
        <v>374.49400000000003</v>
      </c>
      <c r="G179" s="198"/>
      <c r="H179" s="199">
        <v>569.11900000000003</v>
      </c>
      <c r="I179" s="197">
        <v>77481.8</v>
      </c>
      <c r="J179" s="198"/>
      <c r="K179" s="198"/>
      <c r="L179" s="198">
        <v>13935.7</v>
      </c>
      <c r="M179" s="198">
        <v>3623.7</v>
      </c>
      <c r="N179" s="198"/>
      <c r="O179" s="199">
        <f>[3]arg!$G45</f>
        <v>31304.5</v>
      </c>
      <c r="P179" s="198">
        <v>4171.0720000000001</v>
      </c>
      <c r="Q179" s="198">
        <v>66.39</v>
      </c>
      <c r="R179" s="198">
        <v>472.35400000000004</v>
      </c>
      <c r="S179" s="198">
        <v>327.30399999999997</v>
      </c>
      <c r="T179" s="198">
        <v>2488.8739999999998</v>
      </c>
      <c r="U179" s="198"/>
      <c r="V179" s="199">
        <v>816.14999999999986</v>
      </c>
      <c r="W179" s="198">
        <v>2876.1990000000001</v>
      </c>
      <c r="X179" s="198">
        <v>81.474000000000004</v>
      </c>
      <c r="Y179" s="198">
        <v>588.02299999999991</v>
      </c>
      <c r="Z179" s="198">
        <v>225.3</v>
      </c>
      <c r="AA179" s="198">
        <v>1196.6289999999999</v>
      </c>
      <c r="AB179" s="198"/>
      <c r="AC179" s="199">
        <f t="shared" si="3"/>
        <v>784.77300000000037</v>
      </c>
      <c r="AD179" s="198">
        <f>[1]datos!$S311</f>
        <v>1061.7340000000002</v>
      </c>
      <c r="AE179" s="198">
        <v>45.061999999999998</v>
      </c>
      <c r="AF179" s="198">
        <v>193.452</v>
      </c>
      <c r="AG179" s="198">
        <v>241.24200000000002</v>
      </c>
      <c r="AH179" s="198">
        <v>187.845</v>
      </c>
      <c r="AI179" s="198">
        <f>[1]datos!$U311</f>
        <v>209.36600000000001</v>
      </c>
      <c r="AJ179" s="198">
        <f>AD179-AE179-AF179-AG179-AH179-AI179</f>
        <v>184.76700000000002</v>
      </c>
      <c r="AK179" s="197">
        <v>22949.232</v>
      </c>
      <c r="AL179" s="198"/>
      <c r="AM179" s="198"/>
      <c r="AN179" s="198"/>
      <c r="AO179" s="198"/>
      <c r="AP179" s="198"/>
      <c r="AQ179" s="199"/>
      <c r="AR179" s="198">
        <v>357543.98176013009</v>
      </c>
      <c r="AS179" s="198">
        <v>106338.02542163001</v>
      </c>
      <c r="AT179" s="198">
        <v>38627.637033709994</v>
      </c>
      <c r="AU179" s="198">
        <v>24072.053126750005</v>
      </c>
      <c r="AV179" s="198">
        <v>86581.977501760019</v>
      </c>
      <c r="AW179" s="198"/>
      <c r="AX179" s="198">
        <v>101924.28867628005</v>
      </c>
      <c r="AY179" s="197">
        <v>31000087.5046</v>
      </c>
      <c r="AZ179" s="198"/>
      <c r="BA179" s="198">
        <v>23354975.878899999</v>
      </c>
      <c r="BB179" s="198">
        <v>5188900.2583999997</v>
      </c>
      <c r="BC179" s="198">
        <v>2456211.3673</v>
      </c>
      <c r="BD179" s="198"/>
      <c r="BE179" s="198"/>
      <c r="BF179" s="197">
        <v>47789521.450000003</v>
      </c>
      <c r="BG179" s="198"/>
      <c r="BH179" s="198">
        <v>28543148.780000001</v>
      </c>
      <c r="BI179" s="198">
        <v>11741340.470000001</v>
      </c>
      <c r="BJ179" s="198">
        <v>7197266.8699999992</v>
      </c>
      <c r="BK179" s="198">
        <v>307765.33</v>
      </c>
      <c r="BL179" s="198"/>
      <c r="BM179" s="197">
        <v>1743536.4029999999</v>
      </c>
      <c r="BN179" s="198">
        <v>153583.73699999999</v>
      </c>
      <c r="BO179" s="198">
        <v>292173.94099999999</v>
      </c>
      <c r="BP179" s="198">
        <v>419861.18300000002</v>
      </c>
      <c r="BQ179" s="198">
        <v>493770.505</v>
      </c>
      <c r="BR179" s="198"/>
      <c r="BS179" s="198">
        <f t="shared" si="2"/>
        <v>384147.03700000001</v>
      </c>
      <c r="BT179" s="197"/>
      <c r="BU179" s="198"/>
      <c r="BV179" s="198"/>
      <c r="BW179" s="198"/>
      <c r="BX179" s="198"/>
      <c r="BY179" s="198"/>
      <c r="BZ179" s="198"/>
      <c r="CA179" s="197">
        <v>544.21500000000003</v>
      </c>
      <c r="CB179" s="198">
        <v>21.908000000000001</v>
      </c>
      <c r="CC179" s="198">
        <v>101.212</v>
      </c>
      <c r="CD179" s="198">
        <v>134.05199999999999</v>
      </c>
      <c r="CE179" s="198">
        <v>96.233999999999995</v>
      </c>
      <c r="CF179" s="198"/>
      <c r="CG179" s="198">
        <f>CA179-CB179-CC179-CD179-CE179</f>
        <v>190.80900000000003</v>
      </c>
      <c r="CH179" s="197"/>
      <c r="CI179" s="198"/>
      <c r="CJ179" s="198"/>
      <c r="CK179" s="198"/>
      <c r="CL179" s="198"/>
      <c r="CM179" s="198"/>
      <c r="CN179" s="198"/>
      <c r="CO179" s="197"/>
      <c r="CP179" s="198"/>
      <c r="CQ179" s="198"/>
      <c r="CR179" s="198"/>
      <c r="CS179" s="198"/>
      <c r="CT179" s="198"/>
      <c r="CU179" s="198"/>
      <c r="CV179" s="197">
        <v>1088.3800000000001</v>
      </c>
      <c r="CW179" s="198">
        <v>29.369</v>
      </c>
      <c r="CX179" s="198">
        <v>166.73400000000001</v>
      </c>
      <c r="CY179" s="198">
        <v>340.56299999999999</v>
      </c>
      <c r="CZ179" s="198">
        <v>257.72399999999999</v>
      </c>
      <c r="DA179" s="198"/>
      <c r="DB179" s="198">
        <f>CV179-CW179-CX179-CY179-CZ179</f>
        <v>293.99000000000018</v>
      </c>
      <c r="DC179" s="197"/>
      <c r="DD179" s="198"/>
      <c r="DE179" s="198"/>
      <c r="DF179" s="198"/>
      <c r="DG179" s="198"/>
      <c r="DH179" s="198"/>
      <c r="DI179" s="198"/>
      <c r="DJ179" s="197">
        <f>732.3+48603</f>
        <v>49335.3</v>
      </c>
      <c r="DK179" s="198">
        <f>168.7+14344.7</f>
        <v>14513.400000000001</v>
      </c>
      <c r="DL179" s="198">
        <f>1773.4+10179.6</f>
        <v>11953</v>
      </c>
      <c r="DM179" s="198">
        <v>3657.7</v>
      </c>
      <c r="DN179" s="198">
        <f>8648.1-DM179</f>
        <v>4990.4000000000005</v>
      </c>
      <c r="DO179" s="198"/>
      <c r="DP179" s="198">
        <f t="shared" si="4"/>
        <v>14220.800000000003</v>
      </c>
      <c r="DQ179" s="197"/>
      <c r="DR179" s="198"/>
      <c r="DS179" s="198"/>
      <c r="DT179" s="198"/>
      <c r="DU179" s="198"/>
      <c r="DV179" s="198"/>
      <c r="DW179" s="198"/>
      <c r="DX179" s="197">
        <v>43458.838459999999</v>
      </c>
      <c r="DY179" s="198"/>
      <c r="DZ179" s="198">
        <v>32234.612450000001</v>
      </c>
      <c r="EA179" s="198">
        <v>5475.6609600000002</v>
      </c>
      <c r="EB179" s="198">
        <v>3698.5073600000001</v>
      </c>
      <c r="EC179" s="198"/>
      <c r="ED179" s="198">
        <v>2050.0576799999999</v>
      </c>
      <c r="EE179" s="197"/>
      <c r="EF179" s="198"/>
      <c r="EG179" s="198"/>
      <c r="EH179" s="198"/>
      <c r="EI179" s="198"/>
      <c r="EJ179" s="198"/>
      <c r="EK179" s="199"/>
      <c r="EL179" s="197">
        <v>951372.93427299988</v>
      </c>
      <c r="EM179" s="198">
        <v>294660.74319199997</v>
      </c>
      <c r="EN179" s="198">
        <v>19612.512312999999</v>
      </c>
      <c r="EO179" s="198">
        <v>126970.08234699999</v>
      </c>
      <c r="EP179" s="198">
        <v>64555.982333999993</v>
      </c>
      <c r="EQ179" s="198"/>
      <c r="ER179" s="199">
        <v>445363.72221499996</v>
      </c>
      <c r="ES179" s="197">
        <v>9985.3674107599909</v>
      </c>
      <c r="ET179" s="198">
        <v>1189.92106261</v>
      </c>
      <c r="EU179" s="198">
        <v>2474.8235558299998</v>
      </c>
      <c r="EV179" s="198">
        <v>877.76188047000005</v>
      </c>
      <c r="EW179" s="198">
        <v>2959.2823098899999</v>
      </c>
      <c r="EX179" s="198"/>
      <c r="EY179" s="199">
        <f t="shared" si="6"/>
        <v>2483.5786019599918</v>
      </c>
      <c r="EZ179" s="198"/>
      <c r="FA179" s="198"/>
      <c r="FB179" s="198"/>
      <c r="FC179" s="198"/>
      <c r="FD179" s="198"/>
      <c r="FE179" s="198"/>
      <c r="FF179" s="198"/>
      <c r="FG179" s="197"/>
      <c r="FH179" s="198"/>
      <c r="FI179" s="198"/>
      <c r="FJ179" s="198"/>
      <c r="FK179" s="198"/>
      <c r="FL179" s="198"/>
      <c r="FM179" s="198"/>
      <c r="FN179" s="197">
        <v>37848.868000000002</v>
      </c>
      <c r="FO179" s="198">
        <v>11143.673000000001</v>
      </c>
      <c r="FP179" s="198">
        <v>4355.7269999999999</v>
      </c>
      <c r="FQ179" s="198">
        <v>3802.5990000000002</v>
      </c>
      <c r="FR179" s="198">
        <v>3158.556</v>
      </c>
      <c r="FS179" s="198"/>
      <c r="FT179" s="199">
        <f t="shared" si="7"/>
        <v>15388.312999999998</v>
      </c>
      <c r="FU179" s="197"/>
      <c r="FV179" s="198"/>
      <c r="FW179" s="198"/>
      <c r="FX179" s="198"/>
      <c r="FY179" s="198"/>
      <c r="FZ179" s="198"/>
      <c r="GA179" s="199"/>
      <c r="GB179" s="197">
        <v>1056.0450000000001</v>
      </c>
      <c r="GC179" s="198">
        <v>22.004999999999999</v>
      </c>
      <c r="GD179" s="198">
        <v>177.946</v>
      </c>
      <c r="GE179" s="198">
        <v>239.06</v>
      </c>
      <c r="GF179" s="198">
        <v>176.34399999999999</v>
      </c>
      <c r="GG179" s="198"/>
      <c r="GH179" s="199">
        <f>GB179-GC179-GD179-GE179-GF179</f>
        <v>440.68999999999988</v>
      </c>
      <c r="GI179" s="197">
        <v>788.15700000000004</v>
      </c>
      <c r="GJ179" s="198">
        <v>20.212</v>
      </c>
      <c r="GK179" s="198">
        <v>138.87700000000001</v>
      </c>
      <c r="GL179" s="198">
        <v>248.8</v>
      </c>
      <c r="GM179" s="198">
        <v>152.64500000000001</v>
      </c>
      <c r="GN179" s="198"/>
      <c r="GO179" s="199">
        <f>GI179-GJ179-GK179-GL179-GM179</f>
        <v>227.62299999999996</v>
      </c>
      <c r="GP179" s="197">
        <v>1706.59</v>
      </c>
      <c r="GQ179" s="198">
        <v>53.222000000000001</v>
      </c>
      <c r="GR179" s="198">
        <v>365.54</v>
      </c>
      <c r="GS179" s="198">
        <v>329.19</v>
      </c>
      <c r="GT179" s="198">
        <v>466.29</v>
      </c>
      <c r="GU179" s="198"/>
      <c r="GV179" s="199">
        <f>GP179-GQ179-GR179-GS179-GT179</f>
        <v>492.3479999999999</v>
      </c>
      <c r="GW179" s="197"/>
      <c r="GX179" s="198"/>
      <c r="GY179" s="198"/>
      <c r="GZ179" s="198"/>
      <c r="HA179" s="198"/>
      <c r="HB179" s="198"/>
      <c r="HC179" s="199"/>
      <c r="HD179" s="197">
        <f>'[2]t&amp;t'!W311</f>
        <v>14920.400000000001</v>
      </c>
      <c r="HE179" s="198">
        <f>'[2]t&amp;t'!X311</f>
        <v>1735.3999999999999</v>
      </c>
      <c r="HF179" s="198">
        <f>'[2]t&amp;t'!Y311</f>
        <v>1616.3</v>
      </c>
      <c r="HG179" s="198">
        <f>'[2]t&amp;t'!Z311</f>
        <v>780.9</v>
      </c>
      <c r="HH179" s="198">
        <f>'[2]t&amp;t'!AA311</f>
        <v>5648.4</v>
      </c>
      <c r="HI179" s="198"/>
      <c r="HJ179" s="199">
        <f>'[2]t&amp;t'!AC311</f>
        <v>5139.3999999999996</v>
      </c>
      <c r="HK179" s="197"/>
      <c r="HL179" s="198"/>
      <c r="HM179" s="198"/>
      <c r="HN179" s="198"/>
      <c r="HO179" s="198"/>
      <c r="HP179" s="198"/>
      <c r="HQ179" s="198"/>
      <c r="HR179" s="197"/>
      <c r="HT179" s="198"/>
      <c r="HU179" s="198"/>
      <c r="HV179" s="198"/>
      <c r="HW179" s="198"/>
      <c r="HX179" s="198"/>
    </row>
    <row r="180" spans="1:233">
      <c r="A180" s="185" t="s">
        <v>495</v>
      </c>
      <c r="B180" s="197"/>
      <c r="C180" s="198"/>
      <c r="D180" s="198"/>
      <c r="E180" s="198"/>
      <c r="F180" s="198"/>
      <c r="G180" s="198"/>
      <c r="H180" s="199"/>
      <c r="I180" s="197">
        <v>78438.5</v>
      </c>
      <c r="J180" s="198"/>
      <c r="K180" s="198"/>
      <c r="L180" s="198">
        <v>13303</v>
      </c>
      <c r="M180" s="198">
        <v>3392</v>
      </c>
      <c r="N180" s="198"/>
      <c r="O180" s="199">
        <f>[3]arg!$G46</f>
        <v>30326.200000000004</v>
      </c>
      <c r="P180" s="198">
        <v>4198.9359999999997</v>
      </c>
      <c r="Q180" s="198">
        <v>65.977000000000004</v>
      </c>
      <c r="R180" s="198">
        <v>462.79300000000001</v>
      </c>
      <c r="S180" s="198">
        <v>328.53999999999996</v>
      </c>
      <c r="T180" s="198">
        <v>2485.5320000000002</v>
      </c>
      <c r="U180" s="198"/>
      <c r="V180" s="199">
        <v>856.09399999999971</v>
      </c>
      <c r="W180" s="198">
        <v>2791.9229999999998</v>
      </c>
      <c r="X180" s="198">
        <v>84.123999999999995</v>
      </c>
      <c r="Y180" s="198">
        <v>526.01600000000008</v>
      </c>
      <c r="Z180" s="198">
        <v>225.23</v>
      </c>
      <c r="AA180" s="198">
        <v>1197.0989999999999</v>
      </c>
      <c r="AB180" s="198"/>
      <c r="AC180" s="199">
        <f t="shared" si="3"/>
        <v>759.45399999999995</v>
      </c>
      <c r="AD180" s="198"/>
      <c r="AE180" s="198">
        <v>45.234999999999999</v>
      </c>
      <c r="AF180" s="198">
        <v>195.49700000000001</v>
      </c>
      <c r="AG180" s="198">
        <v>242.16899999999998</v>
      </c>
      <c r="AH180" s="198">
        <v>193.72900000000001</v>
      </c>
      <c r="AI180" s="198"/>
      <c r="AJ180" s="198"/>
      <c r="AK180" s="197"/>
      <c r="AL180" s="198"/>
      <c r="AM180" s="198"/>
      <c r="AN180" s="198"/>
      <c r="AO180" s="198"/>
      <c r="AP180" s="198"/>
      <c r="AQ180" s="199"/>
      <c r="AR180" s="198">
        <v>364475.85544084001</v>
      </c>
      <c r="AS180" s="198">
        <v>110418.94972311001</v>
      </c>
      <c r="AT180" s="198">
        <v>39168.237697820005</v>
      </c>
      <c r="AU180" s="198">
        <v>23952.712742700001</v>
      </c>
      <c r="AV180" s="198">
        <v>86477.299001940002</v>
      </c>
      <c r="AW180" s="198"/>
      <c r="AX180" s="198">
        <v>104458.65627526998</v>
      </c>
      <c r="AY180" s="197">
        <v>31231576.703000002</v>
      </c>
      <c r="AZ180" s="198"/>
      <c r="BA180" s="198">
        <v>23507761.375</v>
      </c>
      <c r="BB180" s="198">
        <v>5247642.4177999999</v>
      </c>
      <c r="BC180" s="198">
        <v>2476172.9101999998</v>
      </c>
      <c r="BD180" s="198"/>
      <c r="BE180" s="198"/>
      <c r="BF180" s="197">
        <v>48594666.620000005</v>
      </c>
      <c r="BG180" s="198"/>
      <c r="BH180" s="198">
        <v>29210030.190000005</v>
      </c>
      <c r="BI180" s="198">
        <v>11667627.49</v>
      </c>
      <c r="BJ180" s="198">
        <v>7404667.4299999997</v>
      </c>
      <c r="BK180" s="198">
        <v>312341.51</v>
      </c>
      <c r="BL180" s="198"/>
      <c r="BM180" s="197">
        <v>1770131.2490000001</v>
      </c>
      <c r="BN180" s="198">
        <v>154901.33600000001</v>
      </c>
      <c r="BO180" s="198">
        <v>293948.49900000001</v>
      </c>
      <c r="BP180" s="198">
        <v>429126.37800000003</v>
      </c>
      <c r="BQ180" s="198">
        <v>480943.73800000001</v>
      </c>
      <c r="BR180" s="198"/>
      <c r="BS180" s="198">
        <f t="shared" si="2"/>
        <v>411211.29800000018</v>
      </c>
      <c r="BT180" s="197"/>
      <c r="BU180" s="198"/>
      <c r="BV180" s="198"/>
      <c r="BW180" s="198"/>
      <c r="BX180" s="198"/>
      <c r="BY180" s="198"/>
      <c r="BZ180" s="198"/>
      <c r="CA180" s="197"/>
      <c r="CB180" s="198"/>
      <c r="CC180" s="198"/>
      <c r="CD180" s="198"/>
      <c r="CE180" s="198"/>
      <c r="CF180" s="198"/>
      <c r="CG180" s="198"/>
      <c r="CH180" s="197"/>
      <c r="CI180" s="198"/>
      <c r="CJ180" s="198">
        <v>2418889.5004099999</v>
      </c>
      <c r="CK180" s="198"/>
      <c r="CL180" s="198">
        <v>1137306.8560000001</v>
      </c>
      <c r="CM180" s="198">
        <v>62224</v>
      </c>
      <c r="CN180" s="198"/>
      <c r="CO180" s="197"/>
      <c r="CP180" s="198"/>
      <c r="CQ180" s="198"/>
      <c r="CR180" s="198"/>
      <c r="CS180" s="198"/>
      <c r="CT180" s="198"/>
      <c r="CU180" s="198"/>
      <c r="CV180" s="197"/>
      <c r="CW180" s="198"/>
      <c r="CX180" s="198"/>
      <c r="CY180" s="198"/>
      <c r="CZ180" s="198"/>
      <c r="DA180" s="198"/>
      <c r="DB180" s="198"/>
      <c r="DC180" s="197"/>
      <c r="DD180" s="198"/>
      <c r="DE180" s="198"/>
      <c r="DF180" s="198"/>
      <c r="DG180" s="198"/>
      <c r="DH180" s="198"/>
      <c r="DI180" s="198"/>
      <c r="DJ180" s="197">
        <f>707+48161.3</f>
        <v>48868.3</v>
      </c>
      <c r="DK180" s="198">
        <f>178.7+14088.2</f>
        <v>14266.900000000001</v>
      </c>
      <c r="DL180" s="198">
        <f>1686.8+10221.8</f>
        <v>11908.599999999999</v>
      </c>
      <c r="DM180" s="198">
        <v>3163.8</v>
      </c>
      <c r="DN180" s="198">
        <f>8454.9-DM180</f>
        <v>5291.0999999999995</v>
      </c>
      <c r="DO180" s="198"/>
      <c r="DP180" s="198">
        <f t="shared" si="4"/>
        <v>14237.900000000001</v>
      </c>
      <c r="DQ180" s="197"/>
      <c r="DR180" s="198"/>
      <c r="DS180" s="198"/>
      <c r="DT180" s="198"/>
      <c r="DU180" s="198"/>
      <c r="DV180" s="198"/>
      <c r="DW180" s="198"/>
      <c r="DX180" s="197">
        <v>45446.206250000003</v>
      </c>
      <c r="DY180" s="198"/>
      <c r="DZ180" s="198">
        <v>33848.873500000002</v>
      </c>
      <c r="EA180" s="198">
        <v>5753.3453799999997</v>
      </c>
      <c r="EB180" s="198">
        <v>3789.4005000000002</v>
      </c>
      <c r="EC180" s="198"/>
      <c r="ED180" s="198">
        <v>2054.5868700000001</v>
      </c>
      <c r="EE180" s="197"/>
      <c r="EF180" s="198"/>
      <c r="EG180" s="198"/>
      <c r="EH180" s="198"/>
      <c r="EI180" s="198"/>
      <c r="EJ180" s="198"/>
      <c r="EK180" s="199"/>
      <c r="EL180" s="197">
        <v>951607.51631899981</v>
      </c>
      <c r="EM180" s="198">
        <v>292492.20489800005</v>
      </c>
      <c r="EN180" s="198">
        <v>19828.539196999998</v>
      </c>
      <c r="EO180" s="198">
        <v>126282.82407399999</v>
      </c>
      <c r="EP180" s="198">
        <v>66914.334372999991</v>
      </c>
      <c r="EQ180" s="198"/>
      <c r="ER180" s="199">
        <v>445881.87913699995</v>
      </c>
      <c r="ES180" s="197">
        <v>10184.235508350001</v>
      </c>
      <c r="ET180" s="198">
        <v>1172.82324638</v>
      </c>
      <c r="EU180" s="198">
        <v>2520.9558999699998</v>
      </c>
      <c r="EV180" s="198">
        <v>896.69280866999998</v>
      </c>
      <c r="EW180" s="198">
        <v>3009.3213697800002</v>
      </c>
      <c r="EX180" s="198"/>
      <c r="EY180" s="199">
        <f t="shared" si="6"/>
        <v>2584.4421835500007</v>
      </c>
      <c r="EZ180" s="198"/>
      <c r="FA180" s="198"/>
      <c r="FB180" s="198"/>
      <c r="FC180" s="198"/>
      <c r="FD180" s="198"/>
      <c r="FE180" s="198"/>
      <c r="FF180" s="198"/>
      <c r="FG180" s="197"/>
      <c r="FH180" s="198"/>
      <c r="FI180" s="198"/>
      <c r="FJ180" s="198"/>
      <c r="FK180" s="198"/>
      <c r="FL180" s="198"/>
      <c r="FM180" s="198"/>
      <c r="FN180" s="197">
        <v>38069.226000000002</v>
      </c>
      <c r="FO180" s="198">
        <v>11308.393</v>
      </c>
      <c r="FP180" s="198">
        <v>4312.6139999999996</v>
      </c>
      <c r="FQ180" s="198">
        <v>3866.9580000000001</v>
      </c>
      <c r="FR180" s="198">
        <v>3193.3429999999998</v>
      </c>
      <c r="FS180" s="198"/>
      <c r="FT180" s="199">
        <f t="shared" si="7"/>
        <v>15387.918000000001</v>
      </c>
      <c r="FU180" s="197"/>
      <c r="FV180" s="198"/>
      <c r="FW180" s="198"/>
      <c r="FX180" s="198"/>
      <c r="FY180" s="198"/>
      <c r="FZ180" s="198"/>
      <c r="GA180" s="199"/>
      <c r="GB180" s="197"/>
      <c r="GC180" s="198"/>
      <c r="GD180" s="198"/>
      <c r="GE180" s="198"/>
      <c r="GF180" s="198"/>
      <c r="GG180" s="198"/>
      <c r="GH180" s="199"/>
      <c r="GI180" s="197"/>
      <c r="GJ180" s="198"/>
      <c r="GK180" s="198"/>
      <c r="GL180" s="198"/>
      <c r="GM180" s="198"/>
      <c r="GN180" s="198"/>
      <c r="GO180" s="199"/>
      <c r="GP180" s="197"/>
      <c r="GQ180" s="198"/>
      <c r="GR180" s="198"/>
      <c r="GS180" s="198"/>
      <c r="GT180" s="198"/>
      <c r="GU180" s="198"/>
      <c r="GV180" s="199"/>
      <c r="GW180" s="197"/>
      <c r="GX180" s="198"/>
      <c r="GY180" s="198"/>
      <c r="GZ180" s="198"/>
      <c r="HA180" s="198"/>
      <c r="HB180" s="198"/>
      <c r="HC180" s="199"/>
      <c r="HD180" s="197"/>
      <c r="HE180" s="198"/>
      <c r="HF180" s="198"/>
      <c r="HG180" s="198"/>
      <c r="HH180" s="198"/>
      <c r="HI180" s="198"/>
      <c r="HJ180" s="199"/>
      <c r="HK180" s="197"/>
      <c r="HL180" s="198"/>
      <c r="HM180" s="198"/>
      <c r="HN180" s="198"/>
      <c r="HO180" s="198"/>
      <c r="HP180" s="198"/>
      <c r="HQ180" s="198"/>
      <c r="HR180" s="197"/>
      <c r="HT180" s="198"/>
      <c r="HU180" s="198"/>
      <c r="HV180" s="198"/>
      <c r="HW180" s="198"/>
      <c r="HX180" s="198"/>
    </row>
    <row r="181" spans="1:233">
      <c r="A181" s="185" t="s">
        <v>496</v>
      </c>
      <c r="B181" s="197"/>
      <c r="C181" s="198"/>
      <c r="D181" s="198"/>
      <c r="E181" s="198"/>
      <c r="F181" s="198"/>
      <c r="G181" s="198"/>
      <c r="H181" s="199"/>
      <c r="I181" s="197">
        <v>78749.7</v>
      </c>
      <c r="J181" s="198"/>
      <c r="K181" s="198"/>
      <c r="L181" s="198">
        <v>13158.1</v>
      </c>
      <c r="M181" s="198">
        <v>3256.2</v>
      </c>
      <c r="N181" s="198"/>
      <c r="O181" s="199">
        <f>[3]arg!$G47</f>
        <v>29635.5</v>
      </c>
      <c r="P181" s="198">
        <v>4258.625</v>
      </c>
      <c r="Q181" s="198">
        <v>66.006</v>
      </c>
      <c r="R181" s="198">
        <v>464.26600000000002</v>
      </c>
      <c r="S181" s="198">
        <v>336.70400000000001</v>
      </c>
      <c r="T181" s="198">
        <v>2533.2710000000002</v>
      </c>
      <c r="U181" s="198"/>
      <c r="V181" s="199">
        <v>858.3779999999997</v>
      </c>
      <c r="W181" s="198">
        <v>2790.5610000000001</v>
      </c>
      <c r="X181" s="198">
        <v>86.918999999999997</v>
      </c>
      <c r="Y181" s="198">
        <v>514.79899999999998</v>
      </c>
      <c r="Z181" s="198">
        <v>224.15700000000001</v>
      </c>
      <c r="AA181" s="198">
        <v>1205.7429999999999</v>
      </c>
      <c r="AB181" s="198"/>
      <c r="AC181" s="199">
        <f t="shared" si="3"/>
        <v>758.94300000000044</v>
      </c>
      <c r="AD181" s="198"/>
      <c r="AE181" s="198">
        <v>43.351999999999997</v>
      </c>
      <c r="AF181" s="198">
        <v>198.53</v>
      </c>
      <c r="AG181" s="198">
        <v>257.39699999999999</v>
      </c>
      <c r="AH181" s="198">
        <v>193.56899999999999</v>
      </c>
      <c r="AI181" s="198"/>
      <c r="AJ181" s="198"/>
      <c r="AK181" s="197"/>
      <c r="AL181" s="198"/>
      <c r="AM181" s="198"/>
      <c r="AN181" s="198"/>
      <c r="AO181" s="198"/>
      <c r="AP181" s="198"/>
      <c r="AQ181" s="199"/>
      <c r="AR181" s="198">
        <v>359768.34695708001</v>
      </c>
      <c r="AS181" s="198">
        <v>107445.38196386001</v>
      </c>
      <c r="AT181" s="198">
        <v>38667.843071940006</v>
      </c>
      <c r="AU181" s="198">
        <v>23879.190710379997</v>
      </c>
      <c r="AV181" s="198">
        <v>86551.420760419991</v>
      </c>
      <c r="AW181" s="198"/>
      <c r="AX181" s="198">
        <v>103224.51045048</v>
      </c>
      <c r="AY181" s="197">
        <v>31374042.709800001</v>
      </c>
      <c r="AZ181" s="198"/>
      <c r="BA181" s="198">
        <v>23575134.506099999</v>
      </c>
      <c r="BB181" s="198">
        <v>5297502.3020000001</v>
      </c>
      <c r="BC181" s="198">
        <v>2501405.9016999998</v>
      </c>
      <c r="BD181" s="198"/>
      <c r="BE181" s="198"/>
      <c r="BF181" s="197">
        <v>48759570.630000003</v>
      </c>
      <c r="BG181" s="198"/>
      <c r="BH181" s="198">
        <v>29316880.670000002</v>
      </c>
      <c r="BI181" s="198">
        <v>11581152.749999998</v>
      </c>
      <c r="BJ181" s="198">
        <v>7538955.9199999999</v>
      </c>
      <c r="BK181" s="198">
        <v>322581.28999999998</v>
      </c>
      <c r="BL181" s="198"/>
      <c r="BM181" s="197">
        <v>1792275.683</v>
      </c>
      <c r="BN181" s="198">
        <v>154570.73800000001</v>
      </c>
      <c r="BO181" s="198">
        <v>300375.73800000001</v>
      </c>
      <c r="BP181" s="198">
        <v>426534.033</v>
      </c>
      <c r="BQ181" s="198">
        <v>487547.68099999998</v>
      </c>
      <c r="BR181" s="198"/>
      <c r="BS181" s="198">
        <f t="shared" si="2"/>
        <v>423247.49300000002</v>
      </c>
      <c r="BT181" s="197"/>
      <c r="BU181" s="198"/>
      <c r="BV181" s="198"/>
      <c r="BW181" s="198"/>
      <c r="BX181" s="198"/>
      <c r="BY181" s="198"/>
      <c r="BZ181" s="198"/>
      <c r="CA181" s="197"/>
      <c r="CB181" s="198"/>
      <c r="CC181" s="198"/>
      <c r="CD181" s="198"/>
      <c r="CE181" s="198"/>
      <c r="CF181" s="198"/>
      <c r="CG181" s="198"/>
      <c r="CH181" s="197"/>
      <c r="CI181" s="198"/>
      <c r="CJ181" s="198">
        <v>2448711.7844900005</v>
      </c>
      <c r="CK181" s="198"/>
      <c r="CL181" s="198">
        <v>1169783.3431199999</v>
      </c>
      <c r="CM181" s="198">
        <v>64543</v>
      </c>
      <c r="CN181" s="198"/>
      <c r="CO181" s="197"/>
      <c r="CP181" s="198"/>
      <c r="CQ181" s="198"/>
      <c r="CR181" s="198"/>
      <c r="CS181" s="198"/>
      <c r="CT181" s="198"/>
      <c r="CU181" s="198"/>
      <c r="CV181" s="197"/>
      <c r="CW181" s="198"/>
      <c r="CX181" s="198"/>
      <c r="CY181" s="198"/>
      <c r="CZ181" s="198"/>
      <c r="DA181" s="198"/>
      <c r="DB181" s="198"/>
      <c r="DC181" s="197"/>
      <c r="DD181" s="198"/>
      <c r="DE181" s="198"/>
      <c r="DF181" s="198"/>
      <c r="DG181" s="198"/>
      <c r="DH181" s="198"/>
      <c r="DI181" s="198"/>
      <c r="DJ181" s="197">
        <f>740.3+47325.7</f>
        <v>48066</v>
      </c>
      <c r="DK181" s="198">
        <f>178.7+13795.4</f>
        <v>13974.1</v>
      </c>
      <c r="DL181" s="198">
        <f>1634.4+10168</f>
        <v>11802.4</v>
      </c>
      <c r="DM181" s="198">
        <v>3182.8</v>
      </c>
      <c r="DN181" s="198">
        <f>8306.3-DM181</f>
        <v>5123.4999999999991</v>
      </c>
      <c r="DO181" s="198"/>
      <c r="DP181" s="198">
        <f t="shared" si="4"/>
        <v>13983.200000000004</v>
      </c>
      <c r="DQ181" s="197"/>
      <c r="DR181" s="198"/>
      <c r="DS181" s="198"/>
      <c r="DT181" s="198"/>
      <c r="DU181" s="198"/>
      <c r="DV181" s="198"/>
      <c r="DW181" s="198"/>
      <c r="DX181" s="197">
        <v>44691.240340000004</v>
      </c>
      <c r="DY181" s="198"/>
      <c r="DZ181" s="198">
        <v>32856.03529</v>
      </c>
      <c r="EA181" s="198">
        <v>5892.5099500000006</v>
      </c>
      <c r="EB181" s="198">
        <v>3901.5555399999998</v>
      </c>
      <c r="EC181" s="198"/>
      <c r="ED181" s="198">
        <v>2041.1395600000001</v>
      </c>
      <c r="EE181" s="197"/>
      <c r="EF181" s="198"/>
      <c r="EG181" s="198"/>
      <c r="EH181" s="198"/>
      <c r="EI181" s="198"/>
      <c r="EJ181" s="198"/>
      <c r="EK181" s="199"/>
      <c r="EL181" s="197">
        <v>957427.23015600024</v>
      </c>
      <c r="EM181" s="198">
        <v>297462.05564300012</v>
      </c>
      <c r="EN181" s="198">
        <v>18921.556480000007</v>
      </c>
      <c r="EO181" s="198">
        <v>125466.585014</v>
      </c>
      <c r="EP181" s="198">
        <v>69119.866165999993</v>
      </c>
      <c r="EQ181" s="198"/>
      <c r="ER181" s="199">
        <v>446307.55414800008</v>
      </c>
      <c r="ES181" s="197">
        <v>10482.39940552</v>
      </c>
      <c r="ET181" s="198">
        <v>1191.3421750800001</v>
      </c>
      <c r="EU181" s="198">
        <v>2575.4665218300001</v>
      </c>
      <c r="EV181" s="198">
        <v>913.02268255000001</v>
      </c>
      <c r="EW181" s="198">
        <v>3020.7163755699999</v>
      </c>
      <c r="EX181" s="198"/>
      <c r="EY181" s="199">
        <f t="shared" si="6"/>
        <v>2781.8516504899994</v>
      </c>
      <c r="EZ181" s="198"/>
      <c r="FA181" s="198"/>
      <c r="FB181" s="198"/>
      <c r="FC181" s="198"/>
      <c r="FD181" s="198"/>
      <c r="FE181" s="198"/>
      <c r="FF181" s="198"/>
      <c r="FG181" s="197"/>
      <c r="FH181" s="198"/>
      <c r="FI181" s="198"/>
      <c r="FJ181" s="198"/>
      <c r="FK181" s="198"/>
      <c r="FL181" s="198"/>
      <c r="FM181" s="198"/>
      <c r="FN181" s="197">
        <v>38375.853000000003</v>
      </c>
      <c r="FO181" s="198">
        <v>11061.039000000001</v>
      </c>
      <c r="FP181" s="198">
        <v>4502.4949999999999</v>
      </c>
      <c r="FQ181" s="198">
        <v>3963.75</v>
      </c>
      <c r="FR181" s="198">
        <v>3261.6669999999999</v>
      </c>
      <c r="FS181" s="198"/>
      <c r="FT181" s="199">
        <f t="shared" si="7"/>
        <v>15586.902000000002</v>
      </c>
      <c r="FU181" s="197"/>
      <c r="FV181" s="198"/>
      <c r="FW181" s="198"/>
      <c r="FX181" s="198"/>
      <c r="FY181" s="198"/>
      <c r="FZ181" s="198"/>
      <c r="GA181" s="199"/>
      <c r="GB181" s="197"/>
      <c r="GC181" s="198"/>
      <c r="GD181" s="198"/>
      <c r="GE181" s="198"/>
      <c r="GF181" s="198"/>
      <c r="GG181" s="198"/>
      <c r="GH181" s="199"/>
      <c r="GI181" s="197"/>
      <c r="GJ181" s="198"/>
      <c r="GK181" s="198"/>
      <c r="GL181" s="198"/>
      <c r="GM181" s="198"/>
      <c r="GN181" s="198"/>
      <c r="GO181" s="199"/>
      <c r="GP181" s="197"/>
      <c r="GQ181" s="198"/>
      <c r="GR181" s="198"/>
      <c r="GS181" s="198"/>
      <c r="GT181" s="198"/>
      <c r="GU181" s="198"/>
      <c r="GV181" s="199"/>
      <c r="GW181" s="197"/>
      <c r="GX181" s="198"/>
      <c r="GY181" s="198"/>
      <c r="GZ181" s="198"/>
      <c r="HA181" s="198"/>
      <c r="HB181" s="198"/>
      <c r="HC181" s="199"/>
      <c r="HD181" s="197"/>
      <c r="HE181" s="198"/>
      <c r="HF181" s="198"/>
      <c r="HG181" s="198"/>
      <c r="HH181" s="198"/>
      <c r="HI181" s="198"/>
      <c r="HJ181" s="199"/>
      <c r="HK181" s="197"/>
      <c r="HL181" s="198"/>
      <c r="HM181" s="198"/>
      <c r="HN181" s="198"/>
      <c r="HO181" s="198"/>
      <c r="HP181" s="198"/>
      <c r="HQ181" s="198"/>
      <c r="HR181" s="197"/>
      <c r="HT181" s="198"/>
      <c r="HU181" s="198"/>
      <c r="HV181" s="198"/>
      <c r="HW181" s="198"/>
      <c r="HX181" s="198"/>
    </row>
    <row r="182" spans="1:233">
      <c r="A182" s="185" t="s">
        <v>497</v>
      </c>
      <c r="B182" s="197">
        <v>1812.7080000000001</v>
      </c>
      <c r="C182" s="198">
        <v>57.63</v>
      </c>
      <c r="D182" s="198">
        <v>387.202</v>
      </c>
      <c r="E182" s="198">
        <v>390.416</v>
      </c>
      <c r="F182" s="198">
        <v>373.92899999999997</v>
      </c>
      <c r="G182" s="198"/>
      <c r="H182" s="199">
        <v>603.53099999999995</v>
      </c>
      <c r="I182" s="197">
        <v>76437.7</v>
      </c>
      <c r="J182" s="198"/>
      <c r="K182" s="198"/>
      <c r="L182" s="198">
        <v>11965.4</v>
      </c>
      <c r="M182" s="198">
        <v>2826</v>
      </c>
      <c r="N182" s="198"/>
      <c r="O182" s="199">
        <f>[3]arg!$G48</f>
        <v>26567.899999999998</v>
      </c>
      <c r="P182" s="198">
        <v>4247.5550000000003</v>
      </c>
      <c r="Q182" s="198">
        <v>68.319999999999993</v>
      </c>
      <c r="R182" s="198">
        <v>475.38400000000001</v>
      </c>
      <c r="S182" s="198">
        <v>336.78399999999999</v>
      </c>
      <c r="T182" s="198">
        <v>2529.9559999999997</v>
      </c>
      <c r="U182" s="198"/>
      <c r="V182" s="199">
        <v>837.11100000000033</v>
      </c>
      <c r="W182" s="198">
        <v>2792.819</v>
      </c>
      <c r="X182" s="198">
        <v>85.578999999999994</v>
      </c>
      <c r="Y182" s="198">
        <v>526.74300000000005</v>
      </c>
      <c r="Z182" s="198">
        <v>227.84100000000001</v>
      </c>
      <c r="AA182" s="198">
        <v>1206.605</v>
      </c>
      <c r="AB182" s="198"/>
      <c r="AC182" s="199">
        <f t="shared" si="3"/>
        <v>746.05099999999993</v>
      </c>
      <c r="AD182" s="198">
        <f>[1]datos!$S314</f>
        <v>1099.606</v>
      </c>
      <c r="AE182" s="198">
        <v>45.183</v>
      </c>
      <c r="AF182" s="198">
        <v>195.60499999999999</v>
      </c>
      <c r="AG182" s="198">
        <v>267.25400000000002</v>
      </c>
      <c r="AH182" s="198">
        <v>185.38499999999999</v>
      </c>
      <c r="AI182" s="198">
        <f>[1]datos!$U314</f>
        <v>213.40700000000001</v>
      </c>
      <c r="AJ182" s="198">
        <f>AD182-AE182-AF182-AG182-AH182-AI182</f>
        <v>192.77199999999996</v>
      </c>
      <c r="AK182" s="197">
        <v>22519.059794999997</v>
      </c>
      <c r="AL182" s="198"/>
      <c r="AM182" s="198"/>
      <c r="AN182" s="198"/>
      <c r="AO182" s="198"/>
      <c r="AP182" s="198"/>
      <c r="AQ182" s="199"/>
      <c r="AR182" s="198">
        <v>381788.43073819991</v>
      </c>
      <c r="AS182" s="198">
        <v>120077.14670911999</v>
      </c>
      <c r="AT182" s="198">
        <v>40756.285020869989</v>
      </c>
      <c r="AU182" s="198">
        <v>24167.68747094</v>
      </c>
      <c r="AV182" s="198">
        <v>87047.707526179991</v>
      </c>
      <c r="AW182" s="198"/>
      <c r="AX182" s="198">
        <v>109739.60401108995</v>
      </c>
      <c r="AY182" s="197">
        <v>31835682.6686</v>
      </c>
      <c r="AZ182" s="198"/>
      <c r="BA182" s="198">
        <v>23942769.649799999</v>
      </c>
      <c r="BB182" s="198">
        <v>5346612.3409000002</v>
      </c>
      <c r="BC182" s="198">
        <v>2546300.6779</v>
      </c>
      <c r="BD182" s="198"/>
      <c r="BE182" s="198"/>
      <c r="BF182" s="197">
        <v>49473550.600000001</v>
      </c>
      <c r="BG182" s="198"/>
      <c r="BH182" s="198">
        <v>29962264.970000003</v>
      </c>
      <c r="BI182" s="198">
        <v>11505350.799999999</v>
      </c>
      <c r="BJ182" s="198">
        <v>7673970.2400000002</v>
      </c>
      <c r="BK182" s="198">
        <v>331964.59000000003</v>
      </c>
      <c r="BL182" s="198"/>
      <c r="BM182" s="197">
        <v>1831398.449</v>
      </c>
      <c r="BN182" s="198">
        <v>154666.31299999999</v>
      </c>
      <c r="BO182" s="198">
        <v>311386.05599999998</v>
      </c>
      <c r="BP182" s="198">
        <v>435776.625</v>
      </c>
      <c r="BQ182" s="198">
        <v>496467.44500000001</v>
      </c>
      <c r="BR182" s="198"/>
      <c r="BS182" s="198">
        <f t="shared" si="2"/>
        <v>433102.01</v>
      </c>
      <c r="BT182" s="197"/>
      <c r="BU182" s="198"/>
      <c r="BV182" s="198"/>
      <c r="BW182" s="198"/>
      <c r="BX182" s="198"/>
      <c r="BY182" s="198"/>
      <c r="BZ182" s="198"/>
      <c r="CA182" s="197">
        <v>538.62199999999996</v>
      </c>
      <c r="CB182" s="198">
        <v>21.143999999999998</v>
      </c>
      <c r="CC182" s="198">
        <v>99.507000000000005</v>
      </c>
      <c r="CD182" s="198">
        <v>134.55099999999999</v>
      </c>
      <c r="CE182" s="198">
        <v>95.786000000000001</v>
      </c>
      <c r="CF182" s="198"/>
      <c r="CG182" s="198">
        <f>CA182-CB182-CC182-CD182-CE182</f>
        <v>187.63399999999996</v>
      </c>
      <c r="CH182" s="197"/>
      <c r="CI182" s="198"/>
      <c r="CJ182" s="198">
        <v>2541243.6800100002</v>
      </c>
      <c r="CK182" s="198"/>
      <c r="CL182" s="198">
        <v>1206039.5139199996</v>
      </c>
      <c r="CM182" s="198">
        <v>42261</v>
      </c>
      <c r="CN182" s="198"/>
      <c r="CO182" s="197"/>
      <c r="CP182" s="198"/>
      <c r="CQ182" s="198"/>
      <c r="CR182" s="198"/>
      <c r="CS182" s="198"/>
      <c r="CT182" s="198"/>
      <c r="CU182" s="198"/>
      <c r="CV182" s="197">
        <v>1091.201</v>
      </c>
      <c r="CW182" s="198">
        <v>35.194000000000003</v>
      </c>
      <c r="CX182" s="198">
        <v>163.88300000000001</v>
      </c>
      <c r="CY182" s="198">
        <v>332.036</v>
      </c>
      <c r="CZ182" s="198">
        <v>276.06400000000002</v>
      </c>
      <c r="DA182" s="198"/>
      <c r="DB182" s="198">
        <f>CV182-CW182-CX182-CY182-CZ182</f>
        <v>284.02399999999994</v>
      </c>
      <c r="DC182" s="197"/>
      <c r="DD182" s="198"/>
      <c r="DE182" s="198"/>
      <c r="DF182" s="198"/>
      <c r="DG182" s="198"/>
      <c r="DH182" s="198"/>
      <c r="DI182" s="198"/>
      <c r="DJ182" s="197">
        <f>722+46394.1</f>
        <v>47116.1</v>
      </c>
      <c r="DK182" s="198">
        <f>179.1+13331.7</f>
        <v>13510.800000000001</v>
      </c>
      <c r="DL182" s="198">
        <f>1598.8+9674.9</f>
        <v>11273.699999999999</v>
      </c>
      <c r="DM182" s="198">
        <v>3345.8</v>
      </c>
      <c r="DN182" s="198">
        <f>8254.7-DM182</f>
        <v>4908.9000000000005</v>
      </c>
      <c r="DO182" s="198"/>
      <c r="DP182" s="198">
        <f t="shared" si="4"/>
        <v>14076.900000000001</v>
      </c>
      <c r="DQ182" s="197"/>
      <c r="DR182" s="198"/>
      <c r="DS182" s="198"/>
      <c r="DT182" s="198"/>
      <c r="DU182" s="198"/>
      <c r="DV182" s="198"/>
      <c r="DW182" s="198"/>
      <c r="DX182" s="197">
        <v>44862.305469999999</v>
      </c>
      <c r="DY182" s="198"/>
      <c r="DZ182" s="198">
        <v>32654.183710000001</v>
      </c>
      <c r="EA182" s="198">
        <v>5991.6719999999996</v>
      </c>
      <c r="EB182" s="198">
        <v>4149.5458200000003</v>
      </c>
      <c r="EC182" s="198"/>
      <c r="ED182" s="198">
        <v>2066.9039299999999</v>
      </c>
      <c r="EE182" s="197"/>
      <c r="EF182" s="198"/>
      <c r="EG182" s="198"/>
      <c r="EH182" s="198"/>
      <c r="EI182" s="198"/>
      <c r="EJ182" s="198"/>
      <c r="EK182" s="199"/>
      <c r="EL182" s="197">
        <v>955755.02473300009</v>
      </c>
      <c r="EM182" s="198">
        <v>304948.052456</v>
      </c>
      <c r="EN182" s="198">
        <v>17687.386648</v>
      </c>
      <c r="EO182" s="198">
        <v>125048.84130299999</v>
      </c>
      <c r="EP182" s="198">
        <v>70819.980842000004</v>
      </c>
      <c r="EQ182" s="198"/>
      <c r="ER182" s="199">
        <v>437082.37611000001</v>
      </c>
      <c r="ES182" s="197">
        <v>10638.486196639999</v>
      </c>
      <c r="ET182" s="198">
        <v>1186.4973296600001</v>
      </c>
      <c r="EU182" s="198">
        <v>2576.8995641000001</v>
      </c>
      <c r="EV182" s="198">
        <v>934.03151338999999</v>
      </c>
      <c r="EW182" s="198">
        <v>3088.1095711500002</v>
      </c>
      <c r="EX182" s="198"/>
      <c r="EY182" s="199">
        <f t="shared" si="6"/>
        <v>2852.9482183399978</v>
      </c>
      <c r="EZ182" s="198"/>
      <c r="FA182" s="198"/>
      <c r="FB182" s="198"/>
      <c r="FC182" s="198"/>
      <c r="FD182" s="198"/>
      <c r="FE182" s="198"/>
      <c r="FF182" s="198"/>
      <c r="FG182" s="197"/>
      <c r="FH182" s="198"/>
      <c r="FI182" s="198"/>
      <c r="FJ182" s="198"/>
      <c r="FK182" s="198"/>
      <c r="FL182" s="198"/>
      <c r="FM182" s="198"/>
      <c r="FN182" s="197">
        <v>38541.718999999997</v>
      </c>
      <c r="FO182" s="198">
        <v>10831.347</v>
      </c>
      <c r="FP182" s="198">
        <v>4326.7619999999997</v>
      </c>
      <c r="FQ182" s="198">
        <v>4018.855</v>
      </c>
      <c r="FR182" s="198">
        <v>3333.6289999999999</v>
      </c>
      <c r="FS182" s="198"/>
      <c r="FT182" s="199">
        <f t="shared" si="7"/>
        <v>16031.125999999997</v>
      </c>
      <c r="FU182" s="197"/>
      <c r="FV182" s="198"/>
      <c r="FW182" s="198"/>
      <c r="FX182" s="198"/>
      <c r="FY182" s="198"/>
      <c r="FZ182" s="198"/>
      <c r="GA182" s="199"/>
      <c r="GB182" s="197">
        <v>1105.991</v>
      </c>
      <c r="GC182" s="198">
        <v>21.082999999999998</v>
      </c>
      <c r="GD182" s="198">
        <v>182.12299999999999</v>
      </c>
      <c r="GE182" s="198">
        <v>239.036</v>
      </c>
      <c r="GF182" s="198">
        <v>177.851</v>
      </c>
      <c r="GG182" s="198"/>
      <c r="GH182" s="199">
        <f>GB182-GC182-GD182-GE182-GF182</f>
        <v>485.8979999999998</v>
      </c>
      <c r="GI182" s="197">
        <v>797.73900000000003</v>
      </c>
      <c r="GJ182" s="198">
        <v>19.416</v>
      </c>
      <c r="GK182" s="198">
        <v>126.758</v>
      </c>
      <c r="GL182" s="198">
        <v>271.23700000000002</v>
      </c>
      <c r="GM182" s="198">
        <v>152.53100000000001</v>
      </c>
      <c r="GN182" s="198"/>
      <c r="GO182" s="199">
        <f>GI182-GJ182-GK182-GL182-GM182</f>
        <v>227.79699999999991</v>
      </c>
      <c r="GP182" s="197">
        <v>1752.0930000000001</v>
      </c>
      <c r="GQ182" s="198">
        <v>56.436</v>
      </c>
      <c r="GR182" s="198">
        <v>425.67599999999999</v>
      </c>
      <c r="GS182" s="198">
        <v>323.39100000000002</v>
      </c>
      <c r="GT182" s="198">
        <v>446.94299999999998</v>
      </c>
      <c r="GU182" s="198"/>
      <c r="GV182" s="199">
        <f>GP182-GQ182-GR182-GS182-GT182</f>
        <v>499.64700000000016</v>
      </c>
      <c r="GW182" s="197"/>
      <c r="GX182" s="198"/>
      <c r="GY182" s="198"/>
      <c r="GZ182" s="198"/>
      <c r="HA182" s="198"/>
      <c r="HB182" s="198"/>
      <c r="HC182" s="199"/>
      <c r="HD182" s="197">
        <f>'[2]t&amp;t'!W314</f>
        <v>15341.7</v>
      </c>
      <c r="HE182" s="198">
        <f>'[2]t&amp;t'!X314</f>
        <v>2199.8000000000002</v>
      </c>
      <c r="HF182" s="198">
        <f>'[2]t&amp;t'!Y314</f>
        <v>1245.3</v>
      </c>
      <c r="HG182" s="198">
        <f>'[2]t&amp;t'!Z314</f>
        <v>836.6</v>
      </c>
      <c r="HH182" s="198">
        <f>'[2]t&amp;t'!AA314</f>
        <v>5543.5</v>
      </c>
      <c r="HI182" s="198"/>
      <c r="HJ182" s="199">
        <f>'[2]t&amp;t'!AC314</f>
        <v>5516.5</v>
      </c>
      <c r="HK182" s="197"/>
      <c r="HL182" s="198"/>
      <c r="HM182" s="198"/>
      <c r="HN182" s="198"/>
      <c r="HO182" s="198"/>
      <c r="HP182" s="198"/>
      <c r="HQ182" s="198"/>
      <c r="HR182" s="197"/>
      <c r="HT182" s="198"/>
      <c r="HU182" s="198"/>
      <c r="HV182" s="198"/>
      <c r="HW182" s="198"/>
      <c r="HX182" s="198"/>
    </row>
    <row r="183" spans="1:233">
      <c r="A183" s="185" t="s">
        <v>498</v>
      </c>
      <c r="B183" s="197"/>
      <c r="C183" s="198"/>
      <c r="D183" s="198"/>
      <c r="E183" s="198"/>
      <c r="F183" s="198"/>
      <c r="G183" s="198"/>
      <c r="H183" s="199"/>
      <c r="I183" s="197">
        <v>75479.199999999997</v>
      </c>
      <c r="J183" s="198"/>
      <c r="K183" s="198"/>
      <c r="L183" s="198">
        <v>11718</v>
      </c>
      <c r="M183" s="198">
        <v>2655.2</v>
      </c>
      <c r="N183" s="198"/>
      <c r="O183" s="199">
        <f>[3]arg!$G49</f>
        <v>25704.600000000002</v>
      </c>
      <c r="P183" s="198">
        <v>4288.1239999999998</v>
      </c>
      <c r="Q183" s="198">
        <v>68.521000000000001</v>
      </c>
      <c r="R183" s="198">
        <v>482.64599999999996</v>
      </c>
      <c r="S183" s="198">
        <v>325.00099999999998</v>
      </c>
      <c r="T183" s="198">
        <v>2565.7640000000001</v>
      </c>
      <c r="U183" s="198"/>
      <c r="V183" s="199">
        <v>846.19199999999989</v>
      </c>
      <c r="W183" s="198">
        <v>2948.9690000000001</v>
      </c>
      <c r="X183" s="198">
        <v>85.944000000000003</v>
      </c>
      <c r="Y183" s="198">
        <v>638.63599999999997</v>
      </c>
      <c r="Z183" s="198">
        <v>224.96299999999999</v>
      </c>
      <c r="AA183" s="198">
        <v>1203.566</v>
      </c>
      <c r="AB183" s="198"/>
      <c r="AC183" s="199">
        <f t="shared" si="3"/>
        <v>795.86000000000013</v>
      </c>
      <c r="AD183" s="198"/>
      <c r="AE183" s="198">
        <v>30.427</v>
      </c>
      <c r="AF183" s="198">
        <v>201.87200000000001</v>
      </c>
      <c r="AG183" s="198">
        <v>271.34699999999998</v>
      </c>
      <c r="AH183" s="198">
        <v>193.99100000000001</v>
      </c>
      <c r="AI183" s="198"/>
      <c r="AJ183" s="198"/>
      <c r="AK183" s="197"/>
      <c r="AL183" s="198"/>
      <c r="AM183" s="198"/>
      <c r="AN183" s="198"/>
      <c r="AO183" s="198"/>
      <c r="AP183" s="198"/>
      <c r="AQ183" s="199"/>
      <c r="AR183" s="198">
        <v>378611.76562701998</v>
      </c>
      <c r="AS183" s="198">
        <v>117815.10790995999</v>
      </c>
      <c r="AT183" s="198">
        <v>40205.082475430005</v>
      </c>
      <c r="AU183" s="198">
        <v>24191.934116529999</v>
      </c>
      <c r="AV183" s="198">
        <v>88053.508474549977</v>
      </c>
      <c r="AW183" s="198"/>
      <c r="AX183" s="198">
        <v>108346.13265055002</v>
      </c>
      <c r="AY183" s="197">
        <v>31786835.367699999</v>
      </c>
      <c r="AZ183" s="198"/>
      <c r="BA183" s="198">
        <v>23805008.530400001</v>
      </c>
      <c r="BB183" s="198">
        <v>5405845.7675999999</v>
      </c>
      <c r="BC183" s="198">
        <v>2575981.0696999999</v>
      </c>
      <c r="BD183" s="198"/>
      <c r="BE183" s="198"/>
      <c r="BF183" s="197">
        <v>49672112.789999999</v>
      </c>
      <c r="BG183" s="198"/>
      <c r="BH183" s="198">
        <v>30068878.369999997</v>
      </c>
      <c r="BI183" s="198">
        <v>11419755.209999999</v>
      </c>
      <c r="BJ183" s="198">
        <v>7833066.6200000001</v>
      </c>
      <c r="BK183" s="198">
        <v>350412.59</v>
      </c>
      <c r="BL183" s="198"/>
      <c r="BM183" s="197">
        <v>1880288.105</v>
      </c>
      <c r="BN183" s="198">
        <v>156602.769</v>
      </c>
      <c r="BO183" s="198">
        <v>309676.46600000001</v>
      </c>
      <c r="BP183" s="198">
        <v>498794.86599999998</v>
      </c>
      <c r="BQ183" s="198">
        <v>466543.391</v>
      </c>
      <c r="BR183" s="198"/>
      <c r="BS183" s="198">
        <f t="shared" si="2"/>
        <v>448670.6129999999</v>
      </c>
      <c r="BT183" s="197"/>
      <c r="BU183" s="198"/>
      <c r="BV183" s="198"/>
      <c r="BW183" s="198"/>
      <c r="BX183" s="198"/>
      <c r="BY183" s="198"/>
      <c r="BZ183" s="198"/>
      <c r="CA183" s="197"/>
      <c r="CB183" s="198"/>
      <c r="CC183" s="198"/>
      <c r="CD183" s="198"/>
      <c r="CE183" s="198"/>
      <c r="CF183" s="198"/>
      <c r="CG183" s="198"/>
      <c r="CH183" s="197"/>
      <c r="CI183" s="198"/>
      <c r="CJ183" s="198">
        <v>2580460.5330499997</v>
      </c>
      <c r="CK183" s="198"/>
      <c r="CL183" s="198">
        <v>1197393.79547</v>
      </c>
      <c r="CM183" s="198">
        <v>50323</v>
      </c>
      <c r="CN183" s="198"/>
      <c r="CO183" s="197"/>
      <c r="CP183" s="198"/>
      <c r="CQ183" s="198"/>
      <c r="CR183" s="198"/>
      <c r="CS183" s="198"/>
      <c r="CT183" s="198"/>
      <c r="CU183" s="198"/>
      <c r="CV183" s="197"/>
      <c r="CW183" s="198"/>
      <c r="CX183" s="198"/>
      <c r="CY183" s="198"/>
      <c r="CZ183" s="198"/>
      <c r="DA183" s="198"/>
      <c r="DB183" s="198"/>
      <c r="DC183" s="197"/>
      <c r="DD183" s="198"/>
      <c r="DE183" s="198"/>
      <c r="DF183" s="198"/>
      <c r="DG183" s="198"/>
      <c r="DH183" s="198"/>
      <c r="DI183" s="198"/>
      <c r="DJ183" s="197">
        <f>778.8+46489.6</f>
        <v>47268.4</v>
      </c>
      <c r="DK183" s="198">
        <f>179.5+13268.3</f>
        <v>13447.8</v>
      </c>
      <c r="DL183" s="198">
        <f>1615.3+9734</f>
        <v>11349.3</v>
      </c>
      <c r="DM183" s="198">
        <v>3494.3</v>
      </c>
      <c r="DN183" s="198">
        <f>8582.5-DM183</f>
        <v>5088.2</v>
      </c>
      <c r="DO183" s="198"/>
      <c r="DP183" s="198">
        <f t="shared" si="4"/>
        <v>13888.800000000003</v>
      </c>
      <c r="DQ183" s="197"/>
      <c r="DR183" s="198"/>
      <c r="DS183" s="198"/>
      <c r="DT183" s="198"/>
      <c r="DU183" s="198"/>
      <c r="DV183" s="198"/>
      <c r="DW183" s="198"/>
      <c r="DX183" s="197">
        <v>44588.72565</v>
      </c>
      <c r="DY183" s="198"/>
      <c r="DZ183" s="198">
        <v>32242.206019999998</v>
      </c>
      <c r="EA183" s="198">
        <v>6162.0852400000003</v>
      </c>
      <c r="EB183" s="198">
        <v>4160.5251699999999</v>
      </c>
      <c r="EC183" s="198"/>
      <c r="ED183" s="198">
        <v>2023.9092000000001</v>
      </c>
      <c r="EE183" s="197"/>
      <c r="EF183" s="198"/>
      <c r="EG183" s="198"/>
      <c r="EH183" s="198"/>
      <c r="EI183" s="198"/>
      <c r="EJ183" s="198"/>
      <c r="EK183" s="199"/>
      <c r="EL183" s="197">
        <v>967316.03699199995</v>
      </c>
      <c r="EM183" s="198">
        <v>310319.817301</v>
      </c>
      <c r="EN183" s="198">
        <v>17900.681927000001</v>
      </c>
      <c r="EO183" s="198">
        <v>124719.792569</v>
      </c>
      <c r="EP183" s="198">
        <v>72636.627177000017</v>
      </c>
      <c r="EQ183" s="198"/>
      <c r="ER183" s="199">
        <v>441544.28302299994</v>
      </c>
      <c r="ES183" s="197">
        <v>10970.24590717</v>
      </c>
      <c r="ET183" s="198">
        <v>1207.0527662100001</v>
      </c>
      <c r="EU183" s="198">
        <v>2660.0361452100001</v>
      </c>
      <c r="EV183" s="198">
        <v>949.96848640999997</v>
      </c>
      <c r="EW183" s="198">
        <v>3135.0729626700004</v>
      </c>
      <c r="EX183" s="198"/>
      <c r="EY183" s="199">
        <f t="shared" si="6"/>
        <v>3018.1155466699993</v>
      </c>
      <c r="EZ183" s="198"/>
      <c r="FA183" s="198"/>
      <c r="FB183" s="198"/>
      <c r="FC183" s="198"/>
      <c r="FD183" s="198"/>
      <c r="FE183" s="198"/>
      <c r="FF183" s="198"/>
      <c r="FG183" s="197"/>
      <c r="FH183" s="198"/>
      <c r="FI183" s="198"/>
      <c r="FJ183" s="198"/>
      <c r="FK183" s="198"/>
      <c r="FL183" s="198"/>
      <c r="FM183" s="198"/>
      <c r="FN183" s="197">
        <v>38201.468000000001</v>
      </c>
      <c r="FO183" s="198">
        <v>10918.26</v>
      </c>
      <c r="FP183" s="198">
        <v>4440.9660000000003</v>
      </c>
      <c r="FQ183" s="198">
        <v>4031.6170000000002</v>
      </c>
      <c r="FR183" s="198">
        <v>3395.64</v>
      </c>
      <c r="FS183" s="198"/>
      <c r="FT183" s="199">
        <f t="shared" si="7"/>
        <v>15414.985000000001</v>
      </c>
      <c r="FU183" s="197"/>
      <c r="FV183" s="198"/>
      <c r="FW183" s="198"/>
      <c r="FX183" s="198"/>
      <c r="FY183" s="198"/>
      <c r="FZ183" s="198"/>
      <c r="GA183" s="199"/>
      <c r="GB183" s="197"/>
      <c r="GC183" s="198"/>
      <c r="GD183" s="198"/>
      <c r="GE183" s="198"/>
      <c r="GF183" s="198"/>
      <c r="GG183" s="198"/>
      <c r="GH183" s="199"/>
      <c r="GI183" s="197"/>
      <c r="GJ183" s="198"/>
      <c r="GK183" s="198"/>
      <c r="GL183" s="198"/>
      <c r="GM183" s="198"/>
      <c r="GN183" s="198"/>
      <c r="GO183" s="199"/>
      <c r="GP183" s="197"/>
      <c r="GQ183" s="198"/>
      <c r="GR183" s="198"/>
      <c r="GS183" s="198"/>
      <c r="GT183" s="198"/>
      <c r="GU183" s="198"/>
      <c r="GV183" s="199"/>
      <c r="GW183" s="197"/>
      <c r="GX183" s="198"/>
      <c r="GY183" s="198"/>
      <c r="GZ183" s="198"/>
      <c r="HA183" s="198"/>
      <c r="HB183" s="198"/>
      <c r="HC183" s="199"/>
      <c r="HD183" s="197"/>
      <c r="HE183" s="198"/>
      <c r="HF183" s="198"/>
      <c r="HG183" s="198"/>
      <c r="HH183" s="198"/>
      <c r="HI183" s="198"/>
      <c r="HJ183" s="199"/>
      <c r="HK183" s="197"/>
      <c r="HL183" s="198"/>
      <c r="HM183" s="198"/>
      <c r="HN183" s="198"/>
      <c r="HO183" s="198"/>
      <c r="HP183" s="198"/>
      <c r="HQ183" s="198"/>
      <c r="HR183" s="197"/>
      <c r="HT183" s="198"/>
      <c r="HU183" s="198"/>
      <c r="HV183" s="198"/>
      <c r="HW183" s="198"/>
      <c r="HX183" s="198"/>
    </row>
    <row r="184" spans="1:233">
      <c r="A184" s="185" t="s">
        <v>499</v>
      </c>
      <c r="B184" s="197"/>
      <c r="C184" s="198"/>
      <c r="D184" s="198"/>
      <c r="E184" s="198"/>
      <c r="F184" s="198"/>
      <c r="G184" s="198"/>
      <c r="H184" s="199"/>
      <c r="I184" s="197">
        <v>74740.800000000003</v>
      </c>
      <c r="J184" s="198"/>
      <c r="K184" s="198"/>
      <c r="L184" s="198">
        <v>11508.1</v>
      </c>
      <c r="M184" s="198">
        <v>2511.4</v>
      </c>
      <c r="N184" s="198"/>
      <c r="O184" s="199">
        <f>[3]arg!$G50</f>
        <v>25415.7</v>
      </c>
      <c r="P184" s="198">
        <v>4310.134</v>
      </c>
      <c r="Q184" s="198">
        <v>67.260999999999996</v>
      </c>
      <c r="R184" s="198">
        <v>492.85100000000006</v>
      </c>
      <c r="S184" s="198">
        <v>324.995</v>
      </c>
      <c r="T184" s="198">
        <v>2568.0129999999999</v>
      </c>
      <c r="U184" s="198"/>
      <c r="V184" s="199">
        <v>857.01399999999944</v>
      </c>
      <c r="W184" s="198">
        <v>2969.6060000000002</v>
      </c>
      <c r="X184" s="198">
        <v>86.424000000000007</v>
      </c>
      <c r="Y184" s="198">
        <v>645.13499999999999</v>
      </c>
      <c r="Z184" s="198">
        <v>218.00399999999999</v>
      </c>
      <c r="AA184" s="198">
        <v>1178.7860000000001</v>
      </c>
      <c r="AB184" s="198"/>
      <c r="AC184" s="199">
        <f t="shared" si="3"/>
        <v>841.25700000000052</v>
      </c>
      <c r="AD184" s="198"/>
      <c r="AE184" s="198">
        <v>32.174999999999997</v>
      </c>
      <c r="AF184" s="198">
        <v>206.428</v>
      </c>
      <c r="AG184" s="198">
        <v>277.72399999999999</v>
      </c>
      <c r="AH184" s="198">
        <v>203.654</v>
      </c>
      <c r="AI184" s="198"/>
      <c r="AJ184" s="198"/>
      <c r="AK184" s="197"/>
      <c r="AL184" s="198"/>
      <c r="AM184" s="198"/>
      <c r="AN184" s="198"/>
      <c r="AO184" s="198"/>
      <c r="AP184" s="198"/>
      <c r="AQ184" s="199"/>
      <c r="AR184" s="198">
        <v>381845.67746263009</v>
      </c>
      <c r="AS184" s="198">
        <v>118642.19917178003</v>
      </c>
      <c r="AT184" s="198">
        <v>40795.05736028</v>
      </c>
      <c r="AU184" s="198">
        <v>24293.568239889995</v>
      </c>
      <c r="AV184" s="198">
        <v>88331.29522159</v>
      </c>
      <c r="AW184" s="198"/>
      <c r="AX184" s="198">
        <v>109783.55746909007</v>
      </c>
      <c r="AY184" s="197">
        <v>31771424.938499998</v>
      </c>
      <c r="AZ184" s="198"/>
      <c r="BA184" s="198">
        <v>23675351.233399995</v>
      </c>
      <c r="BB184" s="198">
        <v>5484427.5963000003</v>
      </c>
      <c r="BC184" s="198">
        <v>2611646.1088</v>
      </c>
      <c r="BD184" s="198"/>
      <c r="BE184" s="198"/>
      <c r="BF184" s="197">
        <v>49865245.420000002</v>
      </c>
      <c r="BG184" s="198"/>
      <c r="BH184" s="198">
        <v>30701750.619999997</v>
      </c>
      <c r="BI184" s="198">
        <v>10813199.519999998</v>
      </c>
      <c r="BJ184" s="198">
        <v>7992758.910000002</v>
      </c>
      <c r="BK184" s="198">
        <v>357536.37</v>
      </c>
      <c r="BL184" s="198"/>
      <c r="BM184" s="197">
        <v>1917443.5009999999</v>
      </c>
      <c r="BN184" s="198">
        <v>160092.976</v>
      </c>
      <c r="BO184" s="198">
        <v>314598.02500000002</v>
      </c>
      <c r="BP184" s="198">
        <v>511041.147</v>
      </c>
      <c r="BQ184" s="198">
        <v>475139.27899999998</v>
      </c>
      <c r="BR184" s="198"/>
      <c r="BS184" s="198">
        <f t="shared" si="2"/>
        <v>456572.07399999979</v>
      </c>
      <c r="BT184" s="197"/>
      <c r="BU184" s="198"/>
      <c r="BV184" s="198"/>
      <c r="BW184" s="198"/>
      <c r="BX184" s="198"/>
      <c r="BY184" s="198"/>
      <c r="BZ184" s="198"/>
      <c r="CA184" s="197"/>
      <c r="CB184" s="198"/>
      <c r="CC184" s="198"/>
      <c r="CD184" s="198"/>
      <c r="CE184" s="198"/>
      <c r="CF184" s="198"/>
      <c r="CG184" s="198"/>
      <c r="CH184" s="197"/>
      <c r="CI184" s="198"/>
      <c r="CJ184" s="198">
        <v>2587604.9595799996</v>
      </c>
      <c r="CK184" s="198"/>
      <c r="CL184" s="198">
        <v>1231393.56311</v>
      </c>
      <c r="CM184" s="198">
        <v>59444</v>
      </c>
      <c r="CN184" s="198"/>
      <c r="CO184" s="197"/>
      <c r="CP184" s="198"/>
      <c r="CQ184" s="198"/>
      <c r="CR184" s="198"/>
      <c r="CS184" s="198"/>
      <c r="CT184" s="198"/>
      <c r="CU184" s="198"/>
      <c r="CV184" s="197"/>
      <c r="CW184" s="198"/>
      <c r="CX184" s="198"/>
      <c r="CY184" s="198"/>
      <c r="CZ184" s="198"/>
      <c r="DA184" s="198"/>
      <c r="DB184" s="198"/>
      <c r="DC184" s="197"/>
      <c r="DD184" s="198"/>
      <c r="DE184" s="198"/>
      <c r="DF184" s="198"/>
      <c r="DG184" s="198"/>
      <c r="DH184" s="198"/>
      <c r="DI184" s="198"/>
      <c r="DJ184" s="197">
        <f>888.2+47294.1</f>
        <v>48182.299999999996</v>
      </c>
      <c r="DK184" s="198">
        <f>179+13277.2</f>
        <v>13456.2</v>
      </c>
      <c r="DL184" s="198">
        <f>1.1+1588.2+9980.5</f>
        <v>11569.8</v>
      </c>
      <c r="DM184" s="198">
        <v>3585.3</v>
      </c>
      <c r="DN184" s="198">
        <f>8808.4-DM184</f>
        <v>5223.0999999999995</v>
      </c>
      <c r="DO184" s="198"/>
      <c r="DP184" s="198">
        <f t="shared" si="4"/>
        <v>14347.899999999994</v>
      </c>
      <c r="DQ184" s="197"/>
      <c r="DR184" s="198"/>
      <c r="DS184" s="198"/>
      <c r="DT184" s="198"/>
      <c r="DU184" s="198"/>
      <c r="DV184" s="198"/>
      <c r="DW184" s="198"/>
      <c r="DX184" s="197">
        <v>46731.822249999997</v>
      </c>
      <c r="DY184" s="198"/>
      <c r="DZ184" s="198">
        <v>33952.723890000001</v>
      </c>
      <c r="EA184" s="198">
        <v>6216.7858900000001</v>
      </c>
      <c r="EB184" s="198">
        <v>4342.5189700000001</v>
      </c>
      <c r="EC184" s="198"/>
      <c r="ED184" s="198">
        <v>2219.7934700000001</v>
      </c>
      <c r="EE184" s="197"/>
      <c r="EF184" s="198"/>
      <c r="EG184" s="198"/>
      <c r="EH184" s="198"/>
      <c r="EI184" s="198"/>
      <c r="EJ184" s="198"/>
      <c r="EK184" s="199"/>
      <c r="EL184" s="197">
        <v>972639.593108</v>
      </c>
      <c r="EM184" s="198">
        <v>316910.9351</v>
      </c>
      <c r="EN184" s="198">
        <v>19958.978661000001</v>
      </c>
      <c r="EO184" s="198">
        <v>124861.586079</v>
      </c>
      <c r="EP184" s="198">
        <v>75046.732642999996</v>
      </c>
      <c r="EQ184" s="198"/>
      <c r="ER184" s="199">
        <v>435596.76846300001</v>
      </c>
      <c r="ES184" s="197">
        <v>11156.5721423</v>
      </c>
      <c r="ET184" s="198">
        <v>1203.80675688</v>
      </c>
      <c r="EU184" s="198">
        <v>2801.6946763300002</v>
      </c>
      <c r="EV184" s="198">
        <v>998.57244156000002</v>
      </c>
      <c r="EW184" s="198">
        <v>3191.25651139</v>
      </c>
      <c r="EX184" s="198"/>
      <c r="EY184" s="199">
        <f t="shared" si="6"/>
        <v>2961.2417561399998</v>
      </c>
      <c r="EZ184" s="198"/>
      <c r="FA184" s="198"/>
      <c r="FB184" s="198"/>
      <c r="FC184" s="198"/>
      <c r="FD184" s="198"/>
      <c r="FE184" s="198"/>
      <c r="FF184" s="198"/>
      <c r="FG184" s="197"/>
      <c r="FH184" s="198"/>
      <c r="FI184" s="198"/>
      <c r="FJ184" s="198"/>
      <c r="FK184" s="198"/>
      <c r="FL184" s="198"/>
      <c r="FM184" s="198"/>
      <c r="FN184" s="197">
        <v>37824.625999999997</v>
      </c>
      <c r="FO184" s="198">
        <v>10737.23</v>
      </c>
      <c r="FP184" s="198">
        <v>4640.5469999999996</v>
      </c>
      <c r="FQ184" s="198">
        <v>3980.48</v>
      </c>
      <c r="FR184" s="198">
        <v>3443.8710000000001</v>
      </c>
      <c r="FS184" s="198"/>
      <c r="FT184" s="199">
        <f t="shared" si="7"/>
        <v>15022.498</v>
      </c>
      <c r="FU184" s="197"/>
      <c r="FV184" s="198"/>
      <c r="FW184" s="198"/>
      <c r="FX184" s="198"/>
      <c r="FY184" s="198"/>
      <c r="FZ184" s="198"/>
      <c r="GA184" s="199"/>
      <c r="GB184" s="197"/>
      <c r="GC184" s="198"/>
      <c r="GD184" s="198"/>
      <c r="GE184" s="198"/>
      <c r="GF184" s="198"/>
      <c r="GG184" s="198"/>
      <c r="GH184" s="199"/>
      <c r="GI184" s="197"/>
      <c r="GJ184" s="198"/>
      <c r="GK184" s="198"/>
      <c r="GL184" s="198"/>
      <c r="GM184" s="198"/>
      <c r="GN184" s="198"/>
      <c r="GO184" s="199"/>
      <c r="GP184" s="197"/>
      <c r="GQ184" s="198"/>
      <c r="GR184" s="198"/>
      <c r="GS184" s="198"/>
      <c r="GT184" s="198"/>
      <c r="GU184" s="198"/>
      <c r="GV184" s="199"/>
      <c r="GW184" s="197"/>
      <c r="GX184" s="198"/>
      <c r="GY184" s="198"/>
      <c r="GZ184" s="198"/>
      <c r="HA184" s="198"/>
      <c r="HB184" s="198"/>
      <c r="HC184" s="199"/>
      <c r="HD184" s="197"/>
      <c r="HE184" s="198"/>
      <c r="HF184" s="198"/>
      <c r="HG184" s="198"/>
      <c r="HH184" s="198"/>
      <c r="HI184" s="198"/>
      <c r="HJ184" s="199"/>
      <c r="HK184" s="197"/>
      <c r="HL184" s="198"/>
      <c r="HM184" s="198"/>
      <c r="HN184" s="198"/>
      <c r="HO184" s="198"/>
      <c r="HP184" s="198"/>
      <c r="HQ184" s="198"/>
      <c r="HR184" s="197"/>
      <c r="HT184" s="198"/>
      <c r="HU184" s="198"/>
      <c r="HV184" s="198"/>
      <c r="HW184" s="198"/>
      <c r="HX184" s="198"/>
    </row>
    <row r="185" spans="1:233">
      <c r="A185" s="202" t="s">
        <v>500</v>
      </c>
      <c r="B185" s="203">
        <v>1815.056</v>
      </c>
      <c r="C185" s="204">
        <v>52.594999999999999</v>
      </c>
      <c r="D185" s="204">
        <v>379.30900000000003</v>
      </c>
      <c r="E185" s="204">
        <v>393.101</v>
      </c>
      <c r="F185" s="204">
        <v>382.72</v>
      </c>
      <c r="G185" s="204"/>
      <c r="H185" s="205">
        <v>607.33100000000002</v>
      </c>
      <c r="I185" s="203">
        <v>72839.5</v>
      </c>
      <c r="J185" s="204"/>
      <c r="K185" s="204"/>
      <c r="L185" s="204">
        <v>11410.7</v>
      </c>
      <c r="M185" s="204">
        <v>2409.6999999999998</v>
      </c>
      <c r="N185" s="204"/>
      <c r="O185" s="205">
        <f>[3]arg!$G51</f>
        <v>24649.7</v>
      </c>
      <c r="P185" s="204">
        <v>4291.3209999999999</v>
      </c>
      <c r="Q185" s="204">
        <v>64.435000000000002</v>
      </c>
      <c r="R185" s="204">
        <v>492.77099999999996</v>
      </c>
      <c r="S185" s="204">
        <v>329.35599999999999</v>
      </c>
      <c r="T185" s="204">
        <v>2581.54</v>
      </c>
      <c r="U185" s="204"/>
      <c r="V185" s="205">
        <v>823.21899999999948</v>
      </c>
      <c r="W185" s="204">
        <v>2910.32</v>
      </c>
      <c r="X185" s="204">
        <v>86.061000000000007</v>
      </c>
      <c r="Y185" s="204">
        <v>654.79500000000007</v>
      </c>
      <c r="Z185" s="204">
        <v>227.637</v>
      </c>
      <c r="AA185" s="204">
        <v>1184.2539999999999</v>
      </c>
      <c r="AB185" s="204"/>
      <c r="AC185" s="205">
        <f t="shared" si="3"/>
        <v>757.57300000000009</v>
      </c>
      <c r="AD185" s="204">
        <f>[1]datos!$S317</f>
        <v>1120.9169999999999</v>
      </c>
      <c r="AE185" s="204">
        <v>23.021000000000001</v>
      </c>
      <c r="AF185" s="204">
        <v>204.697</v>
      </c>
      <c r="AG185" s="204">
        <v>285.52499999999998</v>
      </c>
      <c r="AH185" s="204">
        <v>191.54400000000001</v>
      </c>
      <c r="AI185" s="204">
        <f>[1]datos!$U317</f>
        <v>216.38900000000001</v>
      </c>
      <c r="AJ185" s="204">
        <f>AD185-AE185-AF185-AG185-AH185-AI185</f>
        <v>199.74099999999999</v>
      </c>
      <c r="AK185" s="203">
        <v>24808.337242000001</v>
      </c>
      <c r="AL185" s="204"/>
      <c r="AM185" s="204"/>
      <c r="AN185" s="204"/>
      <c r="AO185" s="204"/>
      <c r="AP185" s="204"/>
      <c r="AQ185" s="205"/>
      <c r="AR185" s="204">
        <v>384396.25861686002</v>
      </c>
      <c r="AS185" s="204">
        <v>115952.86126709002</v>
      </c>
      <c r="AT185" s="204">
        <v>40388.196212229996</v>
      </c>
      <c r="AU185" s="204">
        <v>24385.32330353</v>
      </c>
      <c r="AV185" s="204">
        <v>88230.529054399987</v>
      </c>
      <c r="AW185" s="204"/>
      <c r="AX185" s="204">
        <v>115439.34877961004</v>
      </c>
      <c r="AY185" s="203">
        <v>31674779.228700001</v>
      </c>
      <c r="AZ185" s="204"/>
      <c r="BA185" s="204">
        <v>23506669.049800001</v>
      </c>
      <c r="BB185" s="204">
        <v>5485341.3272000002</v>
      </c>
      <c r="BC185" s="204">
        <v>2682768.8517</v>
      </c>
      <c r="BD185" s="204"/>
      <c r="BE185" s="204"/>
      <c r="BF185" s="203">
        <v>50505197.269999996</v>
      </c>
      <c r="BG185" s="204"/>
      <c r="BH185" s="204">
        <v>31085991.66</v>
      </c>
      <c r="BI185" s="204">
        <v>10918189.73</v>
      </c>
      <c r="BJ185" s="204">
        <v>8109765.9299999988</v>
      </c>
      <c r="BK185" s="204">
        <v>391249.95</v>
      </c>
      <c r="BL185" s="204"/>
      <c r="BM185" s="203">
        <v>1957320.9069999999</v>
      </c>
      <c r="BN185" s="204">
        <v>161554.56899999999</v>
      </c>
      <c r="BO185" s="204">
        <v>319097.68400000001</v>
      </c>
      <c r="BP185" s="204">
        <v>516008.08399999997</v>
      </c>
      <c r="BQ185" s="204">
        <v>493179.14600000001</v>
      </c>
      <c r="BR185" s="204"/>
      <c r="BS185" s="204">
        <f t="shared" si="2"/>
        <v>467481.42399999988</v>
      </c>
      <c r="BT185" s="203"/>
      <c r="BU185" s="204"/>
      <c r="BV185" s="204"/>
      <c r="BW185" s="204"/>
      <c r="BX185" s="204"/>
      <c r="BY185" s="204"/>
      <c r="BZ185" s="204"/>
      <c r="CA185" s="203">
        <v>529.08699999999999</v>
      </c>
      <c r="CB185" s="204">
        <v>23.969000000000001</v>
      </c>
      <c r="CC185" s="204">
        <v>98.781000000000006</v>
      </c>
      <c r="CD185" s="204">
        <v>138.732</v>
      </c>
      <c r="CE185" s="204">
        <v>91.218999999999994</v>
      </c>
      <c r="CF185" s="204"/>
      <c r="CG185" s="204">
        <f>CA185-CB185-CC185-CD185-CE185</f>
        <v>176.38600000000002</v>
      </c>
      <c r="CH185" s="203">
        <v>4188294.9622599999</v>
      </c>
      <c r="CI185" s="204"/>
      <c r="CJ185" s="204">
        <v>2520055.8670000001</v>
      </c>
      <c r="CK185" s="204">
        <f>[4]créditos!$O14</f>
        <v>392556.10915000003</v>
      </c>
      <c r="CL185" s="204">
        <v>1202448.9861099999</v>
      </c>
      <c r="CM185" s="204">
        <v>73234</v>
      </c>
      <c r="CN185" s="204"/>
      <c r="CO185" s="203"/>
      <c r="CP185" s="204"/>
      <c r="CQ185" s="204"/>
      <c r="CR185" s="204"/>
      <c r="CS185" s="204"/>
      <c r="CT185" s="204"/>
      <c r="CU185" s="204"/>
      <c r="CV185" s="203">
        <v>1085.454</v>
      </c>
      <c r="CW185" s="204">
        <v>36.375</v>
      </c>
      <c r="CX185" s="204">
        <v>160.90899999999999</v>
      </c>
      <c r="CY185" s="204">
        <v>334.37799999999999</v>
      </c>
      <c r="CZ185" s="204">
        <v>287.13499999999999</v>
      </c>
      <c r="DA185" s="204"/>
      <c r="DB185" s="204">
        <f>CV185-CW185-CX185-CY185-CZ185</f>
        <v>266.65699999999993</v>
      </c>
      <c r="DC185" s="203"/>
      <c r="DD185" s="204"/>
      <c r="DE185" s="204"/>
      <c r="DF185" s="204"/>
      <c r="DG185" s="204"/>
      <c r="DH185" s="204"/>
      <c r="DI185" s="204"/>
      <c r="DJ185" s="203">
        <f>816.8+48105.7</f>
        <v>48922.5</v>
      </c>
      <c r="DK185" s="204">
        <f>190+13716.3</f>
        <v>13906.3</v>
      </c>
      <c r="DL185" s="204">
        <f>1652.8+9938.4</f>
        <v>11591.199999999999</v>
      </c>
      <c r="DM185" s="204">
        <v>3850.7</v>
      </c>
      <c r="DN185" s="204">
        <f>9073.5-DM185</f>
        <v>5222.8</v>
      </c>
      <c r="DO185" s="204"/>
      <c r="DP185" s="204">
        <f t="shared" si="4"/>
        <v>14351.5</v>
      </c>
      <c r="DQ185" s="203"/>
      <c r="DR185" s="204"/>
      <c r="DS185" s="204"/>
      <c r="DT185" s="204"/>
      <c r="DU185" s="204"/>
      <c r="DV185" s="204"/>
      <c r="DW185" s="204"/>
      <c r="DX185" s="203">
        <v>44683.422340000005</v>
      </c>
      <c r="DY185" s="204"/>
      <c r="DZ185" s="204">
        <v>32741.574530000002</v>
      </c>
      <c r="EA185" s="204">
        <v>5779.8698700000004</v>
      </c>
      <c r="EB185" s="204">
        <v>4351.8238700000002</v>
      </c>
      <c r="EC185" s="204"/>
      <c r="ED185" s="204">
        <v>1810.15408</v>
      </c>
      <c r="EE185" s="203">
        <v>73943.319000000003</v>
      </c>
      <c r="EF185" s="204">
        <v>3178.1129999999998</v>
      </c>
      <c r="EG185" s="204">
        <v>11745.083000000001</v>
      </c>
      <c r="EH185" s="204">
        <v>3326.38</v>
      </c>
      <c r="EI185" s="204">
        <v>17127.912</v>
      </c>
      <c r="EJ185" s="204"/>
      <c r="EK185" s="205">
        <f>EE185-EF185-EG185-EH185-EI185</f>
        <v>38565.831000000006</v>
      </c>
      <c r="EL185" s="203">
        <v>986671.3321789999</v>
      </c>
      <c r="EM185" s="204">
        <v>320674.18696199998</v>
      </c>
      <c r="EN185" s="204">
        <v>26199.681016999995</v>
      </c>
      <c r="EO185" s="204">
        <v>123770.03570799998</v>
      </c>
      <c r="EP185" s="204">
        <v>77840.757236000005</v>
      </c>
      <c r="EQ185" s="204"/>
      <c r="ER185" s="205">
        <v>437995.06405200006</v>
      </c>
      <c r="ES185" s="203">
        <v>11327.065088070001</v>
      </c>
      <c r="ET185" s="204">
        <v>1257.8167721299999</v>
      </c>
      <c r="EU185" s="204">
        <v>2910.5947940400001</v>
      </c>
      <c r="EV185" s="204">
        <v>1017.0201809599999</v>
      </c>
      <c r="EW185" s="204">
        <v>3221.95357917</v>
      </c>
      <c r="EX185" s="204"/>
      <c r="EY185" s="205">
        <f t="shared" si="6"/>
        <v>2919.6797617700013</v>
      </c>
      <c r="EZ185" s="204">
        <v>11489</v>
      </c>
      <c r="FA185" s="204">
        <v>639</v>
      </c>
      <c r="FB185" s="204">
        <v>3112</v>
      </c>
      <c r="FC185" s="204">
        <v>3019</v>
      </c>
      <c r="FD185" s="204">
        <v>2483</v>
      </c>
      <c r="FE185" s="204">
        <v>34</v>
      </c>
      <c r="FF185" s="204">
        <f t="shared" ref="FF185:FF209" si="8">EZ185-FA185-FB185-FC185-FD185</f>
        <v>2236</v>
      </c>
      <c r="FG185" s="203"/>
      <c r="FH185" s="204"/>
      <c r="FI185" s="204"/>
      <c r="FJ185" s="204"/>
      <c r="FK185" s="204"/>
      <c r="FL185" s="204"/>
      <c r="FM185" s="204"/>
      <c r="FN185" s="203">
        <v>37893.273999999998</v>
      </c>
      <c r="FO185" s="204">
        <v>10617.656000000001</v>
      </c>
      <c r="FP185" s="204">
        <v>4512.8069999999998</v>
      </c>
      <c r="FQ185" s="204">
        <v>4040.7860000000001</v>
      </c>
      <c r="FR185" s="204">
        <v>3566.953</v>
      </c>
      <c r="FS185" s="204"/>
      <c r="FT185" s="205">
        <f t="shared" si="7"/>
        <v>15155.071999999996</v>
      </c>
      <c r="FU185" s="203"/>
      <c r="FV185" s="204"/>
      <c r="FW185" s="204"/>
      <c r="FX185" s="204"/>
      <c r="FY185" s="204"/>
      <c r="FZ185" s="204"/>
      <c r="GA185" s="205"/>
      <c r="GB185" s="203">
        <v>1085.595</v>
      </c>
      <c r="GC185" s="204">
        <v>22.317</v>
      </c>
      <c r="GD185" s="204">
        <v>188.417</v>
      </c>
      <c r="GE185" s="204">
        <v>238.76900000000001</v>
      </c>
      <c r="GF185" s="204">
        <v>186.941</v>
      </c>
      <c r="GG185" s="204"/>
      <c r="GH185" s="205">
        <f>GB185-GC185-GD185-GE185-GF185</f>
        <v>449.15099999999995</v>
      </c>
      <c r="GI185" s="203">
        <v>787.29</v>
      </c>
      <c r="GJ185" s="204">
        <v>19.867000000000001</v>
      </c>
      <c r="GK185" s="204">
        <v>126.533</v>
      </c>
      <c r="GL185" s="204">
        <v>279.464</v>
      </c>
      <c r="GM185" s="204">
        <v>153.18299999999999</v>
      </c>
      <c r="GN185" s="204"/>
      <c r="GO185" s="205">
        <f>GI185-GJ185-GK185-GL185-GM185</f>
        <v>208.24299999999999</v>
      </c>
      <c r="GP185" s="203">
        <v>1721.2139999999999</v>
      </c>
      <c r="GQ185" s="204">
        <v>56.866999999999997</v>
      </c>
      <c r="GR185" s="204">
        <v>426.23700000000002</v>
      </c>
      <c r="GS185" s="204">
        <v>325.69499999999999</v>
      </c>
      <c r="GT185" s="204">
        <v>432.423</v>
      </c>
      <c r="GU185" s="204"/>
      <c r="GV185" s="205">
        <f>GP185-GQ185-GR185-GS185-GT185</f>
        <v>479.99199999999996</v>
      </c>
      <c r="GW185" s="203"/>
      <c r="GX185" s="204"/>
      <c r="GY185" s="204"/>
      <c r="GZ185" s="204"/>
      <c r="HA185" s="204"/>
      <c r="HB185" s="204"/>
      <c r="HC185" s="205"/>
      <c r="HD185" s="203">
        <f>'[2]t&amp;t'!W317</f>
        <v>14853.3</v>
      </c>
      <c r="HE185" s="204">
        <f>'[2]t&amp;t'!X317</f>
        <v>2098.1000000000004</v>
      </c>
      <c r="HF185" s="204">
        <f>'[2]t&amp;t'!Y317</f>
        <v>1118.2</v>
      </c>
      <c r="HG185" s="204">
        <f>'[2]t&amp;t'!Z317</f>
        <v>839.1</v>
      </c>
      <c r="HH185" s="204">
        <f>'[2]t&amp;t'!AA317</f>
        <v>5600.9</v>
      </c>
      <c r="HI185" s="204"/>
      <c r="HJ185" s="205">
        <f>'[2]t&amp;t'!AC317</f>
        <v>5197</v>
      </c>
      <c r="HK185" s="203"/>
      <c r="HL185" s="204"/>
      <c r="HM185" s="204"/>
      <c r="HN185" s="204"/>
      <c r="HO185" s="204"/>
      <c r="HP185" s="204"/>
      <c r="HQ185" s="204"/>
      <c r="HR185" s="203">
        <v>10290.120999999999</v>
      </c>
      <c r="HS185" s="206"/>
      <c r="HT185" s="204">
        <v>6767.6809999999996</v>
      </c>
      <c r="HU185" s="204">
        <v>658.95</v>
      </c>
      <c r="HV185" s="204">
        <v>1721.674</v>
      </c>
      <c r="HW185" s="204">
        <v>58.939</v>
      </c>
      <c r="HX185" s="204">
        <v>1082.877</v>
      </c>
      <c r="HY185" s="198"/>
    </row>
    <row r="186" spans="1:233">
      <c r="A186" s="185" t="s">
        <v>670</v>
      </c>
      <c r="B186" s="197"/>
      <c r="C186" s="198"/>
      <c r="D186" s="198"/>
      <c r="E186" s="198"/>
      <c r="F186" s="198"/>
      <c r="G186" s="198"/>
      <c r="H186" s="199"/>
      <c r="I186" s="197">
        <v>72330.8</v>
      </c>
      <c r="J186" s="198"/>
      <c r="K186" s="198"/>
      <c r="L186" s="198">
        <v>11095.1</v>
      </c>
      <c r="M186" s="198">
        <v>2330.1</v>
      </c>
      <c r="N186" s="198"/>
      <c r="O186" s="199">
        <f>[3]arg!$G52</f>
        <v>23758.5</v>
      </c>
      <c r="P186" s="198">
        <v>4276.232</v>
      </c>
      <c r="Q186" s="198">
        <v>67.271000000000001</v>
      </c>
      <c r="R186" s="198">
        <v>490.20400000000001</v>
      </c>
      <c r="S186" s="198">
        <v>330.149</v>
      </c>
      <c r="T186" s="198">
        <v>2572.1959999999999</v>
      </c>
      <c r="U186" s="198"/>
      <c r="V186" s="199">
        <v>816.41200000000026</v>
      </c>
      <c r="W186" s="198">
        <v>2801.5940000000001</v>
      </c>
      <c r="X186" s="198">
        <v>88.561999999999998</v>
      </c>
      <c r="Y186" s="198">
        <v>645.57399999999996</v>
      </c>
      <c r="Z186" s="198">
        <v>227.53299999999999</v>
      </c>
      <c r="AA186" s="198">
        <v>1181.29</v>
      </c>
      <c r="AB186" s="198"/>
      <c r="AC186" s="199">
        <f t="shared" si="3"/>
        <v>658.63500000000022</v>
      </c>
      <c r="AD186" s="198"/>
      <c r="AE186" s="198">
        <v>21.096</v>
      </c>
      <c r="AF186" s="198">
        <v>202.191</v>
      </c>
      <c r="AG186" s="198">
        <v>295.68</v>
      </c>
      <c r="AH186" s="198">
        <v>181.012</v>
      </c>
      <c r="AI186" s="198"/>
      <c r="AJ186" s="198"/>
      <c r="AK186" s="197"/>
      <c r="AL186" s="198"/>
      <c r="AM186" s="198"/>
      <c r="AN186" s="198"/>
      <c r="AO186" s="198"/>
      <c r="AP186" s="198"/>
      <c r="AQ186" s="199"/>
      <c r="AR186" s="198">
        <v>384507.50669862004</v>
      </c>
      <c r="AS186" s="198">
        <v>115823.26790171002</v>
      </c>
      <c r="AT186" s="198">
        <v>39831.607466530004</v>
      </c>
      <c r="AU186" s="198">
        <v>24125.778473800001</v>
      </c>
      <c r="AV186" s="198">
        <v>86273.299103910016</v>
      </c>
      <c r="AW186" s="198"/>
      <c r="AX186" s="198">
        <v>118453.55375267004</v>
      </c>
      <c r="AY186" s="197">
        <v>32117564.418400001</v>
      </c>
      <c r="AZ186" s="198"/>
      <c r="BA186" s="198">
        <v>23891848.651900001</v>
      </c>
      <c r="BB186" s="198">
        <v>5515805.6875999998</v>
      </c>
      <c r="BC186" s="198">
        <v>2709910.0789000001</v>
      </c>
      <c r="BD186" s="198"/>
      <c r="BE186" s="198"/>
      <c r="BF186" s="197">
        <v>50681379.359999999</v>
      </c>
      <c r="BG186" s="198"/>
      <c r="BH186" s="198">
        <v>31109134.779999997</v>
      </c>
      <c r="BI186" s="198">
        <v>10894427.27</v>
      </c>
      <c r="BJ186" s="198">
        <v>8270356.2800000021</v>
      </c>
      <c r="BK186" s="198">
        <v>407461.03</v>
      </c>
      <c r="BL186" s="198"/>
      <c r="BM186" s="197">
        <v>1979535.162</v>
      </c>
      <c r="BN186" s="198">
        <v>168618.27799999999</v>
      </c>
      <c r="BO186" s="198">
        <v>314124.663</v>
      </c>
      <c r="BP186" s="198">
        <v>521571.29700000002</v>
      </c>
      <c r="BQ186" s="198">
        <v>501442.8</v>
      </c>
      <c r="BR186" s="198"/>
      <c r="BS186" s="198">
        <f t="shared" si="2"/>
        <v>473778.12400000007</v>
      </c>
      <c r="BT186" s="197"/>
      <c r="BU186" s="198"/>
      <c r="BV186" s="198"/>
      <c r="BW186" s="198"/>
      <c r="BX186" s="198"/>
      <c r="BY186" s="198"/>
      <c r="BZ186" s="198"/>
      <c r="CA186" s="197"/>
      <c r="CB186" s="198"/>
      <c r="CC186" s="198"/>
      <c r="CD186" s="198"/>
      <c r="CE186" s="198"/>
      <c r="CF186" s="198"/>
      <c r="CG186" s="198"/>
      <c r="CH186" s="197"/>
      <c r="CI186" s="198"/>
      <c r="CJ186" s="198">
        <v>2541603.2918399996</v>
      </c>
      <c r="CK186" s="198"/>
      <c r="CL186" s="198">
        <v>1183956.0210200001</v>
      </c>
      <c r="CM186" s="198">
        <v>73733</v>
      </c>
      <c r="CN186" s="198"/>
      <c r="CO186" s="197">
        <v>5722.8903499999997</v>
      </c>
      <c r="CP186" s="198">
        <v>794.82775000000004</v>
      </c>
      <c r="CQ186" s="198">
        <v>1058.9601499999999</v>
      </c>
      <c r="CR186" s="198">
        <v>1109.12032</v>
      </c>
      <c r="CS186" s="198">
        <v>716.25972999999999</v>
      </c>
      <c r="CT186" s="198"/>
      <c r="CU186" s="198">
        <v>2043.7223999999999</v>
      </c>
      <c r="CV186" s="197"/>
      <c r="CW186" s="198"/>
      <c r="CX186" s="198"/>
      <c r="CY186" s="198"/>
      <c r="CZ186" s="198"/>
      <c r="DA186" s="198"/>
      <c r="DB186" s="198"/>
      <c r="DC186" s="197"/>
      <c r="DD186" s="198"/>
      <c r="DE186" s="198"/>
      <c r="DF186" s="198"/>
      <c r="DG186" s="198"/>
      <c r="DH186" s="198"/>
      <c r="DI186" s="198"/>
      <c r="DJ186" s="197">
        <f>882.5+47176.6</f>
        <v>48059.1</v>
      </c>
      <c r="DK186" s="198">
        <f>391.2+13539.6</f>
        <v>13930.800000000001</v>
      </c>
      <c r="DL186" s="198">
        <f>1852.6+9816.5</f>
        <v>11669.1</v>
      </c>
      <c r="DM186" s="198">
        <v>3989.6</v>
      </c>
      <c r="DN186" s="198">
        <f>9172.6-DM186</f>
        <v>5183</v>
      </c>
      <c r="DO186" s="198"/>
      <c r="DP186" s="198">
        <f t="shared" ref="DP186:DP196" si="9">DJ186-SUM(DK186:DN186)</f>
        <v>13286.599999999999</v>
      </c>
      <c r="DQ186" s="197"/>
      <c r="DR186" s="198"/>
      <c r="DS186" s="198"/>
      <c r="DT186" s="198"/>
      <c r="DU186" s="198"/>
      <c r="DV186" s="198"/>
      <c r="DW186" s="198"/>
      <c r="DX186" s="208">
        <v>45619.967170000004</v>
      </c>
      <c r="DY186" s="198"/>
      <c r="DZ186" s="198">
        <v>33392.00576</v>
      </c>
      <c r="EA186" s="198">
        <v>5894.8491100000001</v>
      </c>
      <c r="EB186" s="198">
        <v>4507.5593399999998</v>
      </c>
      <c r="EC186" s="198"/>
      <c r="ED186" s="198">
        <v>1825.55296</v>
      </c>
      <c r="EE186" s="197"/>
      <c r="EF186" s="198"/>
      <c r="EG186" s="198"/>
      <c r="EH186" s="198"/>
      <c r="EI186" s="198"/>
      <c r="EJ186" s="198"/>
      <c r="EK186" s="199"/>
      <c r="EL186" s="197">
        <v>982361.4337589998</v>
      </c>
      <c r="EM186" s="198">
        <v>317964.16555000003</v>
      </c>
      <c r="EN186" s="198">
        <v>26243.830532</v>
      </c>
      <c r="EO186" s="198">
        <v>123173.49894799998</v>
      </c>
      <c r="EP186" s="198">
        <v>78064.74024899998</v>
      </c>
      <c r="EQ186" s="198"/>
      <c r="ER186" s="199">
        <v>436744.02316999994</v>
      </c>
      <c r="ES186" s="197">
        <v>11451.858390190006</v>
      </c>
      <c r="ET186" s="198">
        <v>1341.6633994900001</v>
      </c>
      <c r="EU186" s="198">
        <v>2897.4974837899999</v>
      </c>
      <c r="EV186" s="198">
        <v>1040.53023697</v>
      </c>
      <c r="EW186" s="198">
        <v>3243.2372548799999</v>
      </c>
      <c r="EX186" s="198"/>
      <c r="EY186" s="199">
        <f t="shared" si="6"/>
        <v>2928.9300150600052</v>
      </c>
      <c r="EZ186" s="198">
        <v>11280</v>
      </c>
      <c r="FA186" s="198">
        <v>624</v>
      </c>
      <c r="FB186" s="198">
        <v>2967</v>
      </c>
      <c r="FC186" s="198">
        <v>3027</v>
      </c>
      <c r="FD186" s="198">
        <v>2546</v>
      </c>
      <c r="FE186" s="198">
        <v>30</v>
      </c>
      <c r="FF186" s="198">
        <f t="shared" si="8"/>
        <v>2116</v>
      </c>
      <c r="FG186" s="197"/>
      <c r="FH186" s="198"/>
      <c r="FI186" s="198"/>
      <c r="FJ186" s="198"/>
      <c r="FK186" s="198"/>
      <c r="FL186" s="198"/>
      <c r="FM186" s="198"/>
      <c r="FN186" s="197">
        <v>36586.375999999997</v>
      </c>
      <c r="FO186" s="198">
        <v>10270.380999999999</v>
      </c>
      <c r="FP186" s="198">
        <v>4181.4210000000003</v>
      </c>
      <c r="FQ186" s="198">
        <v>4007.835</v>
      </c>
      <c r="FR186" s="198">
        <v>3561.5360000000001</v>
      </c>
      <c r="FS186" s="198"/>
      <c r="FT186" s="199">
        <f t="shared" si="7"/>
        <v>14565.202999999998</v>
      </c>
      <c r="FU186" s="197"/>
      <c r="FV186" s="198"/>
      <c r="FW186" s="198"/>
      <c r="FX186" s="198"/>
      <c r="FY186" s="198"/>
      <c r="FZ186" s="198"/>
      <c r="GA186" s="199"/>
      <c r="GB186" s="197"/>
      <c r="GC186" s="198"/>
      <c r="GD186" s="198"/>
      <c r="GE186" s="198"/>
      <c r="GF186" s="198"/>
      <c r="GG186" s="198"/>
      <c r="GH186" s="199"/>
      <c r="GI186" s="197"/>
      <c r="GJ186" s="198"/>
      <c r="GK186" s="198"/>
      <c r="GL186" s="198"/>
      <c r="GM186" s="198"/>
      <c r="GN186" s="198"/>
      <c r="GO186" s="199"/>
      <c r="GP186" s="197"/>
      <c r="GQ186" s="198"/>
      <c r="GR186" s="198"/>
      <c r="GS186" s="198"/>
      <c r="GT186" s="198"/>
      <c r="GU186" s="198"/>
      <c r="GV186" s="199"/>
      <c r="GW186" s="197"/>
      <c r="GX186" s="198"/>
      <c r="GY186" s="198"/>
      <c r="GZ186" s="198"/>
      <c r="HA186" s="198"/>
      <c r="HB186" s="198"/>
      <c r="HC186" s="199"/>
      <c r="HD186" s="197"/>
      <c r="HE186" s="198"/>
      <c r="HF186" s="198"/>
      <c r="HG186" s="198"/>
      <c r="HH186" s="198"/>
      <c r="HI186" s="198"/>
      <c r="HJ186" s="199"/>
      <c r="HK186" s="197"/>
      <c r="HL186" s="198"/>
      <c r="HM186" s="198"/>
      <c r="HN186" s="198"/>
      <c r="HO186" s="198"/>
      <c r="HP186" s="198"/>
      <c r="HQ186" s="198"/>
      <c r="HR186" s="197"/>
      <c r="HT186" s="201"/>
      <c r="HU186" s="201"/>
      <c r="HV186" s="201"/>
      <c r="HW186" s="201"/>
      <c r="HX186" s="198"/>
    </row>
    <row r="187" spans="1:233">
      <c r="A187" s="185" t="s">
        <v>490</v>
      </c>
      <c r="B187" s="197"/>
      <c r="C187" s="198"/>
      <c r="D187" s="198"/>
      <c r="E187" s="198"/>
      <c r="F187" s="198"/>
      <c r="G187" s="198"/>
      <c r="H187" s="199"/>
      <c r="I187" s="197">
        <v>72219.399999999994</v>
      </c>
      <c r="J187" s="198"/>
      <c r="K187" s="198"/>
      <c r="L187" s="198">
        <v>10943.2</v>
      </c>
      <c r="M187" s="198">
        <v>2213</v>
      </c>
      <c r="N187" s="198"/>
      <c r="O187" s="199">
        <f>[3]arg!$G53</f>
        <v>23401.100000000002</v>
      </c>
      <c r="P187" s="198">
        <v>4292.259</v>
      </c>
      <c r="Q187" s="198">
        <v>66.617999999999995</v>
      </c>
      <c r="R187" s="198">
        <v>482.89600000000007</v>
      </c>
      <c r="S187" s="198">
        <v>326.12700000000001</v>
      </c>
      <c r="T187" s="198">
        <v>2568.0770000000002</v>
      </c>
      <c r="U187" s="198"/>
      <c r="V187" s="199">
        <v>848.54099999999994</v>
      </c>
      <c r="W187" s="198">
        <v>2838.8890000000001</v>
      </c>
      <c r="X187" s="198">
        <v>83.656000000000006</v>
      </c>
      <c r="Y187" s="198">
        <v>652.37699999999995</v>
      </c>
      <c r="Z187" s="198">
        <v>230.584</v>
      </c>
      <c r="AA187" s="198">
        <v>1178.7239999999999</v>
      </c>
      <c r="AB187" s="198"/>
      <c r="AC187" s="199">
        <f t="shared" si="3"/>
        <v>693.54800000000023</v>
      </c>
      <c r="AD187" s="198"/>
      <c r="AE187" s="198">
        <v>21.361000000000001</v>
      </c>
      <c r="AF187" s="198">
        <v>203.04699999999997</v>
      </c>
      <c r="AG187" s="198">
        <v>297.98199999999997</v>
      </c>
      <c r="AH187" s="198">
        <v>179.27</v>
      </c>
      <c r="AI187" s="198"/>
      <c r="AJ187" s="198"/>
      <c r="AK187" s="197"/>
      <c r="AL187" s="198"/>
      <c r="AM187" s="198"/>
      <c r="AN187" s="198"/>
      <c r="AO187" s="198"/>
      <c r="AP187" s="198"/>
      <c r="AQ187" s="199"/>
      <c r="AR187" s="198">
        <v>388319.67687152995</v>
      </c>
      <c r="AS187" s="198">
        <v>117225.49620735999</v>
      </c>
      <c r="AT187" s="198">
        <v>40184.362625299997</v>
      </c>
      <c r="AU187" s="198">
        <v>24220.091961139995</v>
      </c>
      <c r="AV187" s="198">
        <v>86655.724850179991</v>
      </c>
      <c r="AW187" s="198"/>
      <c r="AX187" s="198">
        <v>120034.00122754996</v>
      </c>
      <c r="AY187" s="197">
        <v>32176046.092599999</v>
      </c>
      <c r="AZ187" s="198"/>
      <c r="BA187" s="198">
        <v>23910102.342599999</v>
      </c>
      <c r="BB187" s="198">
        <v>5539825.5003000004</v>
      </c>
      <c r="BC187" s="198">
        <v>2726118.2497</v>
      </c>
      <c r="BD187" s="198"/>
      <c r="BE187" s="198"/>
      <c r="BF187" s="197">
        <v>51020879.530000009</v>
      </c>
      <c r="BG187" s="198"/>
      <c r="BH187" s="198">
        <v>31429829.710000001</v>
      </c>
      <c r="BI187" s="198">
        <v>10852860.629999999</v>
      </c>
      <c r="BJ187" s="198">
        <v>8320412.4399999985</v>
      </c>
      <c r="BK187" s="198">
        <v>417776.75</v>
      </c>
      <c r="BL187" s="198"/>
      <c r="BM187" s="197"/>
      <c r="BN187" s="198"/>
      <c r="BO187" s="198"/>
      <c r="BP187" s="198"/>
      <c r="BQ187" s="198"/>
      <c r="BR187" s="198"/>
      <c r="BS187" s="198"/>
      <c r="BT187" s="197"/>
      <c r="BU187" s="198"/>
      <c r="BV187" s="198"/>
      <c r="BW187" s="198"/>
      <c r="BX187" s="198"/>
      <c r="BY187" s="198"/>
      <c r="BZ187" s="198"/>
      <c r="CA187" s="197"/>
      <c r="CB187" s="198"/>
      <c r="CC187" s="198"/>
      <c r="CD187" s="198"/>
      <c r="CE187" s="198"/>
      <c r="CF187" s="198"/>
      <c r="CG187" s="198"/>
      <c r="CH187" s="197"/>
      <c r="CI187" s="198"/>
      <c r="CJ187" s="198">
        <v>2572340.4656199999</v>
      </c>
      <c r="CK187" s="198"/>
      <c r="CL187" s="198">
        <v>1187805.7326</v>
      </c>
      <c r="CM187" s="198">
        <v>74434</v>
      </c>
      <c r="CN187" s="198"/>
      <c r="CO187" s="197">
        <v>5769.8686500000003</v>
      </c>
      <c r="CP187" s="198">
        <v>808.06214999999997</v>
      </c>
      <c r="CQ187" s="198">
        <v>1077.20228</v>
      </c>
      <c r="CR187" s="198">
        <v>1109.346</v>
      </c>
      <c r="CS187" s="198">
        <v>721.98645999999997</v>
      </c>
      <c r="CT187" s="198"/>
      <c r="CU187" s="198">
        <v>2053.2717600000001</v>
      </c>
      <c r="CV187" s="197"/>
      <c r="CW187" s="198"/>
      <c r="CX187" s="198"/>
      <c r="CY187" s="198"/>
      <c r="CZ187" s="198"/>
      <c r="DA187" s="198"/>
      <c r="DB187" s="198"/>
      <c r="DC187" s="197"/>
      <c r="DD187" s="198"/>
      <c r="DE187" s="198"/>
      <c r="DF187" s="198"/>
      <c r="DG187" s="198"/>
      <c r="DH187" s="198"/>
      <c r="DI187" s="198"/>
      <c r="DJ187" s="197">
        <f>974.9+46851.4</f>
        <v>47826.3</v>
      </c>
      <c r="DK187" s="198">
        <f>389.2+13347.5</f>
        <v>13736.7</v>
      </c>
      <c r="DL187" s="198">
        <f>0.5+1788.4+9576.9</f>
        <v>11365.8</v>
      </c>
      <c r="DM187" s="198">
        <v>3929.3</v>
      </c>
      <c r="DN187" s="198">
        <f>9215.6-DM187</f>
        <v>5286.3</v>
      </c>
      <c r="DO187" s="198"/>
      <c r="DP187" s="198">
        <f t="shared" si="9"/>
        <v>13508.200000000004</v>
      </c>
      <c r="DQ187" s="197"/>
      <c r="DR187" s="198"/>
      <c r="DS187" s="198"/>
      <c r="DT187" s="198"/>
      <c r="DU187" s="198"/>
      <c r="DV187" s="198"/>
      <c r="DW187" s="198"/>
      <c r="DX187" s="197">
        <v>45125.150729999994</v>
      </c>
      <c r="DY187" s="198"/>
      <c r="DZ187" s="198">
        <v>33315.681190000003</v>
      </c>
      <c r="EA187" s="198">
        <v>5837.50054</v>
      </c>
      <c r="EB187" s="198">
        <v>4184.4888300000002</v>
      </c>
      <c r="EC187" s="198"/>
      <c r="ED187" s="198">
        <v>1787.4801599999998</v>
      </c>
      <c r="EE187" s="197"/>
      <c r="EF187" s="198"/>
      <c r="EG187" s="198"/>
      <c r="EH187" s="198"/>
      <c r="EI187" s="198"/>
      <c r="EJ187" s="198"/>
      <c r="EK187" s="199"/>
      <c r="EL187" s="197">
        <v>984298.35505100014</v>
      </c>
      <c r="EM187" s="198">
        <v>317034.25597600004</v>
      </c>
      <c r="EN187" s="198">
        <v>28875.097724999996</v>
      </c>
      <c r="EO187" s="198">
        <v>121616.328932</v>
      </c>
      <c r="EP187" s="198">
        <v>79449.829444999996</v>
      </c>
      <c r="EQ187" s="198"/>
      <c r="ER187" s="199">
        <v>437192.29496699991</v>
      </c>
      <c r="ES187" s="197">
        <v>11794.151233150002</v>
      </c>
      <c r="ET187" s="198">
        <v>1384.2274229</v>
      </c>
      <c r="EU187" s="198">
        <v>2991.3880974899998</v>
      </c>
      <c r="EV187" s="198">
        <v>1085.23681341</v>
      </c>
      <c r="EW187" s="198">
        <v>3302.0209857300001</v>
      </c>
      <c r="EX187" s="198"/>
      <c r="EY187" s="199">
        <f t="shared" si="6"/>
        <v>3031.277913620002</v>
      </c>
      <c r="EZ187" s="198">
        <v>11315</v>
      </c>
      <c r="FA187" s="198">
        <v>632</v>
      </c>
      <c r="FB187" s="198">
        <v>2939</v>
      </c>
      <c r="FC187" s="198">
        <v>3021</v>
      </c>
      <c r="FD187" s="198">
        <v>2584</v>
      </c>
      <c r="FE187" s="198">
        <v>29</v>
      </c>
      <c r="FF187" s="198">
        <f t="shared" si="8"/>
        <v>2139</v>
      </c>
      <c r="FG187" s="197"/>
      <c r="FH187" s="198"/>
      <c r="FI187" s="198"/>
      <c r="FJ187" s="198"/>
      <c r="FK187" s="198"/>
      <c r="FL187" s="198"/>
      <c r="FM187" s="198"/>
      <c r="FN187" s="197">
        <v>36799.224000000002</v>
      </c>
      <c r="FO187" s="198">
        <v>10388.445</v>
      </c>
      <c r="FP187" s="198">
        <v>4299.2759999999998</v>
      </c>
      <c r="FQ187" s="198">
        <v>4033.6669999999999</v>
      </c>
      <c r="FR187" s="198">
        <v>3608.1970000000001</v>
      </c>
      <c r="FS187" s="198"/>
      <c r="FT187" s="199">
        <f t="shared" si="7"/>
        <v>14469.639000000003</v>
      </c>
      <c r="FU187" s="197"/>
      <c r="FV187" s="198"/>
      <c r="FW187" s="198"/>
      <c r="FX187" s="198"/>
      <c r="FY187" s="198"/>
      <c r="FZ187" s="198"/>
      <c r="GA187" s="199"/>
      <c r="GB187" s="197"/>
      <c r="GC187" s="198"/>
      <c r="GD187" s="198"/>
      <c r="GE187" s="198"/>
      <c r="GF187" s="198"/>
      <c r="GG187" s="198"/>
      <c r="GH187" s="199"/>
      <c r="GI187" s="197"/>
      <c r="GJ187" s="198"/>
      <c r="GK187" s="198"/>
      <c r="GL187" s="198"/>
      <c r="GM187" s="198"/>
      <c r="GN187" s="198"/>
      <c r="GO187" s="199"/>
      <c r="GP187" s="197"/>
      <c r="GQ187" s="198"/>
      <c r="GR187" s="198"/>
      <c r="GS187" s="198"/>
      <c r="GT187" s="198"/>
      <c r="GU187" s="198"/>
      <c r="GV187" s="199"/>
      <c r="GW187" s="197"/>
      <c r="GX187" s="198"/>
      <c r="GY187" s="198"/>
      <c r="GZ187" s="198"/>
      <c r="HA187" s="198"/>
      <c r="HB187" s="198"/>
      <c r="HC187" s="199"/>
      <c r="HD187" s="197"/>
      <c r="HE187" s="198"/>
      <c r="HF187" s="198"/>
      <c r="HG187" s="198"/>
      <c r="HH187" s="198"/>
      <c r="HI187" s="198"/>
      <c r="HJ187" s="199"/>
      <c r="HK187" s="197"/>
      <c r="HL187" s="198"/>
      <c r="HM187" s="198"/>
      <c r="HN187" s="198"/>
      <c r="HO187" s="198"/>
      <c r="HP187" s="198"/>
      <c r="HQ187" s="198"/>
      <c r="HR187" s="197"/>
      <c r="HT187" s="198"/>
      <c r="HU187" s="198"/>
      <c r="HV187" s="198"/>
      <c r="HW187" s="198"/>
      <c r="HX187" s="198"/>
    </row>
    <row r="188" spans="1:233">
      <c r="A188" s="185" t="s">
        <v>491</v>
      </c>
      <c r="B188" s="197">
        <v>1904.9749999999999</v>
      </c>
      <c r="C188" s="198">
        <v>55.398000000000003</v>
      </c>
      <c r="D188" s="198">
        <v>369.63099999999997</v>
      </c>
      <c r="E188" s="198">
        <v>419.565</v>
      </c>
      <c r="F188" s="198">
        <v>395.78699999999998</v>
      </c>
      <c r="G188" s="198"/>
      <c r="H188" s="199">
        <v>664.59400000000005</v>
      </c>
      <c r="I188" s="197">
        <v>71500.600000000006</v>
      </c>
      <c r="J188" s="198"/>
      <c r="K188" s="198"/>
      <c r="L188" s="198">
        <v>10615.9</v>
      </c>
      <c r="M188" s="198">
        <v>2132.3000000000002</v>
      </c>
      <c r="N188" s="198"/>
      <c r="O188" s="199">
        <f>[3]arg!$G54</f>
        <v>22419.799999999996</v>
      </c>
      <c r="P188" s="198">
        <v>4303.7550000000001</v>
      </c>
      <c r="Q188" s="198">
        <v>65.456000000000003</v>
      </c>
      <c r="R188" s="198">
        <v>478.69900000000001</v>
      </c>
      <c r="S188" s="198">
        <v>323.10699999999997</v>
      </c>
      <c r="T188" s="198">
        <v>2561.3319999999999</v>
      </c>
      <c r="U188" s="198"/>
      <c r="V188" s="199">
        <v>875.16100000000029</v>
      </c>
      <c r="W188" s="198">
        <v>2810.9630000000002</v>
      </c>
      <c r="X188" s="198">
        <v>85.596999999999994</v>
      </c>
      <c r="Y188" s="198">
        <v>644.38099999999997</v>
      </c>
      <c r="Z188" s="198">
        <v>230.43100000000001</v>
      </c>
      <c r="AA188" s="198">
        <v>1146.546</v>
      </c>
      <c r="AB188" s="198"/>
      <c r="AC188" s="199">
        <f t="shared" si="3"/>
        <v>704.00800000000004</v>
      </c>
      <c r="AD188" s="198">
        <f>[1]datos!$S320</f>
        <v>1143.7809999999999</v>
      </c>
      <c r="AE188" s="198">
        <v>21.49</v>
      </c>
      <c r="AF188" s="198">
        <v>202.86600000000001</v>
      </c>
      <c r="AG188" s="198">
        <v>304.11399999999998</v>
      </c>
      <c r="AH188" s="198">
        <v>178.77699999999999</v>
      </c>
      <c r="AI188" s="198">
        <f>[1]datos!$U320</f>
        <v>215.87200000000001</v>
      </c>
      <c r="AJ188" s="198">
        <f>AD188-AE188-AF188-AG188-AH188-AI188</f>
        <v>220.66199999999992</v>
      </c>
      <c r="AK188" s="197">
        <v>25196.959536299997</v>
      </c>
      <c r="AL188" s="198"/>
      <c r="AM188" s="198"/>
      <c r="AN188" s="198"/>
      <c r="AO188" s="198"/>
      <c r="AP188" s="198"/>
      <c r="AQ188" s="199"/>
      <c r="AR188" s="198">
        <v>386969.21492969996</v>
      </c>
      <c r="AS188" s="198">
        <v>115284.92131084</v>
      </c>
      <c r="AT188" s="198">
        <v>39788.818967550003</v>
      </c>
      <c r="AU188" s="198">
        <v>24291.791491390002</v>
      </c>
      <c r="AV188" s="198">
        <v>87780.558619770003</v>
      </c>
      <c r="AW188" s="198"/>
      <c r="AX188" s="198">
        <v>119823.12454014995</v>
      </c>
      <c r="AY188" s="197">
        <v>32342305.655099999</v>
      </c>
      <c r="AZ188" s="198"/>
      <c r="BA188" s="198">
        <v>23857969.594300002</v>
      </c>
      <c r="BB188" s="198">
        <v>5653432.5506999996</v>
      </c>
      <c r="BC188" s="198">
        <v>2830903.5101000001</v>
      </c>
      <c r="BD188" s="198"/>
      <c r="BE188" s="198"/>
      <c r="BF188" s="197">
        <v>51468690.710000001</v>
      </c>
      <c r="BG188" s="198"/>
      <c r="BH188" s="198">
        <v>31773531.350000001</v>
      </c>
      <c r="BI188" s="198">
        <v>10910629.870000001</v>
      </c>
      <c r="BJ188" s="198">
        <v>8357137.1600000001</v>
      </c>
      <c r="BK188" s="198">
        <v>427392.33</v>
      </c>
      <c r="BL188" s="198"/>
      <c r="BM188" s="197">
        <v>2026029.1129999999</v>
      </c>
      <c r="BN188" s="198">
        <v>172874.01199999999</v>
      </c>
      <c r="BO188" s="198">
        <v>326095.84399999998</v>
      </c>
      <c r="BP188" s="198">
        <v>545705.62899999996</v>
      </c>
      <c r="BQ188" s="198">
        <v>495372.71299999999</v>
      </c>
      <c r="BR188" s="198"/>
      <c r="BS188" s="198">
        <f t="shared" si="2"/>
        <v>485980.91500000004</v>
      </c>
      <c r="BT188" s="197"/>
      <c r="BU188" s="198"/>
      <c r="BV188" s="198"/>
      <c r="BW188" s="198"/>
      <c r="BX188" s="198"/>
      <c r="BY188" s="198"/>
      <c r="BZ188" s="198"/>
      <c r="CA188" s="197">
        <v>526.22900000000004</v>
      </c>
      <c r="CB188" s="198">
        <v>23.318000000000001</v>
      </c>
      <c r="CC188" s="198">
        <v>92.658000000000001</v>
      </c>
      <c r="CD188" s="198">
        <v>139.70400000000001</v>
      </c>
      <c r="CE188" s="198">
        <v>109.795</v>
      </c>
      <c r="CF188" s="198"/>
      <c r="CG188" s="198">
        <f>CA188-CB188-CC188-CD188-CE188</f>
        <v>160.75400000000002</v>
      </c>
      <c r="CH188" s="197"/>
      <c r="CI188" s="198"/>
      <c r="CJ188" s="198">
        <v>2710163.13888</v>
      </c>
      <c r="CK188" s="198"/>
      <c r="CL188" s="198">
        <v>1072864.93175</v>
      </c>
      <c r="CM188" s="198">
        <v>80601</v>
      </c>
      <c r="CN188" s="198"/>
      <c r="CO188" s="197">
        <v>5816.9618200000004</v>
      </c>
      <c r="CP188" s="198">
        <v>820.3299300000001</v>
      </c>
      <c r="CQ188" s="198">
        <v>1103.1218899999999</v>
      </c>
      <c r="CR188" s="198">
        <v>1119.9097099999999</v>
      </c>
      <c r="CS188" s="198">
        <v>735.47367000000008</v>
      </c>
      <c r="CT188" s="198"/>
      <c r="CU188" s="198">
        <v>2038.1266200000007</v>
      </c>
      <c r="CV188" s="197">
        <v>1089.075</v>
      </c>
      <c r="CW188" s="198">
        <v>37.661000000000001</v>
      </c>
      <c r="CX188" s="198">
        <v>155.67599999999999</v>
      </c>
      <c r="CY188" s="198">
        <v>342.17599999999999</v>
      </c>
      <c r="CZ188" s="198">
        <v>269.41500000000002</v>
      </c>
      <c r="DA188" s="198"/>
      <c r="DB188" s="198">
        <f>CV188-CW188-CX188-CY188-CZ188</f>
        <v>284.14700000000011</v>
      </c>
      <c r="DC188" s="197"/>
      <c r="DD188" s="198"/>
      <c r="DE188" s="198"/>
      <c r="DF188" s="198"/>
      <c r="DG188" s="198"/>
      <c r="DH188" s="198"/>
      <c r="DI188" s="198"/>
      <c r="DJ188" s="197">
        <f>726.7+38111.5</f>
        <v>38838.199999999997</v>
      </c>
      <c r="DK188" s="198">
        <f>373.5+9931.6</f>
        <v>10305.1</v>
      </c>
      <c r="DL188" s="198">
        <f>1575.6+9230.4</f>
        <v>10806</v>
      </c>
      <c r="DM188" s="198">
        <v>3772.1</v>
      </c>
      <c r="DN188" s="198">
        <f>8066.2-DM188</f>
        <v>4294.1000000000004</v>
      </c>
      <c r="DO188" s="198"/>
      <c r="DP188" s="198">
        <f t="shared" si="9"/>
        <v>9660.9000000000015</v>
      </c>
      <c r="DQ188" s="197"/>
      <c r="DR188" s="198"/>
      <c r="DS188" s="198"/>
      <c r="DT188" s="198"/>
      <c r="DU188" s="198"/>
      <c r="DV188" s="198"/>
      <c r="DW188" s="198"/>
      <c r="DX188" s="197">
        <v>46193.478520000004</v>
      </c>
      <c r="DY188" s="198"/>
      <c r="DZ188" s="198">
        <v>33905.467649999999</v>
      </c>
      <c r="EA188" s="198">
        <v>5905.2582400000001</v>
      </c>
      <c r="EB188" s="198">
        <v>4544.6218499999995</v>
      </c>
      <c r="EC188" s="198"/>
      <c r="ED188" s="198">
        <v>1838.13076</v>
      </c>
      <c r="EE188" s="197"/>
      <c r="EF188" s="198"/>
      <c r="EG188" s="198"/>
      <c r="EH188" s="198"/>
      <c r="EI188" s="198"/>
      <c r="EJ188" s="198"/>
      <c r="EK188" s="199"/>
      <c r="EL188" s="197">
        <v>980025.13823999988</v>
      </c>
      <c r="EM188" s="198">
        <v>315508.95830400003</v>
      </c>
      <c r="EN188" s="198">
        <v>25654.713408999996</v>
      </c>
      <c r="EO188" s="198">
        <v>121131.68320900001</v>
      </c>
      <c r="EP188" s="198">
        <v>81472.968135999996</v>
      </c>
      <c r="EQ188" s="198"/>
      <c r="ER188" s="199">
        <v>436133.837887</v>
      </c>
      <c r="ES188" s="197">
        <v>11734.735345439998</v>
      </c>
      <c r="ET188" s="198">
        <v>1386.75377918</v>
      </c>
      <c r="EU188" s="198">
        <v>3031.2118187199999</v>
      </c>
      <c r="EV188" s="198">
        <v>1112.7767135700001</v>
      </c>
      <c r="EW188" s="198">
        <v>3348.9432069799996</v>
      </c>
      <c r="EX188" s="198"/>
      <c r="EY188" s="199">
        <f t="shared" si="6"/>
        <v>2855.049826989999</v>
      </c>
      <c r="EZ188" s="198">
        <v>11398</v>
      </c>
      <c r="FA188" s="198">
        <v>647</v>
      </c>
      <c r="FB188" s="198">
        <v>2968</v>
      </c>
      <c r="FC188" s="198">
        <v>3057</v>
      </c>
      <c r="FD188" s="198">
        <v>2562</v>
      </c>
      <c r="FE188" s="198">
        <v>22</v>
      </c>
      <c r="FF188" s="198">
        <f t="shared" si="8"/>
        <v>2164</v>
      </c>
      <c r="FG188" s="197"/>
      <c r="FH188" s="198"/>
      <c r="FI188" s="198"/>
      <c r="FJ188" s="198"/>
      <c r="FK188" s="198"/>
      <c r="FL188" s="198"/>
      <c r="FM188" s="198"/>
      <c r="FN188" s="197">
        <v>36771.423999999999</v>
      </c>
      <c r="FO188" s="198">
        <v>10105.644</v>
      </c>
      <c r="FP188" s="198">
        <v>4563.2380000000003</v>
      </c>
      <c r="FQ188" s="198">
        <v>4072.6039999999998</v>
      </c>
      <c r="FR188" s="198">
        <v>3634.614</v>
      </c>
      <c r="FS188" s="198"/>
      <c r="FT188" s="199">
        <f t="shared" si="7"/>
        <v>14395.323999999997</v>
      </c>
      <c r="FU188" s="197"/>
      <c r="FV188" s="198"/>
      <c r="FW188" s="198"/>
      <c r="FX188" s="198"/>
      <c r="FY188" s="198"/>
      <c r="FZ188" s="198"/>
      <c r="GA188" s="199"/>
      <c r="GB188" s="197">
        <v>990.34199999999998</v>
      </c>
      <c r="GC188" s="198">
        <v>21.65</v>
      </c>
      <c r="GD188" s="198">
        <v>169.369</v>
      </c>
      <c r="GE188" s="198">
        <v>240.04</v>
      </c>
      <c r="GF188" s="198">
        <v>186.751</v>
      </c>
      <c r="GG188" s="198"/>
      <c r="GH188" s="199">
        <f>GB188-GC188-GD188-GE188-GF188</f>
        <v>372.53200000000004</v>
      </c>
      <c r="GI188" s="197">
        <v>786.00599999999997</v>
      </c>
      <c r="GJ188" s="198">
        <v>19.411000000000001</v>
      </c>
      <c r="GK188" s="198">
        <v>125.974</v>
      </c>
      <c r="GL188" s="198">
        <v>265.12799999999999</v>
      </c>
      <c r="GM188" s="198">
        <v>153.577</v>
      </c>
      <c r="GN188" s="198"/>
      <c r="GO188" s="199">
        <f>GI188-GJ188-GK188-GL188-GM188</f>
        <v>221.916</v>
      </c>
      <c r="GP188" s="197">
        <v>1676.85</v>
      </c>
      <c r="GQ188" s="198">
        <v>55.03</v>
      </c>
      <c r="GR188" s="198">
        <v>414.58199999999999</v>
      </c>
      <c r="GS188" s="198">
        <v>333.89100000000002</v>
      </c>
      <c r="GT188" s="198">
        <v>421.28</v>
      </c>
      <c r="GU188" s="198"/>
      <c r="GV188" s="199">
        <f>GP188-GQ188-GR188-GS188-GT188</f>
        <v>452.06699999999978</v>
      </c>
      <c r="GW188" s="197"/>
      <c r="GX188" s="198"/>
      <c r="GY188" s="198"/>
      <c r="GZ188" s="198"/>
      <c r="HA188" s="198"/>
      <c r="HB188" s="198"/>
      <c r="HC188" s="199"/>
      <c r="HD188" s="197">
        <f>'[2]t&amp;t'!W320</f>
        <v>14996.3</v>
      </c>
      <c r="HE188" s="198">
        <f>'[2]t&amp;t'!X320</f>
        <v>1525.3999999999999</v>
      </c>
      <c r="HF188" s="198">
        <f>'[2]t&amp;t'!Y320</f>
        <v>1371.5</v>
      </c>
      <c r="HG188" s="198">
        <f>'[2]t&amp;t'!Z320</f>
        <v>832.1</v>
      </c>
      <c r="HH188" s="198">
        <f>'[2]t&amp;t'!AA320</f>
        <v>5560.7</v>
      </c>
      <c r="HI188" s="198"/>
      <c r="HJ188" s="199">
        <f>'[2]t&amp;t'!AC320</f>
        <v>5706.5999999999995</v>
      </c>
      <c r="HK188" s="197"/>
      <c r="HL188" s="198"/>
      <c r="HM188" s="198"/>
      <c r="HN188" s="198"/>
      <c r="HO188" s="198"/>
      <c r="HP188" s="198"/>
      <c r="HQ188" s="198"/>
      <c r="HR188" s="197"/>
      <c r="HT188" s="198"/>
      <c r="HU188" s="198"/>
      <c r="HV188" s="198"/>
      <c r="HW188" s="198"/>
      <c r="HX188" s="198"/>
    </row>
    <row r="189" spans="1:233">
      <c r="A189" s="185" t="s">
        <v>492</v>
      </c>
      <c r="B189" s="197"/>
      <c r="C189" s="198"/>
      <c r="D189" s="198"/>
      <c r="E189" s="198"/>
      <c r="F189" s="198"/>
      <c r="G189" s="198"/>
      <c r="H189" s="199"/>
      <c r="I189" s="197">
        <v>71812.3</v>
      </c>
      <c r="J189" s="198"/>
      <c r="K189" s="198"/>
      <c r="L189" s="198">
        <v>10409.299999999999</v>
      </c>
      <c r="M189" s="198">
        <v>2072.1</v>
      </c>
      <c r="N189" s="198"/>
      <c r="O189" s="199">
        <f>[3]arg!$G55</f>
        <v>22396.899999999998</v>
      </c>
      <c r="P189" s="198">
        <v>4246.4079999999994</v>
      </c>
      <c r="Q189" s="198">
        <v>69.013000000000005</v>
      </c>
      <c r="R189" s="198">
        <v>470.59499999999997</v>
      </c>
      <c r="S189" s="198">
        <v>326.02599999999995</v>
      </c>
      <c r="T189" s="198">
        <v>2566.8470000000002</v>
      </c>
      <c r="U189" s="198"/>
      <c r="V189" s="199">
        <v>813.92699999999968</v>
      </c>
      <c r="W189" s="198">
        <v>2803.8510000000001</v>
      </c>
      <c r="X189" s="198">
        <v>76.832999999999998</v>
      </c>
      <c r="Y189" s="198">
        <v>654.97</v>
      </c>
      <c r="Z189" s="198">
        <v>220.84299999999999</v>
      </c>
      <c r="AA189" s="198">
        <v>1155.463</v>
      </c>
      <c r="AB189" s="198"/>
      <c r="AC189" s="199">
        <f t="shared" si="3"/>
        <v>695.74199999999973</v>
      </c>
      <c r="AD189" s="198"/>
      <c r="AE189" s="198">
        <v>18.693999999999999</v>
      </c>
      <c r="AF189" s="198">
        <v>217.79300000000001</v>
      </c>
      <c r="AG189" s="198">
        <v>309.065</v>
      </c>
      <c r="AH189" s="198">
        <v>179.494</v>
      </c>
      <c r="AI189" s="198"/>
      <c r="AJ189" s="198"/>
      <c r="AK189" s="197"/>
      <c r="AL189" s="198"/>
      <c r="AM189" s="198"/>
      <c r="AN189" s="198"/>
      <c r="AO189" s="198"/>
      <c r="AP189" s="198"/>
      <c r="AQ189" s="199"/>
      <c r="AR189" s="198">
        <v>383306.50338833994</v>
      </c>
      <c r="AS189" s="198">
        <v>111770.71125230001</v>
      </c>
      <c r="AT189" s="198">
        <v>40035.250404899998</v>
      </c>
      <c r="AU189" s="198">
        <v>24429.588710179996</v>
      </c>
      <c r="AV189" s="198">
        <v>89020.02565132</v>
      </c>
      <c r="AW189" s="198"/>
      <c r="AX189" s="198">
        <v>118050.92736963995</v>
      </c>
      <c r="AY189" s="197">
        <v>32622465.8554</v>
      </c>
      <c r="AZ189" s="198"/>
      <c r="BA189" s="198">
        <v>24003054.587900002</v>
      </c>
      <c r="BB189" s="198">
        <v>5760800.7766000004</v>
      </c>
      <c r="BC189" s="198">
        <v>2858610.4909000001</v>
      </c>
      <c r="BD189" s="198"/>
      <c r="BE189" s="198"/>
      <c r="BF189" s="197">
        <v>51981161.429999992</v>
      </c>
      <c r="BG189" s="198"/>
      <c r="BH189" s="198">
        <v>32163479.309999991</v>
      </c>
      <c r="BI189" s="198">
        <v>10907044.119999999</v>
      </c>
      <c r="BJ189" s="198">
        <v>8510786.8200000003</v>
      </c>
      <c r="BK189" s="198">
        <v>399851.18</v>
      </c>
      <c r="BL189" s="198"/>
      <c r="BM189" s="197">
        <v>2062154.689</v>
      </c>
      <c r="BN189" s="198">
        <v>180341.82199999999</v>
      </c>
      <c r="BO189" s="198">
        <v>327027.20199999999</v>
      </c>
      <c r="BP189" s="198">
        <v>567793.21499999997</v>
      </c>
      <c r="BQ189" s="198">
        <v>483989.45799999998</v>
      </c>
      <c r="BR189" s="198"/>
      <c r="BS189" s="198">
        <f t="shared" si="2"/>
        <v>503002.99199999985</v>
      </c>
      <c r="BT189" s="197"/>
      <c r="BU189" s="198"/>
      <c r="BV189" s="198"/>
      <c r="BW189" s="198"/>
      <c r="BX189" s="198"/>
      <c r="BY189" s="198"/>
      <c r="BZ189" s="198"/>
      <c r="CA189" s="197"/>
      <c r="CB189" s="198"/>
      <c r="CC189" s="198"/>
      <c r="CD189" s="198"/>
      <c r="CE189" s="198"/>
      <c r="CF189" s="198"/>
      <c r="CG189" s="198"/>
      <c r="CH189" s="197"/>
      <c r="CI189" s="198"/>
      <c r="CJ189" s="198">
        <v>2727902.7360500004</v>
      </c>
      <c r="CK189" s="198"/>
      <c r="CL189" s="198">
        <v>1061858.1463599999</v>
      </c>
      <c r="CM189" s="198">
        <v>84750</v>
      </c>
      <c r="CN189" s="198"/>
      <c r="CO189" s="197">
        <v>5888.4795599999998</v>
      </c>
      <c r="CP189" s="198">
        <v>824.17201</v>
      </c>
      <c r="CQ189" s="198">
        <v>1131.0847099999999</v>
      </c>
      <c r="CR189" s="198">
        <v>1133.5943600000001</v>
      </c>
      <c r="CS189" s="198">
        <v>760.31256000000008</v>
      </c>
      <c r="CT189" s="198"/>
      <c r="CU189" s="198">
        <v>2039.3159199999996</v>
      </c>
      <c r="CV189" s="197"/>
      <c r="CW189" s="198"/>
      <c r="CX189" s="198"/>
      <c r="CY189" s="198"/>
      <c r="CZ189" s="198"/>
      <c r="DA189" s="198"/>
      <c r="DB189" s="198"/>
      <c r="DC189" s="197"/>
      <c r="DD189" s="198"/>
      <c r="DE189" s="198"/>
      <c r="DF189" s="198"/>
      <c r="DG189" s="198"/>
      <c r="DH189" s="198"/>
      <c r="DI189" s="198"/>
      <c r="DJ189" s="197">
        <f>720.4+37818.7</f>
        <v>38539.1</v>
      </c>
      <c r="DK189" s="198">
        <f>371+9921.2</f>
        <v>10292.200000000001</v>
      </c>
      <c r="DL189" s="198">
        <f>1526.6+9159.4</f>
        <v>10686</v>
      </c>
      <c r="DM189" s="198">
        <v>3704.9</v>
      </c>
      <c r="DN189" s="198">
        <f>8034.3-DM189</f>
        <v>4329.3999999999996</v>
      </c>
      <c r="DO189" s="198"/>
      <c r="DP189" s="198">
        <f t="shared" si="9"/>
        <v>9526.5999999999985</v>
      </c>
      <c r="DQ189" s="197"/>
      <c r="DR189" s="198"/>
      <c r="DS189" s="198"/>
      <c r="DT189" s="198"/>
      <c r="DU189" s="198"/>
      <c r="DV189" s="198"/>
      <c r="DW189" s="198"/>
      <c r="DX189" s="197">
        <v>46175.742049999993</v>
      </c>
      <c r="DY189" s="198"/>
      <c r="DZ189" s="198">
        <v>33910.277479999997</v>
      </c>
      <c r="EA189" s="198">
        <v>5981.1160300000001</v>
      </c>
      <c r="EB189" s="198">
        <v>4602.4960899999996</v>
      </c>
      <c r="EC189" s="198"/>
      <c r="ED189" s="198">
        <v>1681.8524199999999</v>
      </c>
      <c r="EE189" s="197"/>
      <c r="EF189" s="198"/>
      <c r="EG189" s="198"/>
      <c r="EH189" s="198"/>
      <c r="EI189" s="198"/>
      <c r="EJ189" s="198"/>
      <c r="EK189" s="199"/>
      <c r="EL189" s="197">
        <v>967250.79540599999</v>
      </c>
      <c r="EM189" s="198">
        <v>311505.65624099999</v>
      </c>
      <c r="EN189" s="198">
        <v>24367.176437000002</v>
      </c>
      <c r="EO189" s="198">
        <v>120984.42515399998</v>
      </c>
      <c r="EP189" s="198">
        <v>84448.345749</v>
      </c>
      <c r="EQ189" s="198"/>
      <c r="ER189" s="199">
        <v>425789.27201499988</v>
      </c>
      <c r="ES189" s="197">
        <v>11913.328641440003</v>
      </c>
      <c r="ET189" s="198">
        <v>1423.3781122299999</v>
      </c>
      <c r="EU189" s="198">
        <v>3014.6717211800001</v>
      </c>
      <c r="EV189" s="198">
        <v>1130.50422774</v>
      </c>
      <c r="EW189" s="198">
        <v>3437.4471217099999</v>
      </c>
      <c r="EX189" s="198"/>
      <c r="EY189" s="199">
        <f t="shared" si="6"/>
        <v>2907.3274585800018</v>
      </c>
      <c r="EZ189" s="198">
        <v>11365</v>
      </c>
      <c r="FA189" s="198">
        <v>617</v>
      </c>
      <c r="FB189" s="198">
        <v>2939</v>
      </c>
      <c r="FC189" s="198">
        <v>3077</v>
      </c>
      <c r="FD189" s="198">
        <v>2567</v>
      </c>
      <c r="FE189" s="198">
        <v>20</v>
      </c>
      <c r="FF189" s="198">
        <f t="shared" si="8"/>
        <v>2165</v>
      </c>
      <c r="FG189" s="197"/>
      <c r="FH189" s="198"/>
      <c r="FI189" s="198"/>
      <c r="FJ189" s="198"/>
      <c r="FK189" s="198"/>
      <c r="FL189" s="198"/>
      <c r="FM189" s="198"/>
      <c r="FN189" s="197">
        <v>37240.180999999997</v>
      </c>
      <c r="FO189" s="198">
        <v>10205.739</v>
      </c>
      <c r="FP189" s="198">
        <v>4626.6440000000002</v>
      </c>
      <c r="FQ189" s="198">
        <v>4150.7529999999997</v>
      </c>
      <c r="FR189" s="198">
        <v>3653.6930000000002</v>
      </c>
      <c r="FS189" s="198"/>
      <c r="FT189" s="199">
        <f t="shared" si="7"/>
        <v>14603.351999999999</v>
      </c>
      <c r="FU189" s="197"/>
      <c r="FV189" s="198"/>
      <c r="FW189" s="198"/>
      <c r="FX189" s="198"/>
      <c r="FY189" s="198"/>
      <c r="FZ189" s="198"/>
      <c r="GA189" s="199"/>
      <c r="GB189" s="197"/>
      <c r="GC189" s="198"/>
      <c r="GD189" s="198"/>
      <c r="GE189" s="198"/>
      <c r="GF189" s="198"/>
      <c r="GG189" s="198"/>
      <c r="GH189" s="199"/>
      <c r="GI189" s="197"/>
      <c r="GJ189" s="198"/>
      <c r="GK189" s="198"/>
      <c r="GL189" s="198"/>
      <c r="GM189" s="198"/>
      <c r="GN189" s="198"/>
      <c r="GO189" s="199"/>
      <c r="GP189" s="197"/>
      <c r="GQ189" s="198"/>
      <c r="GR189" s="198"/>
      <c r="GS189" s="198"/>
      <c r="GT189" s="198"/>
      <c r="GU189" s="198"/>
      <c r="GV189" s="199"/>
      <c r="GW189" s="197"/>
      <c r="GX189" s="198"/>
      <c r="GY189" s="198"/>
      <c r="GZ189" s="198"/>
      <c r="HA189" s="198"/>
      <c r="HB189" s="198"/>
      <c r="HC189" s="199"/>
      <c r="HD189" s="197"/>
      <c r="HE189" s="198"/>
      <c r="HF189" s="198"/>
      <c r="HG189" s="198"/>
      <c r="HH189" s="198"/>
      <c r="HI189" s="198"/>
      <c r="HJ189" s="199"/>
      <c r="HK189" s="197"/>
      <c r="HL189" s="198"/>
      <c r="HM189" s="198"/>
      <c r="HN189" s="198"/>
      <c r="HO189" s="198"/>
      <c r="HP189" s="198"/>
      <c r="HQ189" s="198"/>
      <c r="HR189" s="197"/>
      <c r="HT189" s="198"/>
      <c r="HU189" s="198"/>
      <c r="HV189" s="198"/>
      <c r="HW189" s="198"/>
      <c r="HX189" s="198"/>
    </row>
    <row r="190" spans="1:233">
      <c r="A190" s="185" t="s">
        <v>493</v>
      </c>
      <c r="B190" s="197"/>
      <c r="C190" s="198"/>
      <c r="D190" s="198"/>
      <c r="E190" s="198"/>
      <c r="F190" s="198"/>
      <c r="G190" s="198"/>
      <c r="H190" s="199"/>
      <c r="I190" s="197">
        <v>71673.7</v>
      </c>
      <c r="J190" s="198"/>
      <c r="K190" s="198"/>
      <c r="L190" s="198">
        <v>10305.4</v>
      </c>
      <c r="M190" s="198">
        <v>2040.2</v>
      </c>
      <c r="N190" s="198"/>
      <c r="O190" s="199">
        <f>[3]arg!$G56</f>
        <v>22170.9</v>
      </c>
      <c r="P190" s="198">
        <v>4177.2809999999999</v>
      </c>
      <c r="Q190" s="198">
        <v>60.620000000000005</v>
      </c>
      <c r="R190" s="198">
        <v>469.62199999999996</v>
      </c>
      <c r="S190" s="198">
        <v>277.14400000000001</v>
      </c>
      <c r="T190" s="198">
        <v>2562.3890000000001</v>
      </c>
      <c r="U190" s="198"/>
      <c r="V190" s="199">
        <v>807.50599999999974</v>
      </c>
      <c r="W190" s="198">
        <v>2795.2820000000002</v>
      </c>
      <c r="X190" s="198">
        <v>75.069999999999993</v>
      </c>
      <c r="Y190" s="198">
        <v>661.80099999999993</v>
      </c>
      <c r="Z190" s="198">
        <v>220.58</v>
      </c>
      <c r="AA190" s="198">
        <v>1154.8969999999999</v>
      </c>
      <c r="AB190" s="198"/>
      <c r="AC190" s="199">
        <f t="shared" si="3"/>
        <v>682.9340000000002</v>
      </c>
      <c r="AD190" s="198"/>
      <c r="AE190" s="198">
        <v>13.945</v>
      </c>
      <c r="AF190" s="198">
        <v>211.99600000000001</v>
      </c>
      <c r="AG190" s="198">
        <v>313.40300000000002</v>
      </c>
      <c r="AH190" s="198">
        <v>188.73</v>
      </c>
      <c r="AI190" s="198"/>
      <c r="AJ190" s="198"/>
      <c r="AK190" s="197"/>
      <c r="AL190" s="198"/>
      <c r="AM190" s="198"/>
      <c r="AN190" s="198"/>
      <c r="AO190" s="198"/>
      <c r="AP190" s="198"/>
      <c r="AQ190" s="199"/>
      <c r="AR190" s="198">
        <v>386299.91275957995</v>
      </c>
      <c r="AS190" s="198">
        <v>112729.00812254999</v>
      </c>
      <c r="AT190" s="198">
        <v>40114.216450419997</v>
      </c>
      <c r="AU190" s="198">
        <v>24514.664876059996</v>
      </c>
      <c r="AV190" s="198">
        <v>90148.758968279988</v>
      </c>
      <c r="AW190" s="198"/>
      <c r="AX190" s="198">
        <v>118793.26434226998</v>
      </c>
      <c r="AY190" s="197">
        <v>32924585.912499998</v>
      </c>
      <c r="AZ190" s="198"/>
      <c r="BA190" s="198">
        <v>24235929.874600001</v>
      </c>
      <c r="BB190" s="198">
        <v>5830562.5948999999</v>
      </c>
      <c r="BC190" s="198">
        <v>2858093.443</v>
      </c>
      <c r="BD190" s="198"/>
      <c r="BE190" s="198"/>
      <c r="BF190" s="197">
        <v>52376536.619999997</v>
      </c>
      <c r="BG190" s="198"/>
      <c r="BH190" s="198">
        <v>32400405.409999996</v>
      </c>
      <c r="BI190" s="198">
        <v>10896188.969999999</v>
      </c>
      <c r="BJ190" s="198">
        <v>8664735.1100000013</v>
      </c>
      <c r="BK190" s="198">
        <v>415207.13</v>
      </c>
      <c r="BL190" s="198"/>
      <c r="BM190" s="197">
        <v>2082317.314</v>
      </c>
      <c r="BN190" s="198">
        <v>183262.587</v>
      </c>
      <c r="BO190" s="198">
        <v>313834.13299999997</v>
      </c>
      <c r="BP190" s="198">
        <v>576327.04799999995</v>
      </c>
      <c r="BQ190" s="198">
        <v>505367.94199999998</v>
      </c>
      <c r="BR190" s="198"/>
      <c r="BS190" s="198">
        <f t="shared" si="2"/>
        <v>503525.60400000005</v>
      </c>
      <c r="BT190" s="197"/>
      <c r="BU190" s="198"/>
      <c r="BV190" s="198"/>
      <c r="BW190" s="198"/>
      <c r="BX190" s="198"/>
      <c r="BY190" s="198"/>
      <c r="BZ190" s="198"/>
      <c r="CA190" s="197"/>
      <c r="CB190" s="198"/>
      <c r="CC190" s="198"/>
      <c r="CD190" s="198"/>
      <c r="CE190" s="198"/>
      <c r="CF190" s="198"/>
      <c r="CG190" s="198"/>
      <c r="CH190" s="197"/>
      <c r="CI190" s="198"/>
      <c r="CJ190" s="198">
        <v>2762579.1033799998</v>
      </c>
      <c r="CK190" s="198"/>
      <c r="CL190" s="198">
        <v>1093310.82125</v>
      </c>
      <c r="CM190" s="198">
        <v>89845</v>
      </c>
      <c r="CN190" s="198"/>
      <c r="CO190" s="197">
        <v>5871.86445</v>
      </c>
      <c r="CP190" s="198">
        <v>791.23820000000001</v>
      </c>
      <c r="CQ190" s="198">
        <v>1085.08709</v>
      </c>
      <c r="CR190" s="198">
        <v>1164.4206399999998</v>
      </c>
      <c r="CS190" s="198">
        <v>764.49082999999996</v>
      </c>
      <c r="CT190" s="198"/>
      <c r="CU190" s="198">
        <v>2066.6276900000003</v>
      </c>
      <c r="CV190" s="197"/>
      <c r="CW190" s="198"/>
      <c r="CX190" s="198"/>
      <c r="CY190" s="198"/>
      <c r="CZ190" s="198"/>
      <c r="DA190" s="198"/>
      <c r="DB190" s="198"/>
      <c r="DC190" s="197"/>
      <c r="DD190" s="198"/>
      <c r="DE190" s="198"/>
      <c r="DF190" s="198"/>
      <c r="DG190" s="198"/>
      <c r="DH190" s="198"/>
      <c r="DI190" s="198"/>
      <c r="DJ190" s="197">
        <f>727.1+37466.9</f>
        <v>38194</v>
      </c>
      <c r="DK190" s="198">
        <f>376+9982.2</f>
        <v>10358.200000000001</v>
      </c>
      <c r="DL190" s="198">
        <f>1610+8914.3</f>
        <v>10524.3</v>
      </c>
      <c r="DM190" s="198">
        <v>3680.8</v>
      </c>
      <c r="DN190" s="198">
        <f>8151.5-DM190</f>
        <v>4470.7</v>
      </c>
      <c r="DO190" s="198"/>
      <c r="DP190" s="198">
        <f t="shared" si="9"/>
        <v>9160</v>
      </c>
      <c r="DQ190" s="197"/>
      <c r="DR190" s="198"/>
      <c r="DS190" s="198"/>
      <c r="DT190" s="198"/>
      <c r="DU190" s="198"/>
      <c r="DV190" s="198"/>
      <c r="DW190" s="198"/>
      <c r="DX190" s="197">
        <v>48287.052750000003</v>
      </c>
      <c r="DY190" s="198"/>
      <c r="DZ190" s="198">
        <v>34250.037120000001</v>
      </c>
      <c r="EA190" s="198">
        <v>7663.9862599999997</v>
      </c>
      <c r="EB190" s="198">
        <v>4659.6620599999997</v>
      </c>
      <c r="EC190" s="198"/>
      <c r="ED190" s="198">
        <v>1713.36733</v>
      </c>
      <c r="EE190" s="197"/>
      <c r="EF190" s="198"/>
      <c r="EG190" s="198"/>
      <c r="EH190" s="198"/>
      <c r="EI190" s="198"/>
      <c r="EJ190" s="198"/>
      <c r="EK190" s="199"/>
      <c r="EL190" s="197">
        <v>973816.98668200034</v>
      </c>
      <c r="EM190" s="198">
        <v>315148.48430500005</v>
      </c>
      <c r="EN190" s="198">
        <v>25705.873680000001</v>
      </c>
      <c r="EO190" s="198">
        <v>120563.63679599998</v>
      </c>
      <c r="EP190" s="198">
        <v>84834.193314999997</v>
      </c>
      <c r="EQ190" s="198"/>
      <c r="ER190" s="199">
        <v>427423.61994</v>
      </c>
      <c r="ES190" s="197">
        <v>12083.453477670004</v>
      </c>
      <c r="ET190" s="198">
        <v>1437.67104253</v>
      </c>
      <c r="EU190" s="198">
        <v>2946.0965218800002</v>
      </c>
      <c r="EV190" s="198">
        <v>1185.9883170799999</v>
      </c>
      <c r="EW190" s="198">
        <v>3523.3770881600003</v>
      </c>
      <c r="EX190" s="198"/>
      <c r="EY190" s="199">
        <f t="shared" si="6"/>
        <v>2990.3205080200032</v>
      </c>
      <c r="EZ190" s="198">
        <v>11370</v>
      </c>
      <c r="FA190" s="198">
        <v>572</v>
      </c>
      <c r="FB190" s="198">
        <v>2947</v>
      </c>
      <c r="FC190" s="198">
        <v>3094</v>
      </c>
      <c r="FD190" s="198">
        <v>2590</v>
      </c>
      <c r="FE190" s="198">
        <v>19</v>
      </c>
      <c r="FF190" s="198">
        <f t="shared" si="8"/>
        <v>2167</v>
      </c>
      <c r="FG190" s="197"/>
      <c r="FH190" s="198"/>
      <c r="FI190" s="198"/>
      <c r="FJ190" s="198"/>
      <c r="FK190" s="198"/>
      <c r="FL190" s="198"/>
      <c r="FM190" s="198"/>
      <c r="FN190" s="197">
        <v>37349.258000000002</v>
      </c>
      <c r="FO190" s="198">
        <v>10431.24</v>
      </c>
      <c r="FP190" s="198">
        <v>4594.9279999999999</v>
      </c>
      <c r="FQ190" s="198">
        <v>4224.7079999999996</v>
      </c>
      <c r="FR190" s="198">
        <v>3739.0259999999998</v>
      </c>
      <c r="FS190" s="198"/>
      <c r="FT190" s="199">
        <f t="shared" si="7"/>
        <v>14359.356</v>
      </c>
      <c r="FU190" s="197"/>
      <c r="FV190" s="198"/>
      <c r="FW190" s="198"/>
      <c r="FX190" s="198"/>
      <c r="FY190" s="198"/>
      <c r="FZ190" s="198"/>
      <c r="GA190" s="199"/>
      <c r="GB190" s="197"/>
      <c r="GC190" s="198"/>
      <c r="GD190" s="198"/>
      <c r="GE190" s="198"/>
      <c r="GF190" s="198"/>
      <c r="GG190" s="198"/>
      <c r="GH190" s="199"/>
      <c r="GI190" s="197"/>
      <c r="GJ190" s="198"/>
      <c r="GK190" s="198"/>
      <c r="GL190" s="198"/>
      <c r="GM190" s="198"/>
      <c r="GN190" s="198"/>
      <c r="GO190" s="199"/>
      <c r="GP190" s="197"/>
      <c r="GQ190" s="198"/>
      <c r="GR190" s="198"/>
      <c r="GS190" s="198"/>
      <c r="GT190" s="198"/>
      <c r="GU190" s="198"/>
      <c r="GV190" s="199"/>
      <c r="GW190" s="197"/>
      <c r="GX190" s="198"/>
      <c r="GY190" s="198"/>
      <c r="GZ190" s="198"/>
      <c r="HA190" s="198"/>
      <c r="HB190" s="198"/>
      <c r="HC190" s="199"/>
      <c r="HD190" s="197"/>
      <c r="HE190" s="198"/>
      <c r="HF190" s="198"/>
      <c r="HG190" s="198"/>
      <c r="HH190" s="198"/>
      <c r="HI190" s="198"/>
      <c r="HJ190" s="199"/>
      <c r="HK190" s="197"/>
      <c r="HL190" s="198"/>
      <c r="HM190" s="198"/>
      <c r="HN190" s="198"/>
      <c r="HO190" s="198"/>
      <c r="HP190" s="198"/>
      <c r="HQ190" s="198"/>
      <c r="HR190" s="197"/>
      <c r="HT190" s="198"/>
      <c r="HU190" s="198"/>
      <c r="HV190" s="198"/>
      <c r="HW190" s="198"/>
      <c r="HX190" s="198"/>
    </row>
    <row r="191" spans="1:233">
      <c r="A191" s="185" t="s">
        <v>494</v>
      </c>
      <c r="B191" s="197">
        <v>1923.086</v>
      </c>
      <c r="C191" s="198">
        <v>66.712000000000003</v>
      </c>
      <c r="D191" s="198">
        <v>364.72899999999998</v>
      </c>
      <c r="E191" s="198">
        <v>422.428</v>
      </c>
      <c r="F191" s="198">
        <v>355.64299999999997</v>
      </c>
      <c r="G191" s="198"/>
      <c r="H191" s="199">
        <v>713.57399999999996</v>
      </c>
      <c r="I191" s="197">
        <v>71256.7</v>
      </c>
      <c r="J191" s="198"/>
      <c r="K191" s="198"/>
      <c r="L191" s="198">
        <v>10148.299999999999</v>
      </c>
      <c r="M191" s="198">
        <v>1966.9</v>
      </c>
      <c r="N191" s="198"/>
      <c r="O191" s="199">
        <f>[3]arg!$G57</f>
        <v>21624.9</v>
      </c>
      <c r="P191" s="198">
        <v>4254.326</v>
      </c>
      <c r="Q191" s="198">
        <v>62.167000000000002</v>
      </c>
      <c r="R191" s="198">
        <v>474.13499999999999</v>
      </c>
      <c r="S191" s="198">
        <v>253.82299999999998</v>
      </c>
      <c r="T191" s="198">
        <v>2615.9828000000002</v>
      </c>
      <c r="U191" s="198"/>
      <c r="V191" s="199">
        <v>848.21820000000025</v>
      </c>
      <c r="W191" s="198">
        <v>2801.0189999999998</v>
      </c>
      <c r="X191" s="198">
        <v>78.927999999999997</v>
      </c>
      <c r="Y191" s="198">
        <v>667.80599999999993</v>
      </c>
      <c r="Z191" s="198">
        <v>219.023</v>
      </c>
      <c r="AA191" s="198">
        <v>1158.1559999999999</v>
      </c>
      <c r="AB191" s="198"/>
      <c r="AC191" s="199">
        <f t="shared" si="3"/>
        <v>677.10599999999999</v>
      </c>
      <c r="AD191" s="198">
        <f>[1]datos!$S323</f>
        <v>1201.9269999999999</v>
      </c>
      <c r="AE191" s="198">
        <v>13.153</v>
      </c>
      <c r="AF191" s="198">
        <v>227.13300000000001</v>
      </c>
      <c r="AG191" s="198">
        <v>319.52300000000002</v>
      </c>
      <c r="AH191" s="198">
        <v>190.33699999999999</v>
      </c>
      <c r="AI191" s="198">
        <f>[1]datos!$U323</f>
        <v>218.06100000000001</v>
      </c>
      <c r="AJ191" s="198">
        <f>AD191-AE191-AF191-AG191-AH191-AI191</f>
        <v>233.71999999999983</v>
      </c>
      <c r="AK191" s="197">
        <v>25075.7055</v>
      </c>
      <c r="AL191" s="198"/>
      <c r="AM191" s="198"/>
      <c r="AN191" s="198"/>
      <c r="AO191" s="198"/>
      <c r="AP191" s="198"/>
      <c r="AQ191" s="199"/>
      <c r="AR191" s="198">
        <v>388582.41580239002</v>
      </c>
      <c r="AS191" s="198">
        <v>112526.16919967001</v>
      </c>
      <c r="AT191" s="198">
        <v>40195.514825160004</v>
      </c>
      <c r="AU191" s="198">
        <v>24692.667497270002</v>
      </c>
      <c r="AV191" s="198">
        <v>91147.131531659994</v>
      </c>
      <c r="AW191" s="198"/>
      <c r="AX191" s="198">
        <v>120020.93274862999</v>
      </c>
      <c r="AY191" s="197">
        <v>32637231.7892</v>
      </c>
      <c r="AZ191" s="198"/>
      <c r="BA191" s="198">
        <v>23874384.217099998</v>
      </c>
      <c r="BB191" s="198">
        <v>5907488.9907999998</v>
      </c>
      <c r="BC191" s="198">
        <v>2855358.5813000002</v>
      </c>
      <c r="BD191" s="198"/>
      <c r="BE191" s="198"/>
      <c r="BF191" s="197">
        <v>51825329.619999997</v>
      </c>
      <c r="BG191" s="198"/>
      <c r="BH191" s="198">
        <v>32182732.399999995</v>
      </c>
      <c r="BI191" s="198">
        <v>10383242.52</v>
      </c>
      <c r="BJ191" s="198">
        <v>8828899.1600000001</v>
      </c>
      <c r="BK191" s="198">
        <v>430455.54</v>
      </c>
      <c r="BL191" s="198"/>
      <c r="BM191" s="197">
        <v>2085912.7220000001</v>
      </c>
      <c r="BN191" s="198">
        <v>191748.14199999999</v>
      </c>
      <c r="BO191" s="198">
        <v>314315.95600000001</v>
      </c>
      <c r="BP191" s="198">
        <v>576064.44799999997</v>
      </c>
      <c r="BQ191" s="198">
        <v>506885.35700000002</v>
      </c>
      <c r="BR191" s="198"/>
      <c r="BS191" s="198">
        <f t="shared" si="2"/>
        <v>496898.8189999999</v>
      </c>
      <c r="BT191" s="197"/>
      <c r="BU191" s="198"/>
      <c r="BV191" s="198"/>
      <c r="BW191" s="198"/>
      <c r="BX191" s="198"/>
      <c r="BY191" s="198"/>
      <c r="BZ191" s="198"/>
      <c r="CA191" s="197">
        <v>518.65200000000004</v>
      </c>
      <c r="CB191" s="198">
        <v>22.962</v>
      </c>
      <c r="CC191" s="198">
        <v>91.634</v>
      </c>
      <c r="CD191" s="198">
        <v>158.946</v>
      </c>
      <c r="CE191" s="198">
        <v>83.063999999999993</v>
      </c>
      <c r="CF191" s="198"/>
      <c r="CG191" s="198">
        <f>CA191-CB191-CC191-CD191-CE191</f>
        <v>162.04600000000005</v>
      </c>
      <c r="CH191" s="197"/>
      <c r="CI191" s="198"/>
      <c r="CJ191" s="198">
        <v>2769670.3945500003</v>
      </c>
      <c r="CK191" s="198"/>
      <c r="CL191" s="198">
        <v>1074151.02758</v>
      </c>
      <c r="CM191" s="198">
        <v>96157</v>
      </c>
      <c r="CN191" s="198"/>
      <c r="CO191" s="197">
        <v>5916.5289199999997</v>
      </c>
      <c r="CP191" s="198">
        <v>782.65436</v>
      </c>
      <c r="CQ191" s="198">
        <v>1101.0883899999999</v>
      </c>
      <c r="CR191" s="198">
        <v>1227.4849099999999</v>
      </c>
      <c r="CS191" s="198">
        <v>744.77039000000002</v>
      </c>
      <c r="CT191" s="198"/>
      <c r="CU191" s="198">
        <v>2060.5308699999996</v>
      </c>
      <c r="CV191" s="197">
        <v>1096.0999999999999</v>
      </c>
      <c r="CW191" s="198">
        <v>34.850999999999999</v>
      </c>
      <c r="CX191" s="198">
        <v>157.822</v>
      </c>
      <c r="CY191" s="198">
        <v>368.63</v>
      </c>
      <c r="CZ191" s="198">
        <v>262.08300000000003</v>
      </c>
      <c r="DA191" s="198"/>
      <c r="DB191" s="198">
        <f>CV191-CW191-CX191-CY191-CZ191</f>
        <v>272.71399999999977</v>
      </c>
      <c r="DC191" s="197"/>
      <c r="DD191" s="198"/>
      <c r="DE191" s="198"/>
      <c r="DF191" s="198"/>
      <c r="DG191" s="198"/>
      <c r="DH191" s="198"/>
      <c r="DI191" s="198"/>
      <c r="DJ191" s="197">
        <f>672.7+37091.9</f>
        <v>37764.6</v>
      </c>
      <c r="DK191" s="198">
        <f>382+9817.5</f>
        <v>10199.5</v>
      </c>
      <c r="DL191" s="198">
        <f>1435.9+8764.3</f>
        <v>10200.199999999999</v>
      </c>
      <c r="DM191" s="198">
        <v>3777.8</v>
      </c>
      <c r="DN191" s="198">
        <f>8197.7-DM191</f>
        <v>4419.9000000000005</v>
      </c>
      <c r="DO191" s="198"/>
      <c r="DP191" s="198">
        <f t="shared" si="9"/>
        <v>9167.2000000000007</v>
      </c>
      <c r="DQ191" s="197"/>
      <c r="DR191" s="198"/>
      <c r="DS191" s="198"/>
      <c r="DT191" s="198"/>
      <c r="DU191" s="198"/>
      <c r="DV191" s="198"/>
      <c r="DW191" s="198"/>
      <c r="DX191" s="197">
        <v>47359.995600000002</v>
      </c>
      <c r="DY191" s="198"/>
      <c r="DZ191" s="198">
        <v>34670.599920000001</v>
      </c>
      <c r="EA191" s="198">
        <v>6169.7599</v>
      </c>
      <c r="EB191" s="198">
        <v>4748.6694000000007</v>
      </c>
      <c r="EC191" s="198"/>
      <c r="ED191" s="198">
        <v>1770.9663799999998</v>
      </c>
      <c r="EE191" s="197"/>
      <c r="EF191" s="198"/>
      <c r="EG191" s="198"/>
      <c r="EH191" s="198"/>
      <c r="EI191" s="198"/>
      <c r="EJ191" s="198"/>
      <c r="EK191" s="199"/>
      <c r="EL191" s="197">
        <v>961795.97390699992</v>
      </c>
      <c r="EM191" s="198">
        <v>308265.00062899996</v>
      </c>
      <c r="EN191" s="198">
        <v>27467.468401000002</v>
      </c>
      <c r="EO191" s="198">
        <v>119109.68187400002</v>
      </c>
      <c r="EP191" s="198">
        <v>87760.435238999969</v>
      </c>
      <c r="EQ191" s="198"/>
      <c r="ER191" s="199">
        <v>418925.06345999998</v>
      </c>
      <c r="ES191" s="197">
        <v>12287.37017595</v>
      </c>
      <c r="ET191" s="198">
        <v>1512.05646907</v>
      </c>
      <c r="EU191" s="198">
        <v>3021.02357717</v>
      </c>
      <c r="EV191" s="198">
        <v>1239.81320222</v>
      </c>
      <c r="EW191" s="198">
        <v>3580.9247666800002</v>
      </c>
      <c r="EX191" s="198"/>
      <c r="EY191" s="199">
        <f t="shared" si="6"/>
        <v>2933.5521608100007</v>
      </c>
      <c r="EZ191" s="198">
        <v>11377</v>
      </c>
      <c r="FA191" s="198">
        <v>576</v>
      </c>
      <c r="FB191" s="198">
        <v>2939</v>
      </c>
      <c r="FC191" s="198">
        <v>3111</v>
      </c>
      <c r="FD191" s="198">
        <v>2597</v>
      </c>
      <c r="FE191" s="198">
        <v>22</v>
      </c>
      <c r="FF191" s="198">
        <f t="shared" si="8"/>
        <v>2154</v>
      </c>
      <c r="FG191" s="197"/>
      <c r="FH191" s="198"/>
      <c r="FI191" s="198"/>
      <c r="FJ191" s="198"/>
      <c r="FK191" s="198"/>
      <c r="FL191" s="198"/>
      <c r="FM191" s="198"/>
      <c r="FN191" s="197">
        <v>37136.002</v>
      </c>
      <c r="FO191" s="198">
        <v>10444.332</v>
      </c>
      <c r="FP191" s="198">
        <v>4545.8900000000003</v>
      </c>
      <c r="FQ191" s="198">
        <v>4277.5169999999998</v>
      </c>
      <c r="FR191" s="198">
        <v>3768.3519999999999</v>
      </c>
      <c r="FS191" s="198"/>
      <c r="FT191" s="199">
        <f t="shared" si="7"/>
        <v>14099.911</v>
      </c>
      <c r="FU191" s="197"/>
      <c r="FV191" s="198"/>
      <c r="FW191" s="198"/>
      <c r="FX191" s="198"/>
      <c r="FY191" s="198"/>
      <c r="FZ191" s="198"/>
      <c r="GA191" s="199"/>
      <c r="GB191" s="197">
        <v>1016.229</v>
      </c>
      <c r="GC191" s="198">
        <v>21.36</v>
      </c>
      <c r="GD191" s="198">
        <v>172.292</v>
      </c>
      <c r="GE191" s="198">
        <v>258.84399999999999</v>
      </c>
      <c r="GF191" s="198">
        <v>178.624</v>
      </c>
      <c r="GG191" s="198"/>
      <c r="GH191" s="199">
        <f>GB191-GC191-GD191-GE191-GF191</f>
        <v>385.10899999999992</v>
      </c>
      <c r="GI191" s="197">
        <v>769.08</v>
      </c>
      <c r="GJ191" s="198">
        <v>19.446000000000002</v>
      </c>
      <c r="GK191" s="198">
        <v>108.887</v>
      </c>
      <c r="GL191" s="198">
        <v>269.04500000000002</v>
      </c>
      <c r="GM191" s="198">
        <v>143.755</v>
      </c>
      <c r="GN191" s="198"/>
      <c r="GO191" s="199">
        <f>GI191-GJ191-GK191-GL191-GM191</f>
        <v>227.94700000000006</v>
      </c>
      <c r="GP191" s="197">
        <v>1639.3979999999999</v>
      </c>
      <c r="GQ191" s="198">
        <v>54.945</v>
      </c>
      <c r="GR191" s="198">
        <v>402.08300000000003</v>
      </c>
      <c r="GS191" s="198">
        <v>333.46499999999997</v>
      </c>
      <c r="GT191" s="198">
        <v>411.73899999999998</v>
      </c>
      <c r="GU191" s="198"/>
      <c r="GV191" s="199">
        <f>GP191-GQ191-GR191-GS191-GT191</f>
        <v>437.166</v>
      </c>
      <c r="GW191" s="197"/>
      <c r="GX191" s="198"/>
      <c r="GY191" s="198"/>
      <c r="GZ191" s="198"/>
      <c r="HA191" s="198"/>
      <c r="HB191" s="198"/>
      <c r="HC191" s="199"/>
      <c r="HD191" s="197">
        <f>'[2]t&amp;t'!W323</f>
        <v>14654.1</v>
      </c>
      <c r="HE191" s="198">
        <f>'[2]t&amp;t'!X323</f>
        <v>1427.2</v>
      </c>
      <c r="HF191" s="198">
        <f>'[2]t&amp;t'!Y323</f>
        <v>1286.5999999999999</v>
      </c>
      <c r="HG191" s="198">
        <f>'[2]t&amp;t'!Z323</f>
        <v>829.8</v>
      </c>
      <c r="HH191" s="198">
        <f>'[2]t&amp;t'!AA323</f>
        <v>5254.6</v>
      </c>
      <c r="HI191" s="198"/>
      <c r="HJ191" s="199">
        <f>'[2]t&amp;t'!AC323</f>
        <v>5855.9000000000005</v>
      </c>
      <c r="HK191" s="197"/>
      <c r="HL191" s="198"/>
      <c r="HM191" s="198"/>
      <c r="HN191" s="198"/>
      <c r="HO191" s="198"/>
      <c r="HP191" s="198"/>
      <c r="HQ191" s="198"/>
      <c r="HR191" s="197"/>
      <c r="HT191" s="198"/>
      <c r="HU191" s="198"/>
      <c r="HV191" s="198"/>
      <c r="HW191" s="198"/>
      <c r="HX191" s="198"/>
    </row>
    <row r="192" spans="1:233">
      <c r="A192" s="185" t="s">
        <v>495</v>
      </c>
      <c r="B192" s="197"/>
      <c r="C192" s="198"/>
      <c r="D192" s="198"/>
      <c r="E192" s="198"/>
      <c r="F192" s="198"/>
      <c r="G192" s="198"/>
      <c r="H192" s="199"/>
      <c r="I192" s="197">
        <v>69627.8</v>
      </c>
      <c r="J192" s="198"/>
      <c r="K192" s="198"/>
      <c r="L192" s="198">
        <v>9939.9</v>
      </c>
      <c r="M192" s="198">
        <v>1946.3</v>
      </c>
      <c r="N192" s="198"/>
      <c r="O192" s="199">
        <f>[3]arg!$G58</f>
        <v>21164.9</v>
      </c>
      <c r="P192" s="198">
        <v>4242.701</v>
      </c>
      <c r="Q192" s="198">
        <v>60.048000000000002</v>
      </c>
      <c r="R192" s="198">
        <v>469.93699999999995</v>
      </c>
      <c r="S192" s="198">
        <v>250.55700000000002</v>
      </c>
      <c r="T192" s="198">
        <v>2611.6979999999999</v>
      </c>
      <c r="U192" s="198"/>
      <c r="V192" s="199">
        <v>850.46100000000001</v>
      </c>
      <c r="W192" s="198">
        <v>2790.1039999999998</v>
      </c>
      <c r="X192" s="198">
        <v>76.662000000000006</v>
      </c>
      <c r="Y192" s="198">
        <v>651.90099999999995</v>
      </c>
      <c r="Z192" s="198">
        <v>221.87200000000001</v>
      </c>
      <c r="AA192" s="198">
        <v>1168.1880000000001</v>
      </c>
      <c r="AB192" s="198"/>
      <c r="AC192" s="199">
        <f t="shared" si="3"/>
        <v>671.48099999999999</v>
      </c>
      <c r="AD192" s="198"/>
      <c r="AE192" s="198">
        <v>12.683</v>
      </c>
      <c r="AF192" s="198">
        <v>228.64599999999999</v>
      </c>
      <c r="AG192" s="198">
        <v>322.745</v>
      </c>
      <c r="AH192" s="198">
        <v>187.411</v>
      </c>
      <c r="AI192" s="198"/>
      <c r="AJ192" s="198"/>
      <c r="AK192" s="197"/>
      <c r="AL192" s="198"/>
      <c r="AM192" s="198"/>
      <c r="AN192" s="198"/>
      <c r="AO192" s="198"/>
      <c r="AP192" s="198"/>
      <c r="AQ192" s="199"/>
      <c r="AR192" s="198">
        <v>389881.35047382</v>
      </c>
      <c r="AS192" s="198">
        <v>112178.35420319001</v>
      </c>
      <c r="AT192" s="198">
        <v>39968.370129950003</v>
      </c>
      <c r="AU192" s="198">
        <v>24708.521629570001</v>
      </c>
      <c r="AV192" s="198">
        <v>91686.401353720008</v>
      </c>
      <c r="AW192" s="198"/>
      <c r="AX192" s="198">
        <v>121339.70315738999</v>
      </c>
      <c r="AY192" s="197">
        <v>32801383.132399999</v>
      </c>
      <c r="AZ192" s="198"/>
      <c r="BA192" s="198">
        <v>23980190.561799996</v>
      </c>
      <c r="BB192" s="198">
        <v>5934092.7304999996</v>
      </c>
      <c r="BC192" s="198">
        <v>2887099.8401000001</v>
      </c>
      <c r="BD192" s="198"/>
      <c r="BE192" s="198"/>
      <c r="BF192" s="197">
        <v>51954049.419999994</v>
      </c>
      <c r="BG192" s="198"/>
      <c r="BH192" s="198">
        <v>32196266.449999999</v>
      </c>
      <c r="BI192" s="198">
        <v>10312751.060000002</v>
      </c>
      <c r="BJ192" s="198">
        <v>8982594.4600000009</v>
      </c>
      <c r="BK192" s="198">
        <v>462437.45</v>
      </c>
      <c r="BL192" s="198"/>
      <c r="BM192" s="197">
        <v>2119591.4180000001</v>
      </c>
      <c r="BN192" s="198">
        <v>179360.90299999999</v>
      </c>
      <c r="BO192" s="198">
        <v>312986.06400000001</v>
      </c>
      <c r="BP192" s="198">
        <v>585648.71600000001</v>
      </c>
      <c r="BQ192" s="198">
        <v>527671.34100000001</v>
      </c>
      <c r="BR192" s="198"/>
      <c r="BS192" s="198">
        <f t="shared" si="2"/>
        <v>513924.39400000009</v>
      </c>
      <c r="BT192" s="197"/>
      <c r="BU192" s="198"/>
      <c r="BV192" s="198"/>
      <c r="BW192" s="198"/>
      <c r="BX192" s="198"/>
      <c r="BY192" s="198"/>
      <c r="BZ192" s="198"/>
      <c r="CA192" s="197"/>
      <c r="CB192" s="198"/>
      <c r="CC192" s="198"/>
      <c r="CD192" s="198"/>
      <c r="CE192" s="198"/>
      <c r="CF192" s="198"/>
      <c r="CG192" s="198"/>
      <c r="CH192" s="197"/>
      <c r="CI192" s="198"/>
      <c r="CJ192" s="198">
        <v>2795635.7334400001</v>
      </c>
      <c r="CK192" s="198"/>
      <c r="CL192" s="198">
        <v>1091782.7404500002</v>
      </c>
      <c r="CM192" s="198">
        <v>102796</v>
      </c>
      <c r="CN192" s="198"/>
      <c r="CO192" s="197">
        <v>5887.4377599999998</v>
      </c>
      <c r="CP192" s="198">
        <v>735.75585999999998</v>
      </c>
      <c r="CQ192" s="198">
        <v>1101.32601</v>
      </c>
      <c r="CR192" s="198">
        <v>1240.18733</v>
      </c>
      <c r="CS192" s="198">
        <v>765.01387999999997</v>
      </c>
      <c r="CT192" s="198"/>
      <c r="CU192" s="198">
        <v>2045.1546799999996</v>
      </c>
      <c r="CV192" s="197"/>
      <c r="CW192" s="198"/>
      <c r="CX192" s="198"/>
      <c r="CY192" s="198"/>
      <c r="CZ192" s="198"/>
      <c r="DA192" s="198"/>
      <c r="DB192" s="198"/>
      <c r="DC192" s="197"/>
      <c r="DD192" s="198"/>
      <c r="DE192" s="198"/>
      <c r="DF192" s="198"/>
      <c r="DG192" s="198"/>
      <c r="DH192" s="198"/>
      <c r="DI192" s="198"/>
      <c r="DJ192" s="197">
        <f>576.5+36963.9</f>
        <v>37540.400000000001</v>
      </c>
      <c r="DK192" s="198">
        <f>376.4+9658.8</f>
        <v>10035.199999999999</v>
      </c>
      <c r="DL192" s="198">
        <f>1501.8+8556.8</f>
        <v>10058.599999999999</v>
      </c>
      <c r="DM192" s="198">
        <v>3932.3</v>
      </c>
      <c r="DN192" s="198">
        <f>8379.5-DM192</f>
        <v>4447.2</v>
      </c>
      <c r="DO192" s="198"/>
      <c r="DP192" s="198">
        <f t="shared" si="9"/>
        <v>9067.1000000000058</v>
      </c>
      <c r="DQ192" s="197"/>
      <c r="DR192" s="198"/>
      <c r="DS192" s="198"/>
      <c r="DT192" s="198"/>
      <c r="DU192" s="198"/>
      <c r="DV192" s="198"/>
      <c r="DW192" s="198"/>
      <c r="DX192" s="197">
        <v>47422.25043</v>
      </c>
      <c r="DY192" s="198"/>
      <c r="DZ192" s="198">
        <v>34768.801890000002</v>
      </c>
      <c r="EA192" s="198">
        <v>6082.9400800000003</v>
      </c>
      <c r="EB192" s="198">
        <v>5054.9068600000001</v>
      </c>
      <c r="EC192" s="198"/>
      <c r="ED192" s="198">
        <v>1515.60159</v>
      </c>
      <c r="EE192" s="197"/>
      <c r="EF192" s="198"/>
      <c r="EG192" s="198"/>
      <c r="EH192" s="198"/>
      <c r="EI192" s="198"/>
      <c r="EJ192" s="198"/>
      <c r="EK192" s="199"/>
      <c r="EL192" s="197">
        <v>950333.59460199997</v>
      </c>
      <c r="EM192" s="198">
        <v>302639.36151799996</v>
      </c>
      <c r="EN192" s="198">
        <v>23710.769704999999</v>
      </c>
      <c r="EO192" s="198">
        <v>118575.74275000002</v>
      </c>
      <c r="EP192" s="198">
        <v>90314.633582999988</v>
      </c>
      <c r="EQ192" s="198"/>
      <c r="ER192" s="199">
        <v>414915.67487799993</v>
      </c>
      <c r="ES192" s="197">
        <v>12751.58308316</v>
      </c>
      <c r="ET192" s="198">
        <v>1504.50453636</v>
      </c>
      <c r="EU192" s="198">
        <v>3103.1075923799999</v>
      </c>
      <c r="EV192" s="198">
        <v>1290.23009333</v>
      </c>
      <c r="EW192" s="198">
        <v>3677.7383547200002</v>
      </c>
      <c r="EX192" s="198"/>
      <c r="EY192" s="199">
        <f t="shared" si="6"/>
        <v>3176.0025063699991</v>
      </c>
      <c r="EZ192" s="198">
        <v>11485</v>
      </c>
      <c r="FA192" s="198">
        <v>594</v>
      </c>
      <c r="FB192" s="198">
        <v>2951</v>
      </c>
      <c r="FC192" s="198">
        <v>3127</v>
      </c>
      <c r="FD192" s="198">
        <v>2615</v>
      </c>
      <c r="FE192" s="198">
        <v>20</v>
      </c>
      <c r="FF192" s="198">
        <f t="shared" si="8"/>
        <v>2198</v>
      </c>
      <c r="FG192" s="197"/>
      <c r="FH192" s="198"/>
      <c r="FI192" s="198"/>
      <c r="FJ192" s="198"/>
      <c r="FK192" s="198"/>
      <c r="FL192" s="198"/>
      <c r="FM192" s="198"/>
      <c r="FN192" s="197">
        <v>37147.733999999997</v>
      </c>
      <c r="FO192" s="198">
        <v>10356.931</v>
      </c>
      <c r="FP192" s="198">
        <v>4501.3239999999996</v>
      </c>
      <c r="FQ192" s="198">
        <v>4324.6390000000001</v>
      </c>
      <c r="FR192" s="198">
        <v>3790.3440000000001</v>
      </c>
      <c r="FS192" s="198"/>
      <c r="FT192" s="199">
        <f t="shared" si="7"/>
        <v>14174.495999999996</v>
      </c>
      <c r="FU192" s="197"/>
      <c r="FV192" s="198"/>
      <c r="FW192" s="198"/>
      <c r="FX192" s="198"/>
      <c r="FY192" s="198"/>
      <c r="FZ192" s="198"/>
      <c r="GA192" s="199"/>
      <c r="GB192" s="197"/>
      <c r="GC192" s="198"/>
      <c r="GD192" s="198"/>
      <c r="GE192" s="198"/>
      <c r="GF192" s="198"/>
      <c r="GG192" s="198"/>
      <c r="GH192" s="199"/>
      <c r="GI192" s="197"/>
      <c r="GJ192" s="198"/>
      <c r="GK192" s="198"/>
      <c r="GL192" s="198"/>
      <c r="GM192" s="198"/>
      <c r="GN192" s="198"/>
      <c r="GO192" s="199"/>
      <c r="GP192" s="197"/>
      <c r="GQ192" s="198"/>
      <c r="GR192" s="198"/>
      <c r="GS192" s="198"/>
      <c r="GT192" s="198"/>
      <c r="GU192" s="198"/>
      <c r="GV192" s="199"/>
      <c r="GW192" s="197"/>
      <c r="GX192" s="198"/>
      <c r="GY192" s="198"/>
      <c r="GZ192" s="198"/>
      <c r="HA192" s="198"/>
      <c r="HB192" s="198"/>
      <c r="HC192" s="199"/>
      <c r="HD192" s="197"/>
      <c r="HE192" s="198"/>
      <c r="HF192" s="198"/>
      <c r="HG192" s="198"/>
      <c r="HH192" s="198"/>
      <c r="HI192" s="198"/>
      <c r="HJ192" s="199"/>
      <c r="HK192" s="197"/>
      <c r="HL192" s="198"/>
      <c r="HM192" s="198"/>
      <c r="HN192" s="198"/>
      <c r="HO192" s="198"/>
      <c r="HP192" s="198"/>
      <c r="HQ192" s="198"/>
      <c r="HR192" s="197"/>
      <c r="HT192" s="198"/>
      <c r="HU192" s="198"/>
      <c r="HV192" s="198"/>
      <c r="HW192" s="198"/>
      <c r="HX192" s="198"/>
    </row>
    <row r="193" spans="1:233">
      <c r="A193" s="185" t="s">
        <v>496</v>
      </c>
      <c r="B193" s="197"/>
      <c r="C193" s="198"/>
      <c r="D193" s="198"/>
      <c r="E193" s="198"/>
      <c r="F193" s="198"/>
      <c r="G193" s="198"/>
      <c r="H193" s="199"/>
      <c r="I193" s="197">
        <v>65046.3</v>
      </c>
      <c r="J193" s="198"/>
      <c r="K193" s="198"/>
      <c r="L193" s="198">
        <v>9800.2000000000007</v>
      </c>
      <c r="M193" s="198">
        <v>1937.6</v>
      </c>
      <c r="N193" s="198"/>
      <c r="O193" s="199">
        <f>[3]arg!$G59</f>
        <v>21397.399999999998</v>
      </c>
      <c r="P193" s="198">
        <v>4116.473</v>
      </c>
      <c r="Q193" s="198">
        <v>59.41</v>
      </c>
      <c r="R193" s="198">
        <v>480.69800000000004</v>
      </c>
      <c r="S193" s="198">
        <v>252.69299999999998</v>
      </c>
      <c r="T193" s="198">
        <v>2646.0889999999999</v>
      </c>
      <c r="U193" s="198"/>
      <c r="V193" s="199">
        <v>677.58300000000031</v>
      </c>
      <c r="W193" s="198">
        <v>2789.8119999999999</v>
      </c>
      <c r="X193" s="198">
        <v>78.680000000000007</v>
      </c>
      <c r="Y193" s="198">
        <v>643.26</v>
      </c>
      <c r="Z193" s="198">
        <v>230.46</v>
      </c>
      <c r="AA193" s="198">
        <v>1170.55</v>
      </c>
      <c r="AB193" s="198"/>
      <c r="AC193" s="199">
        <f t="shared" si="3"/>
        <v>666.86200000000031</v>
      </c>
      <c r="AD193" s="198"/>
      <c r="AE193" s="198">
        <v>12.981</v>
      </c>
      <c r="AF193" s="198">
        <v>235.423</v>
      </c>
      <c r="AG193" s="198">
        <v>324.13799999999998</v>
      </c>
      <c r="AH193" s="198">
        <v>198.67699999999999</v>
      </c>
      <c r="AI193" s="198"/>
      <c r="AJ193" s="198"/>
      <c r="AK193" s="197"/>
      <c r="AL193" s="198"/>
      <c r="AM193" s="198"/>
      <c r="AN193" s="198"/>
      <c r="AO193" s="198"/>
      <c r="AP193" s="198"/>
      <c r="AQ193" s="199"/>
      <c r="AR193" s="198">
        <v>392426.91954199993</v>
      </c>
      <c r="AS193" s="198">
        <v>112836.48391825998</v>
      </c>
      <c r="AT193" s="198">
        <v>39932.790484969999</v>
      </c>
      <c r="AU193" s="198">
        <v>24824.022639070001</v>
      </c>
      <c r="AV193" s="198">
        <v>92635.375165630016</v>
      </c>
      <c r="AW193" s="198"/>
      <c r="AX193" s="198">
        <v>122198.24733406995</v>
      </c>
      <c r="AY193" s="197">
        <v>32928757.106800005</v>
      </c>
      <c r="AZ193" s="198"/>
      <c r="BA193" s="198">
        <v>24075034.817600004</v>
      </c>
      <c r="BB193" s="198">
        <v>5926265.5373</v>
      </c>
      <c r="BC193" s="198">
        <v>2927456.7519</v>
      </c>
      <c r="BD193" s="198"/>
      <c r="BE193" s="198"/>
      <c r="BF193" s="197">
        <v>52392672.579999998</v>
      </c>
      <c r="BG193" s="198"/>
      <c r="BH193" s="198">
        <v>32428699.479999997</v>
      </c>
      <c r="BI193" s="198">
        <v>10313774.43</v>
      </c>
      <c r="BJ193" s="198">
        <v>9169323.6000000034</v>
      </c>
      <c r="BK193" s="198">
        <v>480875.07</v>
      </c>
      <c r="BL193" s="198"/>
      <c r="BM193" s="197">
        <v>2133218.6359999999</v>
      </c>
      <c r="BN193" s="198">
        <v>175825.484</v>
      </c>
      <c r="BO193" s="198">
        <v>309777.16899999999</v>
      </c>
      <c r="BP193" s="198">
        <v>613894.973</v>
      </c>
      <c r="BQ193" s="198">
        <v>515240.52</v>
      </c>
      <c r="BR193" s="198"/>
      <c r="BS193" s="198">
        <f t="shared" si="2"/>
        <v>518480.49</v>
      </c>
      <c r="BT193" s="197"/>
      <c r="BU193" s="198"/>
      <c r="BV193" s="198"/>
      <c r="BW193" s="198"/>
      <c r="BX193" s="198"/>
      <c r="BY193" s="198"/>
      <c r="BZ193" s="198"/>
      <c r="CA193" s="197"/>
      <c r="CB193" s="198"/>
      <c r="CC193" s="198"/>
      <c r="CD193" s="198"/>
      <c r="CE193" s="198"/>
      <c r="CF193" s="198"/>
      <c r="CG193" s="198"/>
      <c r="CH193" s="197"/>
      <c r="CI193" s="198"/>
      <c r="CJ193" s="198">
        <v>2799255.9552900004</v>
      </c>
      <c r="CK193" s="198"/>
      <c r="CL193" s="198">
        <v>1123147.76584</v>
      </c>
      <c r="CM193" s="198">
        <v>117954</v>
      </c>
      <c r="CN193" s="198"/>
      <c r="CO193" s="197">
        <v>5918.9236600000004</v>
      </c>
      <c r="CP193" s="198">
        <v>744.07427000000007</v>
      </c>
      <c r="CQ193" s="198">
        <v>1104.99702</v>
      </c>
      <c r="CR193" s="198">
        <v>1257.4211299999999</v>
      </c>
      <c r="CS193" s="198">
        <v>776.09500000000003</v>
      </c>
      <c r="CT193" s="198"/>
      <c r="CU193" s="198">
        <v>2036.3362400000003</v>
      </c>
      <c r="CV193" s="197"/>
      <c r="CW193" s="198"/>
      <c r="CX193" s="198"/>
      <c r="CY193" s="198"/>
      <c r="CZ193" s="198"/>
      <c r="DA193" s="198"/>
      <c r="DB193" s="198"/>
      <c r="DC193" s="197"/>
      <c r="DD193" s="198"/>
      <c r="DE193" s="198"/>
      <c r="DF193" s="198"/>
      <c r="DG193" s="198"/>
      <c r="DH193" s="198"/>
      <c r="DI193" s="198"/>
      <c r="DJ193" s="197">
        <f>624.2+36971.6</f>
        <v>37595.799999999996</v>
      </c>
      <c r="DK193" s="198">
        <f>377.5+9359.4</f>
        <v>9736.9</v>
      </c>
      <c r="DL193" s="198">
        <f>1554.3+8717.5</f>
        <v>10271.799999999999</v>
      </c>
      <c r="DM193" s="198">
        <v>3821.1</v>
      </c>
      <c r="DN193" s="198">
        <f>8433.7-DM193</f>
        <v>4612.6000000000004</v>
      </c>
      <c r="DO193" s="198"/>
      <c r="DP193" s="198">
        <f t="shared" si="9"/>
        <v>9153.4000000000015</v>
      </c>
      <c r="DQ193" s="197"/>
      <c r="DR193" s="198"/>
      <c r="DS193" s="198"/>
      <c r="DT193" s="198"/>
      <c r="DU193" s="198"/>
      <c r="DV193" s="198"/>
      <c r="DW193" s="198"/>
      <c r="DX193" s="197">
        <v>48222.31697</v>
      </c>
      <c r="DY193" s="198"/>
      <c r="DZ193" s="198">
        <v>35372.691319999998</v>
      </c>
      <c r="EA193" s="198">
        <v>6204.2625399999997</v>
      </c>
      <c r="EB193" s="198">
        <v>5110.9904800000004</v>
      </c>
      <c r="EC193" s="198"/>
      <c r="ED193" s="198">
        <v>1534.3726100000001</v>
      </c>
      <c r="EE193" s="197"/>
      <c r="EF193" s="198"/>
      <c r="EG193" s="198"/>
      <c r="EH193" s="198"/>
      <c r="EI193" s="198"/>
      <c r="EJ193" s="198"/>
      <c r="EK193" s="199"/>
      <c r="EL193" s="197">
        <v>962723.50981900003</v>
      </c>
      <c r="EM193" s="198">
        <v>310534.81302100001</v>
      </c>
      <c r="EN193" s="198">
        <v>22711.442649000008</v>
      </c>
      <c r="EO193" s="198">
        <v>118509.334248</v>
      </c>
      <c r="EP193" s="198">
        <v>95890.191080999983</v>
      </c>
      <c r="EQ193" s="198"/>
      <c r="ER193" s="199">
        <v>414894.97474600002</v>
      </c>
      <c r="ES193" s="197">
        <v>13343.291885519997</v>
      </c>
      <c r="ET193" s="198">
        <v>1462.37765909</v>
      </c>
      <c r="EU193" s="198">
        <v>3110.1839316000001</v>
      </c>
      <c r="EV193" s="198">
        <v>1328.05102728</v>
      </c>
      <c r="EW193" s="198">
        <v>3808.6695383299998</v>
      </c>
      <c r="EX193" s="198"/>
      <c r="EY193" s="199">
        <f t="shared" si="6"/>
        <v>3634.0097292199966</v>
      </c>
      <c r="EZ193" s="198">
        <v>11518</v>
      </c>
      <c r="FA193" s="198">
        <v>579</v>
      </c>
      <c r="FB193" s="198">
        <v>3001</v>
      </c>
      <c r="FC193" s="198">
        <v>3153</v>
      </c>
      <c r="FD193" s="198">
        <v>2597</v>
      </c>
      <c r="FE193" s="198">
        <v>24</v>
      </c>
      <c r="FF193" s="198">
        <f t="shared" si="8"/>
        <v>2188</v>
      </c>
      <c r="FG193" s="197"/>
      <c r="FH193" s="198"/>
      <c r="FI193" s="198"/>
      <c r="FJ193" s="198"/>
      <c r="FK193" s="198"/>
      <c r="FL193" s="198"/>
      <c r="FM193" s="198"/>
      <c r="FN193" s="197">
        <v>37088.324000000001</v>
      </c>
      <c r="FO193" s="198">
        <v>10304.218999999999</v>
      </c>
      <c r="FP193" s="198">
        <v>4516.1000000000004</v>
      </c>
      <c r="FQ193" s="198">
        <v>4398.7759999999998</v>
      </c>
      <c r="FR193" s="198">
        <v>3850.2750000000001</v>
      </c>
      <c r="FS193" s="198"/>
      <c r="FT193" s="199">
        <f t="shared" si="7"/>
        <v>14018.953999999998</v>
      </c>
      <c r="FU193" s="197"/>
      <c r="FV193" s="198"/>
      <c r="FW193" s="198"/>
      <c r="FX193" s="198"/>
      <c r="FY193" s="198"/>
      <c r="FZ193" s="198"/>
      <c r="GA193" s="199"/>
      <c r="GB193" s="197"/>
      <c r="GC193" s="198"/>
      <c r="GD193" s="198"/>
      <c r="GE193" s="198"/>
      <c r="GF193" s="198"/>
      <c r="GG193" s="198"/>
      <c r="GH193" s="199"/>
      <c r="GI193" s="197"/>
      <c r="GJ193" s="198"/>
      <c r="GK193" s="198"/>
      <c r="GL193" s="198"/>
      <c r="GM193" s="198"/>
      <c r="GN193" s="198"/>
      <c r="GO193" s="199"/>
      <c r="GP193" s="197"/>
      <c r="GQ193" s="198"/>
      <c r="GR193" s="198"/>
      <c r="GS193" s="198"/>
      <c r="GT193" s="198"/>
      <c r="GU193" s="198"/>
      <c r="GV193" s="199"/>
      <c r="GW193" s="197"/>
      <c r="GX193" s="198"/>
      <c r="GY193" s="198"/>
      <c r="GZ193" s="198"/>
      <c r="HA193" s="198"/>
      <c r="HB193" s="198"/>
      <c r="HC193" s="199"/>
      <c r="HD193" s="197"/>
      <c r="HE193" s="198"/>
      <c r="HF193" s="198"/>
      <c r="HG193" s="198"/>
      <c r="HH193" s="198"/>
      <c r="HI193" s="198"/>
      <c r="HJ193" s="199"/>
      <c r="HK193" s="197"/>
      <c r="HL193" s="198"/>
      <c r="HM193" s="198"/>
      <c r="HN193" s="198"/>
      <c r="HO193" s="198"/>
      <c r="HP193" s="198"/>
      <c r="HQ193" s="198"/>
      <c r="HR193" s="197"/>
      <c r="HT193" s="198"/>
      <c r="HU193" s="198"/>
      <c r="HV193" s="198"/>
      <c r="HW193" s="198"/>
      <c r="HX193" s="198"/>
    </row>
    <row r="194" spans="1:233">
      <c r="A194" s="185" t="s">
        <v>497</v>
      </c>
      <c r="B194" s="197">
        <v>1877.5809999999999</v>
      </c>
      <c r="C194" s="198">
        <v>66.402000000000001</v>
      </c>
      <c r="D194" s="198">
        <v>369.38</v>
      </c>
      <c r="E194" s="198">
        <v>431.56</v>
      </c>
      <c r="F194" s="198">
        <v>333.41</v>
      </c>
      <c r="G194" s="198"/>
      <c r="H194" s="199">
        <v>676.82899999999995</v>
      </c>
      <c r="I194" s="197">
        <v>63030.9</v>
      </c>
      <c r="J194" s="198"/>
      <c r="K194" s="198"/>
      <c r="L194" s="198">
        <v>9626.9</v>
      </c>
      <c r="M194" s="198">
        <v>1972.5</v>
      </c>
      <c r="N194" s="198"/>
      <c r="O194" s="199">
        <f>[3]arg!$G60</f>
        <v>21192.399999999998</v>
      </c>
      <c r="P194" s="198">
        <v>4133.3450000000003</v>
      </c>
      <c r="Q194" s="198">
        <v>60.933</v>
      </c>
      <c r="R194" s="198">
        <v>463.25199999999995</v>
      </c>
      <c r="S194" s="198">
        <v>259.00600000000003</v>
      </c>
      <c r="T194" s="198">
        <v>2656.2380000000003</v>
      </c>
      <c r="U194" s="198"/>
      <c r="V194" s="199">
        <v>693.9159999999996</v>
      </c>
      <c r="W194" s="198">
        <v>2793.15</v>
      </c>
      <c r="X194" s="198">
        <v>84.966999999999999</v>
      </c>
      <c r="Y194" s="198">
        <v>656.88400000000001</v>
      </c>
      <c r="Z194" s="198">
        <v>210</v>
      </c>
      <c r="AA194" s="198">
        <v>1174.578</v>
      </c>
      <c r="AB194" s="198"/>
      <c r="AC194" s="199">
        <f t="shared" si="3"/>
        <v>666.721</v>
      </c>
      <c r="AD194" s="198">
        <f>[1]datos!$S326</f>
        <v>1247.921</v>
      </c>
      <c r="AE194" s="198">
        <v>16.332000000000001</v>
      </c>
      <c r="AF194" s="198">
        <v>229.547</v>
      </c>
      <c r="AG194" s="198">
        <v>328.19400000000002</v>
      </c>
      <c r="AH194" s="198">
        <v>197.87799999999999</v>
      </c>
      <c r="AI194" s="198">
        <f>[1]datos!$U326</f>
        <v>223.833</v>
      </c>
      <c r="AJ194" s="198">
        <f>AD194-AE194-AF194-AG194-AH194-AI194</f>
        <v>252.13699999999997</v>
      </c>
      <c r="AK194" s="197">
        <v>25461.31</v>
      </c>
      <c r="AL194" s="198"/>
      <c r="AM194" s="198">
        <v>16278.212599999997</v>
      </c>
      <c r="AN194" s="198">
        <v>5079.1056999999992</v>
      </c>
      <c r="AO194" s="198">
        <v>1304.7954</v>
      </c>
      <c r="AP194" s="198">
        <v>2799.1963000000001</v>
      </c>
      <c r="AQ194" s="199"/>
      <c r="AR194" s="198">
        <v>397523.22728772002</v>
      </c>
      <c r="AS194" s="198">
        <v>113248.51394011002</v>
      </c>
      <c r="AT194" s="198">
        <v>40601.038137449992</v>
      </c>
      <c r="AU194" s="198">
        <v>24889.43771093</v>
      </c>
      <c r="AV194" s="198">
        <v>94486.15791663999</v>
      </c>
      <c r="AW194" s="198"/>
      <c r="AX194" s="198">
        <v>124298.07958258997</v>
      </c>
      <c r="AY194" s="197">
        <v>32855699.306299996</v>
      </c>
      <c r="AZ194" s="198"/>
      <c r="BA194" s="198">
        <v>23852752.1065</v>
      </c>
      <c r="BB194" s="198">
        <v>5999490.7698999997</v>
      </c>
      <c r="BC194" s="198">
        <v>3003456.4298999999</v>
      </c>
      <c r="BD194" s="198"/>
      <c r="BE194" s="198"/>
      <c r="BF194" s="197">
        <v>52709435.479999997</v>
      </c>
      <c r="BG194" s="198"/>
      <c r="BH194" s="198">
        <v>32648220.850000001</v>
      </c>
      <c r="BI194" s="198">
        <v>10244438.340000002</v>
      </c>
      <c r="BJ194" s="198">
        <v>9301896.5199999996</v>
      </c>
      <c r="BK194" s="198">
        <v>514879.77</v>
      </c>
      <c r="BL194" s="198"/>
      <c r="BM194" s="197">
        <v>2165225.8539999998</v>
      </c>
      <c r="BN194" s="198">
        <v>170852.755</v>
      </c>
      <c r="BO194" s="198">
        <v>310649.85399999999</v>
      </c>
      <c r="BP194" s="198">
        <v>624103.94099999999</v>
      </c>
      <c r="BQ194" s="198">
        <v>524724.78</v>
      </c>
      <c r="BR194" s="198"/>
      <c r="BS194" s="198">
        <f t="shared" si="2"/>
        <v>534894.52399999974</v>
      </c>
      <c r="BT194" s="197"/>
      <c r="BU194" s="198"/>
      <c r="BV194" s="198"/>
      <c r="BW194" s="198"/>
      <c r="BX194" s="198"/>
      <c r="BY194" s="198"/>
      <c r="BZ194" s="198"/>
      <c r="CA194" s="197">
        <v>510.67599999999999</v>
      </c>
      <c r="CB194" s="198">
        <v>24.172999999999998</v>
      </c>
      <c r="CC194" s="198">
        <v>88.006</v>
      </c>
      <c r="CD194" s="198">
        <v>160.07599999999999</v>
      </c>
      <c r="CE194" s="198">
        <v>79.116</v>
      </c>
      <c r="CF194" s="198"/>
      <c r="CG194" s="198">
        <f>CA194-CB194-CC194-CD194-CE194</f>
        <v>159.30499999999995</v>
      </c>
      <c r="CH194" s="197"/>
      <c r="CI194" s="198"/>
      <c r="CJ194" s="198">
        <v>2861992.6090699998</v>
      </c>
      <c r="CK194" s="198"/>
      <c r="CL194" s="198">
        <v>1146906.0629700001</v>
      </c>
      <c r="CM194" s="198">
        <v>127835</v>
      </c>
      <c r="CN194" s="198"/>
      <c r="CO194" s="197">
        <v>5931.98711</v>
      </c>
      <c r="CP194" s="198">
        <v>719.70306999999991</v>
      </c>
      <c r="CQ194" s="198">
        <v>1104.6126299999999</v>
      </c>
      <c r="CR194" s="198">
        <v>1287.3654799999999</v>
      </c>
      <c r="CS194" s="198">
        <v>783.51604000000009</v>
      </c>
      <c r="CT194" s="198"/>
      <c r="CU194" s="198">
        <v>2036.7898900000007</v>
      </c>
      <c r="CV194" s="197">
        <v>1108.376</v>
      </c>
      <c r="CW194" s="198">
        <v>38.32</v>
      </c>
      <c r="CX194" s="198">
        <v>156.226</v>
      </c>
      <c r="CY194" s="198">
        <v>370.82100000000003</v>
      </c>
      <c r="CZ194" s="198">
        <v>267.69400000000002</v>
      </c>
      <c r="DA194" s="198"/>
      <c r="DB194" s="198">
        <f>CV194-CW194-CX194-CY194-CZ194</f>
        <v>275.315</v>
      </c>
      <c r="DC194" s="197"/>
      <c r="DD194" s="198"/>
      <c r="DE194" s="198"/>
      <c r="DF194" s="198"/>
      <c r="DG194" s="198"/>
      <c r="DH194" s="198"/>
      <c r="DI194" s="198"/>
      <c r="DJ194" s="197">
        <f>680.4+37116.8</f>
        <v>37797.200000000004</v>
      </c>
      <c r="DK194" s="198">
        <f>378.6+9862.4</f>
        <v>10241</v>
      </c>
      <c r="DL194" s="198">
        <f>1480.8+8783.2</f>
        <v>10264</v>
      </c>
      <c r="DM194" s="198">
        <v>3930.9</v>
      </c>
      <c r="DN194" s="198">
        <f>8377.6-DM194</f>
        <v>4446.7000000000007</v>
      </c>
      <c r="DO194" s="198"/>
      <c r="DP194" s="198">
        <f t="shared" si="9"/>
        <v>8914.6000000000022</v>
      </c>
      <c r="DQ194" s="197"/>
      <c r="DR194" s="198"/>
      <c r="DS194" s="198"/>
      <c r="DT194" s="198"/>
      <c r="DU194" s="198"/>
      <c r="DV194" s="198"/>
      <c r="DW194" s="198"/>
      <c r="DX194" s="197">
        <v>49378.710780000001</v>
      </c>
      <c r="DY194" s="198"/>
      <c r="DZ194" s="198">
        <v>36115.243950000004</v>
      </c>
      <c r="EA194" s="198">
        <v>6595.8351700000003</v>
      </c>
      <c r="EB194" s="198">
        <v>5059.6775499999994</v>
      </c>
      <c r="EC194" s="198"/>
      <c r="ED194" s="198">
        <v>1607.9541100000001</v>
      </c>
      <c r="EE194" s="197"/>
      <c r="EF194" s="198"/>
      <c r="EG194" s="198"/>
      <c r="EH194" s="198"/>
      <c r="EI194" s="198"/>
      <c r="EJ194" s="198"/>
      <c r="EK194" s="199"/>
      <c r="EL194" s="197">
        <v>964566.47400300007</v>
      </c>
      <c r="EM194" s="198">
        <v>303604.69747099996</v>
      </c>
      <c r="EN194" s="198">
        <v>24214.571245999996</v>
      </c>
      <c r="EO194" s="198">
        <v>118209.902863</v>
      </c>
      <c r="EP194" s="198">
        <v>102468.47275099996</v>
      </c>
      <c r="EQ194" s="198"/>
      <c r="ER194" s="199">
        <v>415837.79166799999</v>
      </c>
      <c r="ES194" s="197">
        <v>13874.346724949999</v>
      </c>
      <c r="ET194" s="198">
        <v>1474.05558651</v>
      </c>
      <c r="EU194" s="198">
        <v>3314.15882629</v>
      </c>
      <c r="EV194" s="198">
        <v>1353.4238433999999</v>
      </c>
      <c r="EW194" s="198">
        <v>3897.4956965199999</v>
      </c>
      <c r="EX194" s="198"/>
      <c r="EY194" s="199">
        <f t="shared" si="6"/>
        <v>3835.2127722299992</v>
      </c>
      <c r="EZ194" s="198">
        <v>11877</v>
      </c>
      <c r="FA194" s="198">
        <v>588</v>
      </c>
      <c r="FB194" s="198">
        <v>3136</v>
      </c>
      <c r="FC194" s="198">
        <v>3188</v>
      </c>
      <c r="FD194" s="198">
        <v>2592</v>
      </c>
      <c r="FE194" s="198">
        <v>21</v>
      </c>
      <c r="FF194" s="198">
        <f t="shared" si="8"/>
        <v>2373</v>
      </c>
      <c r="FG194" s="197"/>
      <c r="FH194" s="198"/>
      <c r="FI194" s="198"/>
      <c r="FJ194" s="198"/>
      <c r="FK194" s="198"/>
      <c r="FL194" s="198"/>
      <c r="FM194" s="198"/>
      <c r="FN194" s="197">
        <v>36645.517</v>
      </c>
      <c r="FO194" s="198">
        <v>10238.152</v>
      </c>
      <c r="FP194" s="198">
        <v>4489.9740000000002</v>
      </c>
      <c r="FQ194" s="198">
        <v>4441.3819999999996</v>
      </c>
      <c r="FR194" s="198">
        <v>3894.2130000000002</v>
      </c>
      <c r="FS194" s="198"/>
      <c r="FT194" s="199">
        <f t="shared" si="7"/>
        <v>13581.795999999998</v>
      </c>
      <c r="FU194" s="197"/>
      <c r="FV194" s="198"/>
      <c r="FW194" s="198"/>
      <c r="FX194" s="198"/>
      <c r="FY194" s="198"/>
      <c r="FZ194" s="198"/>
      <c r="GA194" s="199"/>
      <c r="GB194" s="197">
        <v>1047.6959999999999</v>
      </c>
      <c r="GC194" s="198">
        <v>20.876999999999999</v>
      </c>
      <c r="GD194" s="198">
        <v>171.59899999999999</v>
      </c>
      <c r="GE194" s="198">
        <v>263.66699999999997</v>
      </c>
      <c r="GF194" s="198">
        <v>188.76900000000001</v>
      </c>
      <c r="GG194" s="198"/>
      <c r="GH194" s="199">
        <f>GB194-GC194-GD194-GE194-GF194</f>
        <v>402.78400000000011</v>
      </c>
      <c r="GI194" s="197">
        <v>787.70600000000002</v>
      </c>
      <c r="GJ194" s="198">
        <v>20.254999999999999</v>
      </c>
      <c r="GK194" s="198">
        <v>114.116</v>
      </c>
      <c r="GL194" s="198">
        <v>279.41000000000003</v>
      </c>
      <c r="GM194" s="198">
        <v>146.91499999999999</v>
      </c>
      <c r="GN194" s="198"/>
      <c r="GO194" s="199">
        <f>GI194-GJ194-GK194-GL194-GM194</f>
        <v>227.01000000000002</v>
      </c>
      <c r="GP194" s="197">
        <v>1638.29</v>
      </c>
      <c r="GQ194" s="198">
        <v>50.389000000000003</v>
      </c>
      <c r="GR194" s="198">
        <v>419.75599999999997</v>
      </c>
      <c r="GS194" s="198">
        <v>335.755</v>
      </c>
      <c r="GT194" s="198">
        <v>419.94799999999998</v>
      </c>
      <c r="GU194" s="198"/>
      <c r="GV194" s="199">
        <f>GP194-GQ194-GR194-GS194-GT194</f>
        <v>412.44200000000001</v>
      </c>
      <c r="GW194" s="197"/>
      <c r="GX194" s="198"/>
      <c r="GY194" s="198"/>
      <c r="GZ194" s="198"/>
      <c r="HA194" s="198"/>
      <c r="HB194" s="198"/>
      <c r="HC194" s="199"/>
      <c r="HD194" s="197">
        <f>'[2]t&amp;t'!W326</f>
        <v>15311.5</v>
      </c>
      <c r="HE194" s="198">
        <f>'[2]t&amp;t'!X326</f>
        <v>1560.3</v>
      </c>
      <c r="HF194" s="198">
        <f>'[2]t&amp;t'!Y326</f>
        <v>1305.3</v>
      </c>
      <c r="HG194" s="198">
        <f>'[2]t&amp;t'!Z326</f>
        <v>857.69999999999993</v>
      </c>
      <c r="HH194" s="198">
        <f>'[2]t&amp;t'!AA326</f>
        <v>5383.5</v>
      </c>
      <c r="HI194" s="198"/>
      <c r="HJ194" s="199">
        <f>'[2]t&amp;t'!AC326</f>
        <v>6204.6999999999989</v>
      </c>
      <c r="HK194" s="197"/>
      <c r="HL194" s="198"/>
      <c r="HM194" s="198"/>
      <c r="HN194" s="198"/>
      <c r="HO194" s="198"/>
      <c r="HP194" s="198"/>
      <c r="HQ194" s="198"/>
      <c r="HR194" s="197"/>
      <c r="HT194" s="198"/>
      <c r="HU194" s="198"/>
      <c r="HV194" s="198"/>
      <c r="HW194" s="198"/>
      <c r="HX194" s="198"/>
    </row>
    <row r="195" spans="1:233">
      <c r="A195" s="185" t="s">
        <v>498</v>
      </c>
      <c r="B195" s="197"/>
      <c r="C195" s="198"/>
      <c r="D195" s="198"/>
      <c r="E195" s="198"/>
      <c r="F195" s="198"/>
      <c r="G195" s="198"/>
      <c r="H195" s="199"/>
      <c r="I195" s="197">
        <v>63578.6</v>
      </c>
      <c r="J195" s="198"/>
      <c r="K195" s="198"/>
      <c r="L195" s="198">
        <v>9481.1</v>
      </c>
      <c r="M195" s="198">
        <v>2087.1</v>
      </c>
      <c r="N195" s="198"/>
      <c r="O195" s="199">
        <f>[3]arg!$G61</f>
        <v>21466.1</v>
      </c>
      <c r="P195" s="198">
        <v>4200.1980000000003</v>
      </c>
      <c r="Q195" s="198">
        <v>61.55</v>
      </c>
      <c r="R195" s="198">
        <v>481.29199999999997</v>
      </c>
      <c r="S195" s="198">
        <v>260.387</v>
      </c>
      <c r="T195" s="198">
        <v>2680.9549999999999</v>
      </c>
      <c r="U195" s="198"/>
      <c r="V195" s="199">
        <v>716.01400000000012</v>
      </c>
      <c r="W195" s="198">
        <v>2791.4969999999998</v>
      </c>
      <c r="X195" s="198">
        <v>97.606999999999999</v>
      </c>
      <c r="Y195" s="198">
        <v>678.66700000000003</v>
      </c>
      <c r="Z195" s="198">
        <v>207.571</v>
      </c>
      <c r="AA195" s="198">
        <v>1188.8679999999999</v>
      </c>
      <c r="AB195" s="198"/>
      <c r="AC195" s="199">
        <f t="shared" si="3"/>
        <v>618.78400000000011</v>
      </c>
      <c r="AD195" s="198"/>
      <c r="AE195" s="198">
        <v>12.999000000000001</v>
      </c>
      <c r="AF195" s="198">
        <v>232.52199999999999</v>
      </c>
      <c r="AG195" s="198">
        <v>331.029</v>
      </c>
      <c r="AH195" s="198">
        <v>201.93100000000001</v>
      </c>
      <c r="AI195" s="198"/>
      <c r="AJ195" s="198"/>
      <c r="AK195" s="197"/>
      <c r="AL195" s="198"/>
      <c r="AM195" s="198"/>
      <c r="AN195" s="198"/>
      <c r="AO195" s="198"/>
      <c r="AP195" s="198"/>
      <c r="AQ195" s="199"/>
      <c r="AR195" s="198">
        <v>403150.69689767004</v>
      </c>
      <c r="AS195" s="198">
        <v>113471.20320855001</v>
      </c>
      <c r="AT195" s="198">
        <v>41401.045509119998</v>
      </c>
      <c r="AU195" s="198">
        <v>24964.136098450006</v>
      </c>
      <c r="AV195" s="198">
        <v>95900.389313990003</v>
      </c>
      <c r="AW195" s="198"/>
      <c r="AX195" s="198">
        <v>127413.92276756007</v>
      </c>
      <c r="AY195" s="197">
        <v>33032152.613200001</v>
      </c>
      <c r="AZ195" s="198"/>
      <c r="BA195" s="198">
        <v>23865888.249200001</v>
      </c>
      <c r="BB195" s="198">
        <v>6106245.8613</v>
      </c>
      <c r="BC195" s="198">
        <v>3060018.5027000001</v>
      </c>
      <c r="BD195" s="198"/>
      <c r="BE195" s="198"/>
      <c r="BF195" s="197">
        <v>53492529.200000003</v>
      </c>
      <c r="BG195" s="198"/>
      <c r="BH195" s="198">
        <v>33240569.720000006</v>
      </c>
      <c r="BI195" s="198">
        <v>10214544.469999999</v>
      </c>
      <c r="BJ195" s="198">
        <v>9499938.6099999994</v>
      </c>
      <c r="BK195" s="198">
        <v>537476.4</v>
      </c>
      <c r="BL195" s="198"/>
      <c r="BM195" s="197">
        <v>2198645.1880000001</v>
      </c>
      <c r="BN195" s="198">
        <v>176082.84400000001</v>
      </c>
      <c r="BO195" s="198">
        <v>314116.16700000002</v>
      </c>
      <c r="BP195" s="198">
        <v>565080.26800000004</v>
      </c>
      <c r="BQ195" s="198">
        <v>600348.62399999995</v>
      </c>
      <c r="BR195" s="198"/>
      <c r="BS195" s="198">
        <f t="shared" si="2"/>
        <v>543017.28500000015</v>
      </c>
      <c r="BT195" s="197"/>
      <c r="BU195" s="198"/>
      <c r="BV195" s="198"/>
      <c r="BW195" s="198"/>
      <c r="BX195" s="198"/>
      <c r="BY195" s="198"/>
      <c r="BZ195" s="198"/>
      <c r="CA195" s="197"/>
      <c r="CB195" s="198"/>
      <c r="CC195" s="198"/>
      <c r="CD195" s="198"/>
      <c r="CE195" s="198"/>
      <c r="CF195" s="198"/>
      <c r="CG195" s="198"/>
      <c r="CH195" s="197"/>
      <c r="CI195" s="198"/>
      <c r="CJ195" s="198">
        <v>2881553.6150400001</v>
      </c>
      <c r="CK195" s="198"/>
      <c r="CL195" s="198">
        <v>1154987.3063300003</v>
      </c>
      <c r="CM195" s="198">
        <v>138977</v>
      </c>
      <c r="CN195" s="198"/>
      <c r="CO195" s="197">
        <v>5973.12183</v>
      </c>
      <c r="CP195" s="198">
        <v>726.11506000000008</v>
      </c>
      <c r="CQ195" s="198">
        <v>1102.79953</v>
      </c>
      <c r="CR195" s="198">
        <v>1308.5873100000001</v>
      </c>
      <c r="CS195" s="198">
        <v>803.51003000000003</v>
      </c>
      <c r="CT195" s="198"/>
      <c r="CU195" s="198">
        <v>2032.1098999999995</v>
      </c>
      <c r="CV195" s="197"/>
      <c r="CW195" s="198"/>
      <c r="CX195" s="198"/>
      <c r="CY195" s="198"/>
      <c r="CZ195" s="198"/>
      <c r="DA195" s="198"/>
      <c r="DB195" s="198"/>
      <c r="DC195" s="197"/>
      <c r="DD195" s="198"/>
      <c r="DE195" s="198"/>
      <c r="DF195" s="198"/>
      <c r="DG195" s="198"/>
      <c r="DH195" s="198"/>
      <c r="DI195" s="198"/>
      <c r="DJ195" s="197">
        <f>724.1+37367.9</f>
        <v>38092</v>
      </c>
      <c r="DK195" s="198">
        <f>380.4+9881.3</f>
        <v>10261.699999999999</v>
      </c>
      <c r="DL195" s="198">
        <f>1506.9+8711.5</f>
        <v>10218.4</v>
      </c>
      <c r="DM195" s="198">
        <v>4268.3999999999996</v>
      </c>
      <c r="DN195" s="198">
        <f>8535.4-DM195</f>
        <v>4267</v>
      </c>
      <c r="DO195" s="198"/>
      <c r="DP195" s="198">
        <f t="shared" si="9"/>
        <v>9076.5</v>
      </c>
      <c r="DQ195" s="197"/>
      <c r="DR195" s="198"/>
      <c r="DS195" s="198"/>
      <c r="DT195" s="198"/>
      <c r="DU195" s="198"/>
      <c r="DV195" s="198"/>
      <c r="DW195" s="198"/>
      <c r="DX195" s="197">
        <v>50219.469990000005</v>
      </c>
      <c r="DY195" s="198"/>
      <c r="DZ195" s="198">
        <v>36779.249340000002</v>
      </c>
      <c r="EA195" s="198">
        <v>6648.0985099999998</v>
      </c>
      <c r="EB195" s="198">
        <v>5217.4594999999999</v>
      </c>
      <c r="EC195" s="198"/>
      <c r="ED195" s="198">
        <v>1574.6626299999998</v>
      </c>
      <c r="EE195" s="197"/>
      <c r="EF195" s="198"/>
      <c r="EG195" s="198"/>
      <c r="EH195" s="198"/>
      <c r="EI195" s="198"/>
      <c r="EJ195" s="198"/>
      <c r="EK195" s="199"/>
      <c r="EL195" s="197">
        <v>966822.37402799993</v>
      </c>
      <c r="EM195" s="198">
        <v>305924.88197299995</v>
      </c>
      <c r="EN195" s="198">
        <v>24506.938028</v>
      </c>
      <c r="EO195" s="198">
        <v>116806.590545</v>
      </c>
      <c r="EP195" s="198">
        <v>104614.56446200001</v>
      </c>
      <c r="EQ195" s="198"/>
      <c r="ER195" s="199">
        <v>414725.02714300004</v>
      </c>
      <c r="ES195" s="197">
        <v>14093.971002109998</v>
      </c>
      <c r="ET195" s="198">
        <v>1480.13455155</v>
      </c>
      <c r="EU195" s="198">
        <v>3374.9516286100002</v>
      </c>
      <c r="EV195" s="198">
        <v>1391.3782663</v>
      </c>
      <c r="EW195" s="198">
        <v>4031.8168712500001</v>
      </c>
      <c r="EX195" s="198"/>
      <c r="EY195" s="199">
        <f t="shared" si="6"/>
        <v>3815.6896843999975</v>
      </c>
      <c r="EZ195" s="198">
        <v>11922</v>
      </c>
      <c r="FA195" s="198">
        <v>576</v>
      </c>
      <c r="FB195" s="198">
        <v>3186</v>
      </c>
      <c r="FC195" s="198">
        <v>3206</v>
      </c>
      <c r="FD195" s="198">
        <v>2509</v>
      </c>
      <c r="FE195" s="198">
        <v>21</v>
      </c>
      <c r="FF195" s="198">
        <f t="shared" si="8"/>
        <v>2445</v>
      </c>
      <c r="FG195" s="197"/>
      <c r="FH195" s="198"/>
      <c r="FI195" s="198"/>
      <c r="FJ195" s="198"/>
      <c r="FK195" s="198"/>
      <c r="FL195" s="198"/>
      <c r="FM195" s="198"/>
      <c r="FN195" s="197">
        <v>36438.057999999997</v>
      </c>
      <c r="FO195" s="198">
        <v>10211.929</v>
      </c>
      <c r="FP195" s="198">
        <v>4639.7690000000002</v>
      </c>
      <c r="FQ195" s="198">
        <v>4475.8509999999997</v>
      </c>
      <c r="FR195" s="198">
        <v>3973.5390000000002</v>
      </c>
      <c r="FS195" s="198"/>
      <c r="FT195" s="199">
        <f t="shared" si="7"/>
        <v>13136.969999999998</v>
      </c>
      <c r="FU195" s="197"/>
      <c r="FV195" s="198"/>
      <c r="FW195" s="198"/>
      <c r="FX195" s="198"/>
      <c r="FY195" s="198"/>
      <c r="FZ195" s="198"/>
      <c r="GA195" s="199"/>
      <c r="GB195" s="197"/>
      <c r="GC195" s="198"/>
      <c r="GD195" s="198"/>
      <c r="GE195" s="198"/>
      <c r="GF195" s="198"/>
      <c r="GG195" s="198"/>
      <c r="GH195" s="199"/>
      <c r="GI195" s="197"/>
      <c r="GJ195" s="198"/>
      <c r="GK195" s="198"/>
      <c r="GL195" s="198"/>
      <c r="GM195" s="198"/>
      <c r="GN195" s="198"/>
      <c r="GO195" s="199"/>
      <c r="GP195" s="197"/>
      <c r="GQ195" s="198"/>
      <c r="GR195" s="198"/>
      <c r="GS195" s="198"/>
      <c r="GT195" s="198"/>
      <c r="GU195" s="198"/>
      <c r="GV195" s="199"/>
      <c r="GW195" s="197"/>
      <c r="GX195" s="198"/>
      <c r="GY195" s="198"/>
      <c r="GZ195" s="198"/>
      <c r="HA195" s="198"/>
      <c r="HB195" s="198"/>
      <c r="HC195" s="199"/>
      <c r="HD195" s="197"/>
      <c r="HE195" s="198"/>
      <c r="HF195" s="198"/>
      <c r="HG195" s="198"/>
      <c r="HH195" s="198"/>
      <c r="HI195" s="198"/>
      <c r="HJ195" s="199"/>
      <c r="HK195" s="197"/>
      <c r="HL195" s="198"/>
      <c r="HM195" s="198"/>
      <c r="HN195" s="198"/>
      <c r="HO195" s="198"/>
      <c r="HP195" s="198"/>
      <c r="HQ195" s="198"/>
      <c r="HR195" s="197"/>
      <c r="HT195" s="198"/>
      <c r="HU195" s="198"/>
      <c r="HV195" s="198"/>
      <c r="HW195" s="198"/>
      <c r="HX195" s="198"/>
    </row>
    <row r="196" spans="1:233">
      <c r="A196" s="185" t="s">
        <v>499</v>
      </c>
      <c r="B196" s="197"/>
      <c r="C196" s="198"/>
      <c r="D196" s="198"/>
      <c r="E196" s="198"/>
      <c r="F196" s="198"/>
      <c r="G196" s="198"/>
      <c r="H196" s="199"/>
      <c r="I196" s="197">
        <v>58073.3</v>
      </c>
      <c r="J196" s="198"/>
      <c r="K196" s="198"/>
      <c r="L196" s="198">
        <v>9438</v>
      </c>
      <c r="M196" s="198">
        <v>2151</v>
      </c>
      <c r="N196" s="198"/>
      <c r="O196" s="199">
        <f>[3]arg!$G62</f>
        <v>21914.7</v>
      </c>
      <c r="P196" s="198">
        <v>4258.0619999999999</v>
      </c>
      <c r="Q196" s="198">
        <v>61.100999999999999</v>
      </c>
      <c r="R196" s="198">
        <v>474.94699999999995</v>
      </c>
      <c r="S196" s="198">
        <v>260.51300000000003</v>
      </c>
      <c r="T196" s="198">
        <v>2680.6120000000001</v>
      </c>
      <c r="U196" s="198"/>
      <c r="V196" s="199">
        <v>780.88900000000012</v>
      </c>
      <c r="W196" s="198">
        <v>2842.239</v>
      </c>
      <c r="X196" s="198">
        <v>99.061000000000007</v>
      </c>
      <c r="Y196" s="198">
        <v>691.33499999999992</v>
      </c>
      <c r="Z196" s="198">
        <v>206.029</v>
      </c>
      <c r="AA196" s="198">
        <v>1203.942</v>
      </c>
      <c r="AB196" s="198"/>
      <c r="AC196" s="199">
        <f t="shared" si="3"/>
        <v>641.87199999999984</v>
      </c>
      <c r="AD196" s="198"/>
      <c r="AE196" s="198">
        <v>11.613</v>
      </c>
      <c r="AF196" s="198">
        <v>247.57899999999998</v>
      </c>
      <c r="AG196" s="198">
        <v>328.33499999999998</v>
      </c>
      <c r="AH196" s="198">
        <v>204.16800000000001</v>
      </c>
      <c r="AI196" s="198"/>
      <c r="AJ196" s="198"/>
      <c r="AK196" s="197"/>
      <c r="AL196" s="198"/>
      <c r="AM196" s="198"/>
      <c r="AN196" s="198"/>
      <c r="AO196" s="198"/>
      <c r="AP196" s="198"/>
      <c r="AQ196" s="199"/>
      <c r="AR196" s="198">
        <v>413114.63907506998</v>
      </c>
      <c r="AS196" s="198">
        <v>117180.69012795</v>
      </c>
      <c r="AT196" s="198">
        <v>42680.65899294</v>
      </c>
      <c r="AU196" s="198">
        <v>25049.045047689997</v>
      </c>
      <c r="AV196" s="198">
        <v>97319.909438360002</v>
      </c>
      <c r="AW196" s="198"/>
      <c r="AX196" s="198">
        <v>130884.33546813</v>
      </c>
      <c r="AY196" s="197">
        <v>33374005.711199999</v>
      </c>
      <c r="AZ196" s="198"/>
      <c r="BA196" s="198">
        <v>24111598.6677</v>
      </c>
      <c r="BB196" s="198">
        <v>6163170.8058000002</v>
      </c>
      <c r="BC196" s="198">
        <v>3099236.2376999999</v>
      </c>
      <c r="BD196" s="198"/>
      <c r="BE196" s="198"/>
      <c r="BF196" s="197">
        <v>53554528.280000001</v>
      </c>
      <c r="BG196" s="198"/>
      <c r="BH196" s="198">
        <v>33446437.149999999</v>
      </c>
      <c r="BI196" s="198">
        <v>9832044.3599999994</v>
      </c>
      <c r="BJ196" s="198">
        <v>9716366.5999999996</v>
      </c>
      <c r="BK196" s="198">
        <v>559680.17000000004</v>
      </c>
      <c r="BL196" s="198"/>
      <c r="BM196" s="197">
        <v>2249298.0180000002</v>
      </c>
      <c r="BN196" s="198">
        <v>178491.86600000001</v>
      </c>
      <c r="BO196" s="198">
        <v>307900.74400000001</v>
      </c>
      <c r="BP196" s="198">
        <v>558956.22900000005</v>
      </c>
      <c r="BQ196" s="198">
        <v>650203.98699999996</v>
      </c>
      <c r="BR196" s="198"/>
      <c r="BS196" s="198">
        <f t="shared" si="2"/>
        <v>553745.19200000027</v>
      </c>
      <c r="BT196" s="197"/>
      <c r="BU196" s="198"/>
      <c r="BV196" s="198"/>
      <c r="BW196" s="198"/>
      <c r="BX196" s="198"/>
      <c r="BY196" s="198"/>
      <c r="BZ196" s="198"/>
      <c r="CA196" s="197"/>
      <c r="CB196" s="198"/>
      <c r="CC196" s="198"/>
      <c r="CD196" s="198"/>
      <c r="CE196" s="198"/>
      <c r="CF196" s="198"/>
      <c r="CG196" s="198"/>
      <c r="CH196" s="197"/>
      <c r="CI196" s="198"/>
      <c r="CJ196" s="198">
        <v>2828757.7009599991</v>
      </c>
      <c r="CK196" s="198"/>
      <c r="CL196" s="198">
        <v>1198137.0211400001</v>
      </c>
      <c r="CM196" s="198">
        <v>152940</v>
      </c>
      <c r="CN196" s="198"/>
      <c r="CO196" s="197">
        <v>6069.1955800000005</v>
      </c>
      <c r="CP196" s="198">
        <v>704.17774999999995</v>
      </c>
      <c r="CQ196" s="198">
        <v>1145.2933600000001</v>
      </c>
      <c r="CR196" s="198">
        <v>1327.11698</v>
      </c>
      <c r="CS196" s="198">
        <v>841.9766800000001</v>
      </c>
      <c r="CT196" s="198"/>
      <c r="CU196" s="198">
        <v>2050.6308100000001</v>
      </c>
      <c r="CV196" s="197"/>
      <c r="CW196" s="198"/>
      <c r="CX196" s="198"/>
      <c r="CY196" s="198"/>
      <c r="CZ196" s="198"/>
      <c r="DA196" s="198"/>
      <c r="DB196" s="198"/>
      <c r="DC196" s="197"/>
      <c r="DD196" s="198"/>
      <c r="DE196" s="198"/>
      <c r="DF196" s="198"/>
      <c r="DG196" s="198"/>
      <c r="DH196" s="198"/>
      <c r="DI196" s="198"/>
      <c r="DJ196" s="197">
        <f>853.9+37944.4</f>
        <v>38798.300000000003</v>
      </c>
      <c r="DK196" s="198">
        <f>382.7+10000.3</f>
        <v>10383</v>
      </c>
      <c r="DL196" s="198">
        <f>1542+8980</f>
        <v>10522</v>
      </c>
      <c r="DM196" s="198">
        <v>4393</v>
      </c>
      <c r="DN196" s="198">
        <f>8758.3-DM196</f>
        <v>4365.2999999999993</v>
      </c>
      <c r="DO196" s="198"/>
      <c r="DP196" s="198">
        <f t="shared" si="9"/>
        <v>9135.0000000000036</v>
      </c>
      <c r="DQ196" s="197"/>
      <c r="DR196" s="198"/>
      <c r="DS196" s="198"/>
      <c r="DT196" s="198"/>
      <c r="DU196" s="198"/>
      <c r="DV196" s="198"/>
      <c r="DW196" s="198"/>
      <c r="DX196" s="197">
        <v>51799.220670000002</v>
      </c>
      <c r="DY196" s="198"/>
      <c r="DZ196" s="198">
        <v>39386.516950000005</v>
      </c>
      <c r="EA196" s="198">
        <v>5570.6704099999997</v>
      </c>
      <c r="EB196" s="198">
        <v>5278.9676100000006</v>
      </c>
      <c r="EC196" s="198"/>
      <c r="ED196" s="198">
        <v>1563.0656999999999</v>
      </c>
      <c r="EE196" s="197"/>
      <c r="EF196" s="198"/>
      <c r="EG196" s="198"/>
      <c r="EH196" s="198"/>
      <c r="EI196" s="198"/>
      <c r="EJ196" s="198"/>
      <c r="EK196" s="199"/>
      <c r="EL196" s="197">
        <v>977627.98896900017</v>
      </c>
      <c r="EM196" s="198">
        <v>313987.21973100002</v>
      </c>
      <c r="EN196" s="198">
        <v>26121.482071999999</v>
      </c>
      <c r="EO196" s="198">
        <v>116670.71011200002</v>
      </c>
      <c r="EP196" s="198">
        <v>108270.00343800001</v>
      </c>
      <c r="EQ196" s="198"/>
      <c r="ER196" s="199">
        <v>412384.05871499999</v>
      </c>
      <c r="ES196" s="197">
        <v>14509.675242280004</v>
      </c>
      <c r="ET196" s="198">
        <v>1555.16424682</v>
      </c>
      <c r="EU196" s="198">
        <v>3444.44813862</v>
      </c>
      <c r="EV196" s="198">
        <v>1448.5061179899999</v>
      </c>
      <c r="EW196" s="198">
        <v>4172.7430592000001</v>
      </c>
      <c r="EX196" s="198"/>
      <c r="EY196" s="199">
        <f t="shared" si="6"/>
        <v>3888.8136796500021</v>
      </c>
      <c r="EZ196" s="198">
        <v>11950</v>
      </c>
      <c r="FA196" s="198">
        <v>599</v>
      </c>
      <c r="FB196" s="198">
        <v>3166</v>
      </c>
      <c r="FC196" s="198">
        <v>3203</v>
      </c>
      <c r="FD196" s="198">
        <v>2538</v>
      </c>
      <c r="FE196" s="198">
        <v>22</v>
      </c>
      <c r="FF196" s="198">
        <f t="shared" si="8"/>
        <v>2444</v>
      </c>
      <c r="FG196" s="197"/>
      <c r="FH196" s="198"/>
      <c r="FI196" s="198"/>
      <c r="FJ196" s="198"/>
      <c r="FK196" s="198"/>
      <c r="FL196" s="198"/>
      <c r="FM196" s="198"/>
      <c r="FN196" s="197">
        <v>36939.815000000002</v>
      </c>
      <c r="FO196" s="198">
        <v>10485.545</v>
      </c>
      <c r="FP196" s="198">
        <v>4676.5739999999996</v>
      </c>
      <c r="FQ196" s="198">
        <v>4558.6120000000001</v>
      </c>
      <c r="FR196" s="198">
        <v>4061.2739999999999</v>
      </c>
      <c r="FS196" s="198"/>
      <c r="FT196" s="199">
        <f t="shared" si="7"/>
        <v>13157.810000000001</v>
      </c>
      <c r="FU196" s="197"/>
      <c r="FV196" s="198"/>
      <c r="FW196" s="198"/>
      <c r="FX196" s="198"/>
      <c r="FY196" s="198"/>
      <c r="FZ196" s="198"/>
      <c r="GA196" s="199"/>
      <c r="GB196" s="197"/>
      <c r="GC196" s="198"/>
      <c r="GD196" s="198"/>
      <c r="GE196" s="198"/>
      <c r="GF196" s="198"/>
      <c r="GG196" s="198"/>
      <c r="GH196" s="199"/>
      <c r="GI196" s="197"/>
      <c r="GJ196" s="198"/>
      <c r="GK196" s="198"/>
      <c r="GL196" s="198"/>
      <c r="GM196" s="198"/>
      <c r="GN196" s="198"/>
      <c r="GO196" s="199"/>
      <c r="GP196" s="197"/>
      <c r="GQ196" s="198"/>
      <c r="GR196" s="198"/>
      <c r="GS196" s="198"/>
      <c r="GT196" s="198"/>
      <c r="GU196" s="198"/>
      <c r="GV196" s="199"/>
      <c r="GW196" s="197"/>
      <c r="GX196" s="198"/>
      <c r="GY196" s="198"/>
      <c r="GZ196" s="198"/>
      <c r="HA196" s="198"/>
      <c r="HB196" s="198"/>
      <c r="HC196" s="199"/>
      <c r="HD196" s="197"/>
      <c r="HE196" s="198"/>
      <c r="HF196" s="198"/>
      <c r="HG196" s="198"/>
      <c r="HH196" s="198"/>
      <c r="HI196" s="198"/>
      <c r="HJ196" s="199"/>
      <c r="HK196" s="197"/>
      <c r="HL196" s="198"/>
      <c r="HM196" s="198"/>
      <c r="HN196" s="198"/>
      <c r="HO196" s="198"/>
      <c r="HP196" s="198"/>
      <c r="HQ196" s="198"/>
      <c r="HR196" s="197"/>
      <c r="HT196" s="198"/>
      <c r="HU196" s="198"/>
      <c r="HV196" s="198"/>
      <c r="HW196" s="198"/>
      <c r="HX196" s="198"/>
    </row>
    <row r="197" spans="1:233">
      <c r="A197" s="202" t="s">
        <v>500</v>
      </c>
      <c r="B197" s="203">
        <v>1896.4280000000001</v>
      </c>
      <c r="C197" s="204">
        <v>64.835999999999999</v>
      </c>
      <c r="D197" s="204">
        <v>369.673</v>
      </c>
      <c r="E197" s="204">
        <v>439.61500000000001</v>
      </c>
      <c r="F197" s="204">
        <v>338.74099999999999</v>
      </c>
      <c r="G197" s="204"/>
      <c r="H197" s="205">
        <v>683.56299999999999</v>
      </c>
      <c r="I197" s="203">
        <v>58668</v>
      </c>
      <c r="J197" s="204"/>
      <c r="K197" s="204"/>
      <c r="L197" s="204">
        <v>9337.2000000000007</v>
      </c>
      <c r="M197" s="204">
        <v>2334.6999999999998</v>
      </c>
      <c r="N197" s="204"/>
      <c r="O197" s="205">
        <f>[3]arg!$G63</f>
        <v>21725.9</v>
      </c>
      <c r="P197" s="204">
        <v>4353.6720000000005</v>
      </c>
      <c r="Q197" s="204">
        <v>59.555</v>
      </c>
      <c r="R197" s="204">
        <v>476.97199999999998</v>
      </c>
      <c r="S197" s="204">
        <v>270.28100000000001</v>
      </c>
      <c r="T197" s="204">
        <v>2676.1860000000001</v>
      </c>
      <c r="U197" s="204"/>
      <c r="V197" s="205">
        <v>870.67799999999977</v>
      </c>
      <c r="W197" s="204">
        <v>2867.0279999999998</v>
      </c>
      <c r="X197" s="204">
        <v>100.471</v>
      </c>
      <c r="Y197" s="204">
        <v>693.50100000000009</v>
      </c>
      <c r="Z197" s="204">
        <v>206.23400000000001</v>
      </c>
      <c r="AA197" s="204">
        <v>1241.069</v>
      </c>
      <c r="AB197" s="204"/>
      <c r="AC197" s="205">
        <f t="shared" si="3"/>
        <v>625.7529999999997</v>
      </c>
      <c r="AD197" s="204">
        <f>[1]datos!$S329</f>
        <v>1265.9480000000001</v>
      </c>
      <c r="AE197" s="204">
        <v>12.641999999999999</v>
      </c>
      <c r="AF197" s="204">
        <v>238.39500000000001</v>
      </c>
      <c r="AG197" s="204">
        <v>331.40499999999997</v>
      </c>
      <c r="AH197" s="204">
        <v>208.40100000000001</v>
      </c>
      <c r="AI197" s="204">
        <f>[1]datos!$U329</f>
        <v>224.25899999999999</v>
      </c>
      <c r="AJ197" s="204">
        <f>AD197-AE197-AF197-AG197-AH197-AI197</f>
        <v>250.84600000000009</v>
      </c>
      <c r="AK197" s="203">
        <v>25521.751600000003</v>
      </c>
      <c r="AL197" s="204"/>
      <c r="AM197" s="204">
        <v>16039.636100000003</v>
      </c>
      <c r="AN197" s="204">
        <v>5174.4032999999999</v>
      </c>
      <c r="AO197" s="204">
        <v>1365.175</v>
      </c>
      <c r="AP197" s="204">
        <v>2942.5371999999993</v>
      </c>
      <c r="AQ197" s="205"/>
      <c r="AR197" s="204">
        <v>418258.29586402996</v>
      </c>
      <c r="AS197" s="204">
        <v>116850.02765759002</v>
      </c>
      <c r="AT197" s="204">
        <v>43265.581704079996</v>
      </c>
      <c r="AU197" s="204">
        <v>25053.989181429995</v>
      </c>
      <c r="AV197" s="204">
        <v>98993.238822979998</v>
      </c>
      <c r="AW197" s="204"/>
      <c r="AX197" s="204">
        <v>134095.45849794993</v>
      </c>
      <c r="AY197" s="203">
        <v>33480544.254999999</v>
      </c>
      <c r="AZ197" s="204"/>
      <c r="BA197" s="204">
        <v>24082938.443300001</v>
      </c>
      <c r="BB197" s="204">
        <v>6230834.3860999998</v>
      </c>
      <c r="BC197" s="204">
        <v>3166771.4256000002</v>
      </c>
      <c r="BD197" s="204"/>
      <c r="BE197" s="204"/>
      <c r="BF197" s="203">
        <v>53467142.400000013</v>
      </c>
      <c r="BG197" s="204"/>
      <c r="BH197" s="204">
        <v>33395399.110000007</v>
      </c>
      <c r="BI197" s="204">
        <v>9628940.1999999993</v>
      </c>
      <c r="BJ197" s="204">
        <v>9872283.2400000021</v>
      </c>
      <c r="BK197" s="204">
        <v>570519.85</v>
      </c>
      <c r="BL197" s="204"/>
      <c r="BM197" s="203">
        <v>2333293.5320000001</v>
      </c>
      <c r="BN197" s="204">
        <v>205609.30600000001</v>
      </c>
      <c r="BO197" s="204">
        <v>325155.935</v>
      </c>
      <c r="BP197" s="204">
        <v>582953.41500000004</v>
      </c>
      <c r="BQ197" s="204">
        <v>616360.30000000005</v>
      </c>
      <c r="BR197" s="204"/>
      <c r="BS197" s="204">
        <f t="shared" si="2"/>
        <v>603214.57600000012</v>
      </c>
      <c r="BT197" s="203"/>
      <c r="BU197" s="204"/>
      <c r="BV197" s="204"/>
      <c r="BW197" s="204"/>
      <c r="BX197" s="204"/>
      <c r="BY197" s="204"/>
      <c r="BZ197" s="204"/>
      <c r="CA197" s="203">
        <v>505.88200000000001</v>
      </c>
      <c r="CB197" s="204">
        <v>24.890999999999998</v>
      </c>
      <c r="CC197" s="204">
        <v>91.405000000000001</v>
      </c>
      <c r="CD197" s="204">
        <v>162.63800000000001</v>
      </c>
      <c r="CE197" s="204">
        <v>75.242999999999995</v>
      </c>
      <c r="CF197" s="204"/>
      <c r="CG197" s="204">
        <f>CA197-CB197-CC197-CD197-CE197</f>
        <v>151.70500000000001</v>
      </c>
      <c r="CH197" s="203">
        <v>4673837.5423400002</v>
      </c>
      <c r="CI197" s="204"/>
      <c r="CJ197" s="204">
        <v>2840828.0353700002</v>
      </c>
      <c r="CK197" s="204">
        <f>[4]créditos!$O26</f>
        <v>456366.09152999998</v>
      </c>
      <c r="CL197" s="204">
        <v>1209248.4154399999</v>
      </c>
      <c r="CM197" s="204">
        <v>167395</v>
      </c>
      <c r="CN197" s="204"/>
      <c r="CO197" s="203">
        <v>6121.8292899999997</v>
      </c>
      <c r="CP197" s="204">
        <v>692.87132999999994</v>
      </c>
      <c r="CQ197" s="204">
        <v>1132.511</v>
      </c>
      <c r="CR197" s="204">
        <v>1348.3270500000001</v>
      </c>
      <c r="CS197" s="204">
        <v>868.71807999999999</v>
      </c>
      <c r="CT197" s="204"/>
      <c r="CU197" s="204">
        <v>2079.4018300000002</v>
      </c>
      <c r="CV197" s="203">
        <v>1088.8800000000001</v>
      </c>
      <c r="CW197" s="204">
        <v>43.139000000000003</v>
      </c>
      <c r="CX197" s="204">
        <v>144.96700000000001</v>
      </c>
      <c r="CY197" s="204">
        <v>377.77300000000002</v>
      </c>
      <c r="CZ197" s="204">
        <v>274.02699999999999</v>
      </c>
      <c r="DA197" s="204"/>
      <c r="DB197" s="204">
        <f>CV197-CW197-CX197-CY197-CZ197</f>
        <v>248.97400000000022</v>
      </c>
      <c r="DC197" s="203"/>
      <c r="DD197" s="204"/>
      <c r="DE197" s="204"/>
      <c r="DF197" s="204"/>
      <c r="DG197" s="204"/>
      <c r="DH197" s="204"/>
      <c r="DI197" s="204"/>
      <c r="DJ197" s="203">
        <f>885.2+39377</f>
        <v>40262.199999999997</v>
      </c>
      <c r="DK197" s="204">
        <f>384.6+10078.2</f>
        <v>10462.800000000001</v>
      </c>
      <c r="DL197" s="204">
        <f>1794.7+9245.5</f>
        <v>11040.2</v>
      </c>
      <c r="DM197" s="204">
        <v>3648.3</v>
      </c>
      <c r="DN197" s="204">
        <f>8825.5-DM197</f>
        <v>5177.2</v>
      </c>
      <c r="DO197" s="204"/>
      <c r="DP197" s="204">
        <f>DJ197-SUM(DK197:DN197)</f>
        <v>9933.6999999999971</v>
      </c>
      <c r="DQ197" s="203"/>
      <c r="DR197" s="204"/>
      <c r="DS197" s="204"/>
      <c r="DT197" s="204"/>
      <c r="DU197" s="204"/>
      <c r="DV197" s="204"/>
      <c r="DW197" s="204"/>
      <c r="DX197" s="203">
        <v>53539.647810000002</v>
      </c>
      <c r="DY197" s="204"/>
      <c r="DZ197" s="204">
        <v>40193.43389</v>
      </c>
      <c r="EA197" s="204">
        <v>6738.6645899999994</v>
      </c>
      <c r="EB197" s="204">
        <v>5377.9380499999997</v>
      </c>
      <c r="EC197" s="204"/>
      <c r="ED197" s="204">
        <v>1229.6113</v>
      </c>
      <c r="EE197" s="203">
        <v>99149.990999999995</v>
      </c>
      <c r="EF197" s="204">
        <v>3462.8139999999999</v>
      </c>
      <c r="EG197" s="204">
        <v>19262.665000000001</v>
      </c>
      <c r="EH197" s="204">
        <v>6694.6959999999999</v>
      </c>
      <c r="EI197" s="204">
        <v>25966.883999999998</v>
      </c>
      <c r="EJ197" s="204"/>
      <c r="EK197" s="205">
        <f>EE197-EF197-EG197-EH197-EI197</f>
        <v>43762.931999999993</v>
      </c>
      <c r="EL197" s="203">
        <v>987401.03907900001</v>
      </c>
      <c r="EM197" s="204">
        <v>317363.62884899991</v>
      </c>
      <c r="EN197" s="204">
        <v>25395.846301999998</v>
      </c>
      <c r="EO197" s="204">
        <v>115393.41644099999</v>
      </c>
      <c r="EP197" s="204">
        <v>114795.36846399997</v>
      </c>
      <c r="EQ197" s="204"/>
      <c r="ER197" s="205">
        <v>414285.48404999991</v>
      </c>
      <c r="ES197" s="203">
        <v>14724.636065500003</v>
      </c>
      <c r="ET197" s="204">
        <v>1704.60883347</v>
      </c>
      <c r="EU197" s="204">
        <v>3641.3546342999998</v>
      </c>
      <c r="EV197" s="204">
        <v>1497.70897281</v>
      </c>
      <c r="EW197" s="204">
        <v>4218.3318874399993</v>
      </c>
      <c r="EX197" s="204"/>
      <c r="EY197" s="205">
        <f t="shared" si="6"/>
        <v>3662.6317374800037</v>
      </c>
      <c r="EZ197" s="204">
        <v>11632</v>
      </c>
      <c r="FA197" s="204">
        <v>588</v>
      </c>
      <c r="FB197" s="204">
        <v>3003</v>
      </c>
      <c r="FC197" s="204">
        <v>3248</v>
      </c>
      <c r="FD197" s="204">
        <v>2560</v>
      </c>
      <c r="FE197" s="204">
        <v>23</v>
      </c>
      <c r="FF197" s="204">
        <f t="shared" si="8"/>
        <v>2233</v>
      </c>
      <c r="FG197" s="203">
        <v>5535794.7163420003</v>
      </c>
      <c r="FH197" s="204">
        <v>876450.35105599998</v>
      </c>
      <c r="FI197" s="204">
        <v>1370423.471566</v>
      </c>
      <c r="FJ197" s="204"/>
      <c r="FK197" s="204">
        <v>728497.71057499992</v>
      </c>
      <c r="FL197" s="204"/>
      <c r="FM197" s="204">
        <f>FG197-SUM(FH197:FK197)</f>
        <v>2560423.1831450001</v>
      </c>
      <c r="FN197" s="203">
        <v>35622.605000000003</v>
      </c>
      <c r="FO197" s="204">
        <v>10139.503000000001</v>
      </c>
      <c r="FP197" s="204">
        <v>4501.4210000000003</v>
      </c>
      <c r="FQ197" s="204">
        <v>4577.049</v>
      </c>
      <c r="FR197" s="204">
        <v>4144.22</v>
      </c>
      <c r="FS197" s="204"/>
      <c r="FT197" s="205">
        <f t="shared" si="7"/>
        <v>12260.412</v>
      </c>
      <c r="FU197" s="203"/>
      <c r="FV197" s="204"/>
      <c r="FW197" s="204"/>
      <c r="FX197" s="204"/>
      <c r="FY197" s="204"/>
      <c r="FZ197" s="204"/>
      <c r="GA197" s="205"/>
      <c r="GB197" s="203">
        <v>1066.8140000000001</v>
      </c>
      <c r="GC197" s="204">
        <v>19.907</v>
      </c>
      <c r="GD197" s="204">
        <v>166.28399999999999</v>
      </c>
      <c r="GE197" s="204">
        <v>270.92399999999998</v>
      </c>
      <c r="GF197" s="204">
        <v>202.27099999999999</v>
      </c>
      <c r="GG197" s="204"/>
      <c r="GH197" s="205">
        <f>GB197-GC197-GD197-GE197-GF197</f>
        <v>407.42800000000022</v>
      </c>
      <c r="GI197" s="203">
        <v>783.26300000000003</v>
      </c>
      <c r="GJ197" s="204">
        <v>21.158999999999999</v>
      </c>
      <c r="GK197" s="204">
        <v>107.693</v>
      </c>
      <c r="GL197" s="204">
        <v>283.625</v>
      </c>
      <c r="GM197" s="204">
        <v>146.22800000000001</v>
      </c>
      <c r="GN197" s="204"/>
      <c r="GO197" s="205">
        <f>GI197-GJ197-GK197-GL197-GM197</f>
        <v>224.55800000000005</v>
      </c>
      <c r="GP197" s="203">
        <v>1656.308</v>
      </c>
      <c r="GQ197" s="204">
        <v>54.237000000000002</v>
      </c>
      <c r="GR197" s="204">
        <v>396.55200000000002</v>
      </c>
      <c r="GS197" s="204">
        <v>343.83100000000002</v>
      </c>
      <c r="GT197" s="204">
        <v>456.09199999999998</v>
      </c>
      <c r="GU197" s="204"/>
      <c r="GV197" s="205">
        <f>GP197-GQ197-GR197-GS197-GT197</f>
        <v>405.59599999999978</v>
      </c>
      <c r="GW197" s="203"/>
      <c r="GX197" s="204"/>
      <c r="GY197" s="204"/>
      <c r="GZ197" s="204"/>
      <c r="HA197" s="204"/>
      <c r="HB197" s="204"/>
      <c r="HC197" s="205"/>
      <c r="HD197" s="203">
        <f>'[2]t&amp;t'!W329</f>
        <v>16757.5</v>
      </c>
      <c r="HE197" s="204">
        <f>'[2]t&amp;t'!X329</f>
        <v>1794.6</v>
      </c>
      <c r="HF197" s="204">
        <f>'[2]t&amp;t'!Y329</f>
        <v>1521.8000000000002</v>
      </c>
      <c r="HG197" s="204">
        <f>'[2]t&amp;t'!Z329</f>
        <v>819.6</v>
      </c>
      <c r="HH197" s="204">
        <f>'[2]t&amp;t'!AA329</f>
        <v>6000.4</v>
      </c>
      <c r="HI197" s="204"/>
      <c r="HJ197" s="205">
        <f>'[2]t&amp;t'!AC329</f>
        <v>6621.0999999999995</v>
      </c>
      <c r="HK197" s="203"/>
      <c r="HL197" s="204"/>
      <c r="HM197" s="204"/>
      <c r="HN197" s="204"/>
      <c r="HO197" s="204"/>
      <c r="HP197" s="204"/>
      <c r="HQ197" s="204"/>
      <c r="HR197" s="203">
        <v>11290.050999999999</v>
      </c>
      <c r="HS197" s="206"/>
      <c r="HT197" s="204">
        <v>7418.8940000000002</v>
      </c>
      <c r="HU197" s="204">
        <v>566.74</v>
      </c>
      <c r="HV197" s="204">
        <v>1654.759</v>
      </c>
      <c r="HW197" s="204">
        <v>252.49600000000001</v>
      </c>
      <c r="HX197" s="204">
        <v>1397.162</v>
      </c>
      <c r="HY197" s="198"/>
    </row>
    <row r="198" spans="1:233">
      <c r="A198" s="185" t="s">
        <v>671</v>
      </c>
      <c r="B198" s="197"/>
      <c r="C198" s="198"/>
      <c r="D198" s="198"/>
      <c r="E198" s="198"/>
      <c r="F198" s="198"/>
      <c r="G198" s="198"/>
      <c r="H198" s="199"/>
      <c r="I198" s="197">
        <v>58954.8</v>
      </c>
      <c r="J198" s="198"/>
      <c r="K198" s="198"/>
      <c r="L198" s="198">
        <v>9256.2000000000007</v>
      </c>
      <c r="M198" s="198">
        <v>2353.8000000000002</v>
      </c>
      <c r="N198" s="198"/>
      <c r="O198" s="199">
        <f>[3]arg!$G64</f>
        <v>21679.5</v>
      </c>
      <c r="P198" s="198">
        <v>4525.8670000000002</v>
      </c>
      <c r="Q198" s="198">
        <v>58.957000000000001</v>
      </c>
      <c r="R198" s="198">
        <v>457.48599999999999</v>
      </c>
      <c r="S198" s="198">
        <v>264.983</v>
      </c>
      <c r="T198" s="198">
        <v>2821.683</v>
      </c>
      <c r="U198" s="198"/>
      <c r="V198" s="199">
        <f t="shared" ref="V198:V208" si="10">P198-Q198-R198-S198-T198</f>
        <v>922.75799999999981</v>
      </c>
      <c r="W198" s="198">
        <v>2873.6219999999998</v>
      </c>
      <c r="X198" s="198">
        <v>99.17</v>
      </c>
      <c r="Y198" s="198">
        <v>698.529</v>
      </c>
      <c r="Z198" s="198">
        <v>210.52699999999999</v>
      </c>
      <c r="AA198" s="198">
        <v>1247.44</v>
      </c>
      <c r="AB198" s="198"/>
      <c r="AC198" s="199">
        <f t="shared" si="3"/>
        <v>617.95599999999968</v>
      </c>
      <c r="AD198" s="198"/>
      <c r="AE198" s="198">
        <v>10.048</v>
      </c>
      <c r="AF198" s="198">
        <v>237.19499999999999</v>
      </c>
      <c r="AG198" s="198">
        <v>339.709</v>
      </c>
      <c r="AH198" s="198">
        <v>204.13</v>
      </c>
      <c r="AI198" s="198"/>
      <c r="AJ198" s="198"/>
      <c r="AK198" s="197"/>
      <c r="AL198" s="198"/>
      <c r="AM198" s="198"/>
      <c r="AN198" s="198"/>
      <c r="AO198" s="198"/>
      <c r="AP198" s="198"/>
      <c r="AQ198" s="199"/>
      <c r="AR198" s="198">
        <v>417770.03921864997</v>
      </c>
      <c r="AS198" s="198">
        <v>113249.59850498002</v>
      </c>
      <c r="AT198" s="198">
        <v>43500.045977129994</v>
      </c>
      <c r="AU198" s="198">
        <v>24935.280649009997</v>
      </c>
      <c r="AV198" s="198">
        <v>100317.10836429</v>
      </c>
      <c r="AW198" s="198"/>
      <c r="AX198" s="198">
        <v>135768.00572323991</v>
      </c>
      <c r="AY198" s="197">
        <v>33530614.837299995</v>
      </c>
      <c r="AZ198" s="198"/>
      <c r="BA198" s="198">
        <v>23568815.770799998</v>
      </c>
      <c r="BB198" s="198">
        <v>6260645.4560000002</v>
      </c>
      <c r="BC198" s="198">
        <v>3701153.6098000002</v>
      </c>
      <c r="BD198" s="198"/>
      <c r="BE198" s="198"/>
      <c r="BF198" s="197">
        <v>56172144.769999996</v>
      </c>
      <c r="BG198" s="198"/>
      <c r="BH198" s="198">
        <v>35787962.990000002</v>
      </c>
      <c r="BI198" s="198">
        <v>9609103.1899999995</v>
      </c>
      <c r="BJ198" s="198">
        <v>10193619.769999998</v>
      </c>
      <c r="BK198" s="198">
        <v>581458.81999999995</v>
      </c>
      <c r="BL198" s="198"/>
      <c r="BM198" s="197">
        <v>2332696.34</v>
      </c>
      <c r="BN198" s="198">
        <v>204155.77299999999</v>
      </c>
      <c r="BO198" s="198">
        <v>327040.228</v>
      </c>
      <c r="BP198" s="198">
        <v>523346.08899999998</v>
      </c>
      <c r="BQ198" s="198">
        <v>678424.29</v>
      </c>
      <c r="BR198" s="198"/>
      <c r="BS198" s="198">
        <f t="shared" si="2"/>
        <v>599729.96</v>
      </c>
      <c r="BT198" s="197"/>
      <c r="BU198" s="198"/>
      <c r="BV198" s="198"/>
      <c r="BW198" s="198"/>
      <c r="BX198" s="198"/>
      <c r="BY198" s="198"/>
      <c r="BZ198" s="198"/>
      <c r="CA198" s="197"/>
      <c r="CB198" s="198"/>
      <c r="CC198" s="198"/>
      <c r="CD198" s="198"/>
      <c r="CE198" s="198"/>
      <c r="CF198" s="198"/>
      <c r="CG198" s="198"/>
      <c r="CH198" s="197"/>
      <c r="CI198" s="198"/>
      <c r="CJ198" s="198">
        <v>2810850.7331600003</v>
      </c>
      <c r="CK198" s="198"/>
      <c r="CL198" s="198">
        <v>1236943.4521299999</v>
      </c>
      <c r="CM198" s="198">
        <v>171634</v>
      </c>
      <c r="CN198" s="198"/>
      <c r="CO198" s="197">
        <v>6128.5918600000005</v>
      </c>
      <c r="CP198" s="198">
        <v>702.80378000000007</v>
      </c>
      <c r="CQ198" s="198">
        <v>1121.9558400000001</v>
      </c>
      <c r="CR198" s="198">
        <v>1357.61609</v>
      </c>
      <c r="CS198" s="198">
        <v>872.04723000000001</v>
      </c>
      <c r="CT198" s="198"/>
      <c r="CU198" s="198">
        <v>2074.1689200000005</v>
      </c>
      <c r="CV198" s="197"/>
      <c r="CW198" s="198"/>
      <c r="CX198" s="198"/>
      <c r="CY198" s="198"/>
      <c r="CZ198" s="198"/>
      <c r="DA198" s="198"/>
      <c r="DB198" s="198"/>
      <c r="DC198" s="197"/>
      <c r="DD198" s="198"/>
      <c r="DE198" s="198"/>
      <c r="DF198" s="198"/>
      <c r="DG198" s="198"/>
      <c r="DH198" s="198"/>
      <c r="DI198" s="198"/>
      <c r="DJ198" s="197">
        <f>1249+36712.6</f>
        <v>37961.599999999999</v>
      </c>
      <c r="DK198" s="198">
        <f>400.4+9920.1</f>
        <v>10320.5</v>
      </c>
      <c r="DL198" s="198">
        <f>1808.1+8883.3</f>
        <v>10691.4</v>
      </c>
      <c r="DM198" s="198">
        <f>2698.4</f>
        <v>2698.4</v>
      </c>
      <c r="DN198" s="198">
        <f>7174.3-DM198</f>
        <v>4475.8999999999996</v>
      </c>
      <c r="DO198" s="198"/>
      <c r="DP198" s="198">
        <f t="shared" ref="DP198:DP208" si="11">DJ198-SUM(DK198:DN198)</f>
        <v>9775.3999999999942</v>
      </c>
      <c r="DQ198" s="197"/>
      <c r="DR198" s="198"/>
      <c r="DS198" s="198"/>
      <c r="DT198" s="198"/>
      <c r="DU198" s="198"/>
      <c r="DV198" s="198"/>
      <c r="DW198" s="198"/>
      <c r="DX198" s="197">
        <v>53840.825250000002</v>
      </c>
      <c r="DY198" s="198"/>
      <c r="DZ198" s="198">
        <v>40292.070399999997</v>
      </c>
      <c r="EA198" s="198">
        <v>6895.4634400000004</v>
      </c>
      <c r="EB198" s="198">
        <v>5469.8984500000006</v>
      </c>
      <c r="EC198" s="198"/>
      <c r="ED198" s="198">
        <v>1183.3929699999999</v>
      </c>
      <c r="EE198" s="197"/>
      <c r="EF198" s="198"/>
      <c r="EG198" s="198"/>
      <c r="EH198" s="198"/>
      <c r="EI198" s="198"/>
      <c r="EJ198" s="198"/>
      <c r="EK198" s="199"/>
      <c r="EL198" s="197">
        <v>982185.00699300005</v>
      </c>
      <c r="EM198" s="198">
        <v>313419.24013900006</v>
      </c>
      <c r="EN198" s="198">
        <v>25556.716029000003</v>
      </c>
      <c r="EO198" s="198">
        <v>115511.592443</v>
      </c>
      <c r="EP198" s="198">
        <v>115770.636597</v>
      </c>
      <c r="EQ198" s="198"/>
      <c r="ER198" s="199">
        <v>411776.41333799995</v>
      </c>
      <c r="ES198" s="197">
        <v>14705.89110959</v>
      </c>
      <c r="ET198" s="198">
        <v>1608.4247483700001</v>
      </c>
      <c r="EU198" s="198">
        <v>3581.04306546</v>
      </c>
      <c r="EV198" s="198">
        <v>1550.9091334100001</v>
      </c>
      <c r="EW198" s="198">
        <v>4246.5489642000002</v>
      </c>
      <c r="EX198" s="198"/>
      <c r="EY198" s="199">
        <f t="shared" si="6"/>
        <v>3718.9651981499992</v>
      </c>
      <c r="EZ198" s="198">
        <v>11884</v>
      </c>
      <c r="FA198" s="198">
        <v>584</v>
      </c>
      <c r="FB198" s="198">
        <v>3169</v>
      </c>
      <c r="FC198" s="198">
        <v>3270</v>
      </c>
      <c r="FD198" s="198">
        <v>2577</v>
      </c>
      <c r="FE198" s="198">
        <v>22</v>
      </c>
      <c r="FF198" s="198">
        <f t="shared" si="8"/>
        <v>2284</v>
      </c>
      <c r="FG198" s="197"/>
      <c r="FH198" s="198"/>
      <c r="FI198" s="198"/>
      <c r="FJ198" s="198"/>
      <c r="FK198" s="198"/>
      <c r="FL198" s="198"/>
      <c r="FM198" s="198"/>
      <c r="FN198" s="197">
        <v>35481.334000000003</v>
      </c>
      <c r="FO198" s="198">
        <v>9950.9150000000009</v>
      </c>
      <c r="FP198" s="198">
        <v>4330.7659999999996</v>
      </c>
      <c r="FQ198" s="198">
        <v>4667.9930000000004</v>
      </c>
      <c r="FR198" s="198">
        <v>4185.7879999999996</v>
      </c>
      <c r="FS198" s="198"/>
      <c r="FT198" s="199">
        <f t="shared" si="7"/>
        <v>12345.872000000003</v>
      </c>
      <c r="FU198" s="197"/>
      <c r="FV198" s="198"/>
      <c r="FW198" s="198"/>
      <c r="FX198" s="198"/>
      <c r="FY198" s="198"/>
      <c r="FZ198" s="198"/>
      <c r="GA198" s="199"/>
      <c r="GB198" s="197"/>
      <c r="GC198" s="198"/>
      <c r="GD198" s="198"/>
      <c r="GE198" s="198"/>
      <c r="GF198" s="198"/>
      <c r="GG198" s="198"/>
      <c r="GH198" s="199"/>
      <c r="GI198" s="197"/>
      <c r="GJ198" s="198"/>
      <c r="GK198" s="198"/>
      <c r="GL198" s="198"/>
      <c r="GM198" s="198"/>
      <c r="GN198" s="198"/>
      <c r="GO198" s="199"/>
      <c r="GP198" s="197"/>
      <c r="GQ198" s="198"/>
      <c r="GR198" s="198"/>
      <c r="GS198" s="198"/>
      <c r="GT198" s="198"/>
      <c r="GU198" s="198"/>
      <c r="GV198" s="199"/>
      <c r="GW198" s="197"/>
      <c r="GX198" s="198"/>
      <c r="GY198" s="198"/>
      <c r="GZ198" s="198"/>
      <c r="HA198" s="198"/>
      <c r="HB198" s="198"/>
      <c r="HC198" s="199"/>
      <c r="HD198" s="197"/>
      <c r="HE198" s="198"/>
      <c r="HF198" s="198"/>
      <c r="HG198" s="198"/>
      <c r="HH198" s="198"/>
      <c r="HI198" s="198"/>
      <c r="HJ198" s="199"/>
      <c r="HK198" s="197"/>
      <c r="HL198" s="198"/>
      <c r="HM198" s="198"/>
      <c r="HN198" s="198"/>
      <c r="HO198" s="198"/>
      <c r="HP198" s="198"/>
      <c r="HQ198" s="198"/>
      <c r="HR198" s="197">
        <v>10870.421</v>
      </c>
      <c r="HT198" s="198">
        <v>7026.2</v>
      </c>
      <c r="HU198" s="210">
        <v>558.60799999999995</v>
      </c>
      <c r="HV198" s="210">
        <v>1672.154</v>
      </c>
      <c r="HW198" s="210">
        <v>262.77800000000002</v>
      </c>
      <c r="HX198" s="198">
        <v>1350.681</v>
      </c>
    </row>
    <row r="199" spans="1:233">
      <c r="A199" s="185" t="s">
        <v>490</v>
      </c>
      <c r="B199" s="197"/>
      <c r="C199" s="198"/>
      <c r="D199" s="198"/>
      <c r="E199" s="198"/>
      <c r="F199" s="198"/>
      <c r="G199" s="198"/>
      <c r="H199" s="199"/>
      <c r="I199" s="197">
        <v>59451.1</v>
      </c>
      <c r="J199" s="198"/>
      <c r="K199" s="198"/>
      <c r="L199" s="198">
        <v>9173.6</v>
      </c>
      <c r="M199" s="198">
        <v>2359.5</v>
      </c>
      <c r="N199" s="198"/>
      <c r="O199" s="199">
        <f>[3]arg!$G65</f>
        <v>22129.599999999999</v>
      </c>
      <c r="P199" s="198">
        <v>4535.5140000000001</v>
      </c>
      <c r="Q199" s="198">
        <v>77.179000000000002</v>
      </c>
      <c r="R199" s="198">
        <v>461.44299999999998</v>
      </c>
      <c r="S199" s="198">
        <v>262.55099999999999</v>
      </c>
      <c r="T199" s="198">
        <v>2828.7739999999999</v>
      </c>
      <c r="U199" s="198"/>
      <c r="V199" s="199">
        <f t="shared" si="10"/>
        <v>905.56700000000001</v>
      </c>
      <c r="W199" s="198">
        <v>2881.9009999999998</v>
      </c>
      <c r="X199" s="198">
        <v>97.995999999999995</v>
      </c>
      <c r="Y199" s="198">
        <v>701.74900000000002</v>
      </c>
      <c r="Z199" s="198">
        <v>219.14699999999999</v>
      </c>
      <c r="AA199" s="198">
        <v>1252.325</v>
      </c>
      <c r="AB199" s="198"/>
      <c r="AC199" s="199">
        <f t="shared" si="3"/>
        <v>610.68399999999997</v>
      </c>
      <c r="AD199" s="198"/>
      <c r="AE199" s="198">
        <v>10.651</v>
      </c>
      <c r="AF199" s="198">
        <v>242.80199999999999</v>
      </c>
      <c r="AG199" s="198">
        <v>344.27000000000004</v>
      </c>
      <c r="AH199" s="198">
        <v>198.035</v>
      </c>
      <c r="AI199" s="198"/>
      <c r="AJ199" s="198"/>
      <c r="AK199" s="197"/>
      <c r="AL199" s="198"/>
      <c r="AM199" s="198"/>
      <c r="AN199" s="198"/>
      <c r="AO199" s="198"/>
      <c r="AP199" s="198"/>
      <c r="AQ199" s="199"/>
      <c r="AR199" s="198">
        <v>420849.08514246001</v>
      </c>
      <c r="AS199" s="198">
        <v>114341.19269662</v>
      </c>
      <c r="AT199" s="198">
        <v>44027.538133420006</v>
      </c>
      <c r="AU199" s="198">
        <v>24634.814629920002</v>
      </c>
      <c r="AV199" s="198">
        <v>102391.70868563002</v>
      </c>
      <c r="AW199" s="198"/>
      <c r="AX199" s="198">
        <v>135453.83099687001</v>
      </c>
      <c r="AY199" s="197">
        <v>33527431.030499995</v>
      </c>
      <c r="AZ199" s="198"/>
      <c r="BA199" s="198">
        <v>23510724.640799999</v>
      </c>
      <c r="BB199" s="198">
        <v>6286036.0240000002</v>
      </c>
      <c r="BC199" s="198">
        <v>3730670.3650000002</v>
      </c>
      <c r="BD199" s="198"/>
      <c r="BE199" s="198"/>
      <c r="BF199" s="197">
        <v>56793557.150000006</v>
      </c>
      <c r="BG199" s="198"/>
      <c r="BH199" s="198">
        <v>36302127.710000008</v>
      </c>
      <c r="BI199" s="198">
        <v>9592585.5099999998</v>
      </c>
      <c r="BJ199" s="198">
        <v>10297376.999999998</v>
      </c>
      <c r="BK199" s="198">
        <v>601466.93000000005</v>
      </c>
      <c r="BL199" s="198"/>
      <c r="BM199" s="197">
        <v>2333705.236</v>
      </c>
      <c r="BN199" s="198">
        <v>199167.59</v>
      </c>
      <c r="BO199" s="198">
        <v>336045.48700000002</v>
      </c>
      <c r="BP199" s="198">
        <v>531360.68999999994</v>
      </c>
      <c r="BQ199" s="198">
        <v>683864.973</v>
      </c>
      <c r="BR199" s="198"/>
      <c r="BS199" s="198">
        <f t="shared" si="2"/>
        <v>583266.49600000004</v>
      </c>
      <c r="BT199" s="197"/>
      <c r="BU199" s="198"/>
      <c r="BV199" s="198"/>
      <c r="BW199" s="198"/>
      <c r="BX199" s="198"/>
      <c r="BY199" s="198"/>
      <c r="BZ199" s="198"/>
      <c r="CA199" s="197"/>
      <c r="CB199" s="198"/>
      <c r="CC199" s="198"/>
      <c r="CD199" s="198"/>
      <c r="CE199" s="198"/>
      <c r="CF199" s="198"/>
      <c r="CG199" s="198"/>
      <c r="CH199" s="197"/>
      <c r="CI199" s="198"/>
      <c r="CJ199" s="198">
        <v>2808312.01211</v>
      </c>
      <c r="CK199" s="198"/>
      <c r="CL199" s="198">
        <v>1232744.10354</v>
      </c>
      <c r="CM199" s="198">
        <v>175661</v>
      </c>
      <c r="CN199" s="198"/>
      <c r="CO199" s="197">
        <v>6180.5071900000003</v>
      </c>
      <c r="CP199" s="198">
        <v>709.59718000000009</v>
      </c>
      <c r="CQ199" s="198">
        <v>1148.7576799999999</v>
      </c>
      <c r="CR199" s="198">
        <v>1370.53405</v>
      </c>
      <c r="CS199" s="198">
        <v>885.58116000000007</v>
      </c>
      <c r="CT199" s="198"/>
      <c r="CU199" s="198">
        <v>2066.03712</v>
      </c>
      <c r="CV199" s="197"/>
      <c r="CW199" s="198"/>
      <c r="CX199" s="198"/>
      <c r="CY199" s="198"/>
      <c r="CZ199" s="198"/>
      <c r="DA199" s="198"/>
      <c r="DB199" s="198"/>
      <c r="DC199" s="197"/>
      <c r="DD199" s="198"/>
      <c r="DE199" s="198"/>
      <c r="DF199" s="198"/>
      <c r="DG199" s="198"/>
      <c r="DH199" s="198"/>
      <c r="DI199" s="198"/>
      <c r="DJ199" s="197">
        <f>1352.3+36211.3</f>
        <v>37563.600000000006</v>
      </c>
      <c r="DK199" s="198">
        <f>1004.8+9732.1</f>
        <v>10736.9</v>
      </c>
      <c r="DL199" s="198">
        <f>1731.4+8825.1</f>
        <v>10556.5</v>
      </c>
      <c r="DM199" s="198">
        <v>2702.4</v>
      </c>
      <c r="DN199" s="198">
        <f>7301.4-DM199</f>
        <v>4599</v>
      </c>
      <c r="DO199" s="198"/>
      <c r="DP199" s="198">
        <f t="shared" si="11"/>
        <v>8968.8000000000029</v>
      </c>
      <c r="DQ199" s="197"/>
      <c r="DR199" s="198"/>
      <c r="DS199" s="198"/>
      <c r="DT199" s="198"/>
      <c r="DU199" s="198"/>
      <c r="DV199" s="198"/>
      <c r="DW199" s="198"/>
      <c r="DX199" s="197">
        <v>54361.857389999997</v>
      </c>
      <c r="DY199" s="198"/>
      <c r="DZ199" s="198">
        <v>40581.271939999999</v>
      </c>
      <c r="EA199" s="198">
        <v>6974.5550400000002</v>
      </c>
      <c r="EB199" s="198">
        <v>5608.2628700000005</v>
      </c>
      <c r="EC199" s="198"/>
      <c r="ED199" s="198">
        <v>1197.7675200000001</v>
      </c>
      <c r="EE199" s="197"/>
      <c r="EF199" s="198"/>
      <c r="EG199" s="198"/>
      <c r="EH199" s="198"/>
      <c r="EI199" s="198"/>
      <c r="EJ199" s="198"/>
      <c r="EK199" s="199"/>
      <c r="EL199" s="197">
        <v>984725.42992299993</v>
      </c>
      <c r="EM199" s="198">
        <v>312280.74228899996</v>
      </c>
      <c r="EN199" s="198">
        <v>26180.524970999995</v>
      </c>
      <c r="EO199" s="198">
        <v>115911.63700000002</v>
      </c>
      <c r="EP199" s="198">
        <v>118350.24549699998</v>
      </c>
      <c r="EQ199" s="198"/>
      <c r="ER199" s="199">
        <v>411880.9792</v>
      </c>
      <c r="ES199" s="197">
        <v>14908.08080553</v>
      </c>
      <c r="ET199" s="198">
        <v>1696.8838000000001</v>
      </c>
      <c r="EU199" s="198">
        <v>3574.3564999999999</v>
      </c>
      <c r="EV199" s="198">
        <v>1601.0066999999999</v>
      </c>
      <c r="EW199" s="198">
        <v>4366.2909</v>
      </c>
      <c r="EX199" s="198"/>
      <c r="EY199" s="199">
        <f t="shared" si="6"/>
        <v>3669.542905530001</v>
      </c>
      <c r="EZ199" s="198">
        <v>11843</v>
      </c>
      <c r="FA199" s="198">
        <v>569</v>
      </c>
      <c r="FB199" s="198">
        <v>3178</v>
      </c>
      <c r="FC199" s="198">
        <v>3287</v>
      </c>
      <c r="FD199" s="198">
        <v>2602</v>
      </c>
      <c r="FE199" s="198">
        <v>24</v>
      </c>
      <c r="FF199" s="198">
        <f t="shared" si="8"/>
        <v>2207</v>
      </c>
      <c r="FG199" s="197"/>
      <c r="FH199" s="198"/>
      <c r="FI199" s="198"/>
      <c r="FJ199" s="198"/>
      <c r="FK199" s="198"/>
      <c r="FL199" s="198"/>
      <c r="FM199" s="198"/>
      <c r="FN199" s="197">
        <v>34952.425999999999</v>
      </c>
      <c r="FO199" s="198">
        <v>9720.3379999999997</v>
      </c>
      <c r="FP199" s="198">
        <v>4457.643</v>
      </c>
      <c r="FQ199" s="198">
        <v>4693.1559999999999</v>
      </c>
      <c r="FR199" s="198">
        <v>4216.5479999999998</v>
      </c>
      <c r="FS199" s="198"/>
      <c r="FT199" s="199">
        <f t="shared" si="7"/>
        <v>11864.741000000002</v>
      </c>
      <c r="FU199" s="197"/>
      <c r="FV199" s="198"/>
      <c r="FW199" s="198"/>
      <c r="FX199" s="198"/>
      <c r="FY199" s="198"/>
      <c r="FZ199" s="198"/>
      <c r="GA199" s="199"/>
      <c r="GB199" s="197"/>
      <c r="GC199" s="198"/>
      <c r="GD199" s="198"/>
      <c r="GE199" s="198"/>
      <c r="GF199" s="198"/>
      <c r="GG199" s="198"/>
      <c r="GH199" s="199"/>
      <c r="GI199" s="197"/>
      <c r="GJ199" s="198"/>
      <c r="GK199" s="198"/>
      <c r="GL199" s="198"/>
      <c r="GM199" s="198"/>
      <c r="GN199" s="198"/>
      <c r="GO199" s="199"/>
      <c r="GP199" s="197"/>
      <c r="GQ199" s="198"/>
      <c r="GR199" s="198"/>
      <c r="GS199" s="198"/>
      <c r="GT199" s="198"/>
      <c r="GU199" s="198"/>
      <c r="GV199" s="199"/>
      <c r="GW199" s="197"/>
      <c r="GX199" s="198"/>
      <c r="GY199" s="198"/>
      <c r="GZ199" s="198"/>
      <c r="HA199" s="198"/>
      <c r="HB199" s="198"/>
      <c r="HC199" s="199"/>
      <c r="HD199" s="197"/>
      <c r="HE199" s="198"/>
      <c r="HF199" s="198"/>
      <c r="HG199" s="198"/>
      <c r="HH199" s="198"/>
      <c r="HI199" s="198"/>
      <c r="HJ199" s="199"/>
      <c r="HK199" s="197"/>
      <c r="HL199" s="198"/>
      <c r="HM199" s="198"/>
      <c r="HN199" s="198"/>
      <c r="HO199" s="198"/>
      <c r="HP199" s="198"/>
      <c r="HQ199" s="198"/>
      <c r="HR199" s="197">
        <v>10971.938</v>
      </c>
      <c r="HT199" s="198">
        <v>7085.8220000000001</v>
      </c>
      <c r="HU199" s="198">
        <v>545.35</v>
      </c>
      <c r="HV199" s="198">
        <v>1689.0039999999999</v>
      </c>
      <c r="HW199" s="198">
        <v>263.214</v>
      </c>
      <c r="HX199" s="198">
        <v>1388.548</v>
      </c>
    </row>
    <row r="200" spans="1:233">
      <c r="A200" s="185" t="s">
        <v>491</v>
      </c>
      <c r="B200" s="197">
        <v>1882.1179999999999</v>
      </c>
      <c r="C200" s="198">
        <v>59.542000000000002</v>
      </c>
      <c r="D200" s="198">
        <v>352.97300000000001</v>
      </c>
      <c r="E200" s="198">
        <v>448.86399999999998</v>
      </c>
      <c r="F200" s="198">
        <v>340.01</v>
      </c>
      <c r="G200" s="198"/>
      <c r="H200" s="199">
        <v>680.72900000000004</v>
      </c>
      <c r="I200" s="197">
        <v>61352.7</v>
      </c>
      <c r="J200" s="198"/>
      <c r="K200" s="198"/>
      <c r="L200" s="198">
        <v>9088</v>
      </c>
      <c r="M200" s="198">
        <v>2472.8000000000002</v>
      </c>
      <c r="N200" s="198"/>
      <c r="O200" s="199">
        <f>[3]arg!$G66</f>
        <v>22473.599999999999</v>
      </c>
      <c r="P200" s="198">
        <v>4536.93</v>
      </c>
      <c r="Q200" s="198">
        <v>76.427999999999997</v>
      </c>
      <c r="R200" s="198">
        <v>442.70600000000002</v>
      </c>
      <c r="S200" s="198">
        <v>236.107</v>
      </c>
      <c r="T200" s="198">
        <v>2875.002</v>
      </c>
      <c r="U200" s="198"/>
      <c r="V200" s="199">
        <f t="shared" si="10"/>
        <v>906.68700000000035</v>
      </c>
      <c r="W200" s="198">
        <v>2950.0349999999999</v>
      </c>
      <c r="X200" s="198">
        <v>92.436000000000007</v>
      </c>
      <c r="Y200" s="198">
        <v>677.24700000000007</v>
      </c>
      <c r="Z200" s="198">
        <v>223.989</v>
      </c>
      <c r="AA200" s="198">
        <v>1251.125</v>
      </c>
      <c r="AB200" s="198"/>
      <c r="AC200" s="199">
        <f t="shared" si="3"/>
        <v>705.23799999999983</v>
      </c>
      <c r="AD200" s="198">
        <f>[1]datos!$S332</f>
        <v>1381.067</v>
      </c>
      <c r="AE200" s="198">
        <v>10.928000000000001</v>
      </c>
      <c r="AF200" s="198">
        <v>237.32300000000001</v>
      </c>
      <c r="AG200" s="198">
        <v>340.90700000000004</v>
      </c>
      <c r="AH200" s="198">
        <v>207.959</v>
      </c>
      <c r="AI200" s="198">
        <f>[1]datos!$U332</f>
        <v>326.43400000000003</v>
      </c>
      <c r="AJ200" s="198">
        <f t="shared" ref="AJ200:AJ209" si="12">AD200-AE200-AF200-AG200-AH200-AI200</f>
        <v>257.51599999999979</v>
      </c>
      <c r="AK200" s="197">
        <v>25438.059599999997</v>
      </c>
      <c r="AL200" s="198"/>
      <c r="AM200" s="198">
        <v>15670.8434</v>
      </c>
      <c r="AN200" s="198">
        <v>5273.1274000000003</v>
      </c>
      <c r="AO200" s="198">
        <v>1401.6374000000001</v>
      </c>
      <c r="AP200" s="198">
        <v>3093.2415000000001</v>
      </c>
      <c r="AQ200" s="199"/>
      <c r="AR200" s="198">
        <v>423347.15454948001</v>
      </c>
      <c r="AS200" s="198">
        <v>114172.84412257001</v>
      </c>
      <c r="AT200" s="198">
        <v>44052.523923429995</v>
      </c>
      <c r="AU200" s="198">
        <v>24977.475754829997</v>
      </c>
      <c r="AV200" s="198">
        <v>103272.68306340001</v>
      </c>
      <c r="AW200" s="198"/>
      <c r="AX200" s="198">
        <v>136871.62768524999</v>
      </c>
      <c r="AY200" s="197">
        <v>34098961.237199999</v>
      </c>
      <c r="AZ200" s="198"/>
      <c r="BA200" s="198">
        <v>23902616.6281</v>
      </c>
      <c r="BB200" s="198">
        <v>6391708.8997</v>
      </c>
      <c r="BC200" s="198">
        <v>3804635.7086</v>
      </c>
      <c r="BD200" s="198"/>
      <c r="BE200" s="198"/>
      <c r="BF200" s="197">
        <v>56564253.000000015</v>
      </c>
      <c r="BG200" s="198"/>
      <c r="BH200" s="198">
        <v>35887503.440000005</v>
      </c>
      <c r="BI200" s="198">
        <v>9592289.8800000008</v>
      </c>
      <c r="BJ200" s="198">
        <v>10478239.640000001</v>
      </c>
      <c r="BK200" s="198">
        <v>606220.04</v>
      </c>
      <c r="BL200" s="198"/>
      <c r="BM200" s="197">
        <v>2348262.6290000002</v>
      </c>
      <c r="BN200" s="198">
        <v>197647.85399999999</v>
      </c>
      <c r="BO200" s="198">
        <v>344849.217</v>
      </c>
      <c r="BP200" s="198">
        <v>526087.72499999998</v>
      </c>
      <c r="BQ200" s="198">
        <v>707710.53599999996</v>
      </c>
      <c r="BR200" s="198"/>
      <c r="BS200" s="198">
        <f t="shared" si="2"/>
        <v>571967.29700000025</v>
      </c>
      <c r="BT200" s="197"/>
      <c r="BU200" s="198"/>
      <c r="BV200" s="198"/>
      <c r="BW200" s="198"/>
      <c r="BX200" s="198"/>
      <c r="BY200" s="198"/>
      <c r="BZ200" s="198"/>
      <c r="CA200" s="197">
        <v>490.49799999999999</v>
      </c>
      <c r="CB200" s="198">
        <v>23.58</v>
      </c>
      <c r="CC200" s="198">
        <v>94.278999999999996</v>
      </c>
      <c r="CD200" s="198">
        <v>160.58500000000001</v>
      </c>
      <c r="CE200" s="198">
        <v>75.034000000000006</v>
      </c>
      <c r="CF200" s="198"/>
      <c r="CG200" s="198">
        <f>CA200-CB200-CC200-CD200-CE200</f>
        <v>137.01999999999998</v>
      </c>
      <c r="CH200" s="197"/>
      <c r="CI200" s="198"/>
      <c r="CJ200" s="198">
        <v>2844647.2387000001</v>
      </c>
      <c r="CK200" s="198"/>
      <c r="CL200" s="198">
        <v>1246379.4748900002</v>
      </c>
      <c r="CM200" s="198">
        <v>187596</v>
      </c>
      <c r="CN200" s="198"/>
      <c r="CO200" s="197">
        <v>6228.31041</v>
      </c>
      <c r="CP200" s="198">
        <v>711.89468999999997</v>
      </c>
      <c r="CQ200" s="198">
        <v>1175.62336</v>
      </c>
      <c r="CR200" s="198">
        <v>1340.9757</v>
      </c>
      <c r="CS200" s="198">
        <v>939.55071999999996</v>
      </c>
      <c r="CT200" s="198"/>
      <c r="CU200" s="198">
        <v>2060.2659400000002</v>
      </c>
      <c r="CV200" s="197">
        <v>1110.0039999999999</v>
      </c>
      <c r="CW200" s="198">
        <v>44.191000000000003</v>
      </c>
      <c r="CX200" s="198">
        <v>155.80600000000001</v>
      </c>
      <c r="CY200" s="198">
        <v>385.22800000000001</v>
      </c>
      <c r="CZ200" s="198">
        <v>263.78800000000001</v>
      </c>
      <c r="DA200" s="198"/>
      <c r="DB200" s="198">
        <f>CV200-CW200-CX200-CY200-CZ200</f>
        <v>260.99099999999976</v>
      </c>
      <c r="DC200" s="197"/>
      <c r="DD200" s="198"/>
      <c r="DE200" s="198"/>
      <c r="DF200" s="198"/>
      <c r="DG200" s="198"/>
      <c r="DH200" s="198"/>
      <c r="DI200" s="198"/>
      <c r="DJ200" s="197">
        <f>2522.7+35631.6</f>
        <v>38154.299999999996</v>
      </c>
      <c r="DK200" s="198">
        <f>2091.8+9106.4</f>
        <v>11198.2</v>
      </c>
      <c r="DL200" s="198">
        <f>1751+8561.3</f>
        <v>10312.299999999999</v>
      </c>
      <c r="DM200" s="198">
        <v>2504.6</v>
      </c>
      <c r="DN200" s="198">
        <f>7166.9-DM200</f>
        <v>4662.2999999999993</v>
      </c>
      <c r="DO200" s="198"/>
      <c r="DP200" s="198">
        <f t="shared" si="11"/>
        <v>9476.8999999999978</v>
      </c>
      <c r="DQ200" s="197"/>
      <c r="DR200" s="198"/>
      <c r="DS200" s="198"/>
      <c r="DT200" s="198"/>
      <c r="DU200" s="198"/>
      <c r="DV200" s="198"/>
      <c r="DW200" s="198"/>
      <c r="DX200" s="197">
        <v>54736.213299999996</v>
      </c>
      <c r="DY200" s="198"/>
      <c r="DZ200" s="198">
        <v>40928.819819999997</v>
      </c>
      <c r="EA200" s="198">
        <v>7098.5960300000006</v>
      </c>
      <c r="EB200" s="198">
        <v>5522.5630700000002</v>
      </c>
      <c r="EC200" s="198"/>
      <c r="ED200" s="198">
        <v>1186.2343700000001</v>
      </c>
      <c r="EE200" s="197">
        <v>102504.185</v>
      </c>
      <c r="EF200" s="198">
        <v>3388.45</v>
      </c>
      <c r="EG200" s="198">
        <v>19974.553</v>
      </c>
      <c r="EH200" s="198">
        <v>6920.7489999999998</v>
      </c>
      <c r="EI200" s="198">
        <v>27855.414000000001</v>
      </c>
      <c r="EJ200" s="198"/>
      <c r="EK200" s="199">
        <f>EE200-EF200-EG200-EH200-EI200</f>
        <v>44365.019</v>
      </c>
      <c r="EL200" s="197">
        <v>997750.72311699984</v>
      </c>
      <c r="EM200" s="198">
        <v>315491.53326900012</v>
      </c>
      <c r="EN200" s="198">
        <v>27954.752511999999</v>
      </c>
      <c r="EO200" s="198">
        <v>116206.47113200001</v>
      </c>
      <c r="EP200" s="198">
        <v>121432.764667</v>
      </c>
      <c r="EQ200" s="198"/>
      <c r="ER200" s="199">
        <v>416527.54756500007</v>
      </c>
      <c r="ES200" s="197">
        <v>15432.626714220001</v>
      </c>
      <c r="ET200" s="198">
        <v>1746.2108000000001</v>
      </c>
      <c r="EU200" s="198">
        <v>3816.7944000000002</v>
      </c>
      <c r="EV200" s="198">
        <v>1671.3356000000001</v>
      </c>
      <c r="EW200" s="198">
        <v>4425.9544000000005</v>
      </c>
      <c r="EX200" s="198"/>
      <c r="EY200" s="199">
        <f t="shared" si="6"/>
        <v>3772.331514219999</v>
      </c>
      <c r="EZ200" s="198">
        <v>12032</v>
      </c>
      <c r="FA200" s="198">
        <v>554</v>
      </c>
      <c r="FB200" s="198">
        <v>3255</v>
      </c>
      <c r="FC200" s="198">
        <v>3293</v>
      </c>
      <c r="FD200" s="198">
        <v>2632</v>
      </c>
      <c r="FE200" s="198">
        <v>23</v>
      </c>
      <c r="FF200" s="198">
        <f t="shared" si="8"/>
        <v>2298</v>
      </c>
      <c r="FG200" s="197"/>
      <c r="FH200" s="198"/>
      <c r="FI200" s="198"/>
      <c r="FJ200" s="198"/>
      <c r="FK200" s="198"/>
      <c r="FL200" s="198"/>
      <c r="FM200" s="198"/>
      <c r="FN200" s="197">
        <v>35500.997000000003</v>
      </c>
      <c r="FO200" s="198">
        <v>10029.453</v>
      </c>
      <c r="FP200" s="198">
        <v>4546.0600000000004</v>
      </c>
      <c r="FQ200" s="198">
        <v>4725.3680000000004</v>
      </c>
      <c r="FR200" s="198">
        <v>4322.2879999999996</v>
      </c>
      <c r="FS200" s="198"/>
      <c r="FT200" s="199">
        <f t="shared" si="7"/>
        <v>11877.828000000001</v>
      </c>
      <c r="FU200" s="197"/>
      <c r="FV200" s="198"/>
      <c r="FW200" s="198"/>
      <c r="FX200" s="198"/>
      <c r="FY200" s="198"/>
      <c r="FZ200" s="198"/>
      <c r="GA200" s="199"/>
      <c r="GB200" s="197">
        <v>1102.0360000000001</v>
      </c>
      <c r="GC200" s="198">
        <v>20.135999999999999</v>
      </c>
      <c r="GD200" s="198">
        <v>172.65</v>
      </c>
      <c r="GE200" s="198">
        <v>273.87900000000002</v>
      </c>
      <c r="GF200" s="198">
        <v>195.12899999999999</v>
      </c>
      <c r="GG200" s="198"/>
      <c r="GH200" s="199">
        <f>GB200-GC200-GD200-GE200-GF200</f>
        <v>440.24200000000008</v>
      </c>
      <c r="GI200" s="197">
        <v>782.66899999999998</v>
      </c>
      <c r="GJ200" s="198">
        <v>18.707999999999998</v>
      </c>
      <c r="GK200" s="198">
        <v>109.203</v>
      </c>
      <c r="GL200" s="198">
        <v>287.56700000000001</v>
      </c>
      <c r="GM200" s="198">
        <v>148.18</v>
      </c>
      <c r="GN200" s="198"/>
      <c r="GO200" s="199">
        <f>GI200-GJ200-GK200-GL200-GM200</f>
        <v>219.01100000000002</v>
      </c>
      <c r="GP200" s="197">
        <v>1663.5940000000001</v>
      </c>
      <c r="GQ200" s="198">
        <v>49.081000000000003</v>
      </c>
      <c r="GR200" s="198">
        <v>390.202</v>
      </c>
      <c r="GS200" s="198">
        <v>315.923</v>
      </c>
      <c r="GT200" s="198">
        <v>480.81099999999998</v>
      </c>
      <c r="GU200" s="198"/>
      <c r="GV200" s="199">
        <f>GP200-GQ200-GR200-GS200-GT200</f>
        <v>427.57700000000017</v>
      </c>
      <c r="GW200" s="197"/>
      <c r="GX200" s="198"/>
      <c r="GY200" s="198"/>
      <c r="GZ200" s="198"/>
      <c r="HA200" s="198"/>
      <c r="HB200" s="198"/>
      <c r="HC200" s="199"/>
      <c r="HD200" s="197">
        <f>'[2]t&amp;t'!W332</f>
        <v>18268.5</v>
      </c>
      <c r="HE200" s="198">
        <f>'[2]t&amp;t'!X332</f>
        <v>1754.1</v>
      </c>
      <c r="HF200" s="198">
        <f>'[2]t&amp;t'!Y332</f>
        <v>1524.1000000000001</v>
      </c>
      <c r="HG200" s="198">
        <f>'[2]t&amp;t'!Z332</f>
        <v>1414.5</v>
      </c>
      <c r="HH200" s="198">
        <f>'[2]t&amp;t'!AA332</f>
        <v>6273.2999999999993</v>
      </c>
      <c r="HI200" s="198"/>
      <c r="HJ200" s="199">
        <f>'[2]t&amp;t'!AC332</f>
        <v>7302.5</v>
      </c>
      <c r="HK200" s="197"/>
      <c r="HL200" s="198"/>
      <c r="HM200" s="198"/>
      <c r="HN200" s="198"/>
      <c r="HO200" s="198"/>
      <c r="HP200" s="198"/>
      <c r="HQ200" s="198"/>
      <c r="HR200" s="197">
        <v>12527.154</v>
      </c>
      <c r="HT200" s="198">
        <v>8617.5939999999991</v>
      </c>
      <c r="HU200" s="198">
        <v>535.19500000000005</v>
      </c>
      <c r="HV200" s="198">
        <v>1690.0920000000001</v>
      </c>
      <c r="HW200" s="198">
        <v>289.661</v>
      </c>
      <c r="HX200" s="198">
        <v>1394.6120000000001</v>
      </c>
    </row>
    <row r="201" spans="1:233">
      <c r="A201" s="185" t="s">
        <v>492</v>
      </c>
      <c r="B201" s="197"/>
      <c r="C201" s="198"/>
      <c r="D201" s="198"/>
      <c r="E201" s="198"/>
      <c r="F201" s="198"/>
      <c r="G201" s="198"/>
      <c r="H201" s="199"/>
      <c r="I201" s="197">
        <v>61849.5</v>
      </c>
      <c r="J201" s="198"/>
      <c r="K201" s="198"/>
      <c r="L201" s="198">
        <v>9024.4</v>
      </c>
      <c r="M201" s="198">
        <v>2563.6999999999998</v>
      </c>
      <c r="N201" s="198"/>
      <c r="O201" s="199">
        <f>[3]arg!$G67</f>
        <v>22671.199999999997</v>
      </c>
      <c r="P201" s="198">
        <v>4575.1189999999997</v>
      </c>
      <c r="Q201" s="198">
        <v>76.731999999999999</v>
      </c>
      <c r="R201" s="198">
        <v>433.91800000000006</v>
      </c>
      <c r="S201" s="198">
        <v>241.965</v>
      </c>
      <c r="T201" s="198">
        <v>2890.7370000000001</v>
      </c>
      <c r="U201" s="198"/>
      <c r="V201" s="199">
        <f t="shared" si="10"/>
        <v>931.76699999999937</v>
      </c>
      <c r="W201" s="198">
        <v>2977.0340000000001</v>
      </c>
      <c r="X201" s="198">
        <v>89.382999999999996</v>
      </c>
      <c r="Y201" s="198">
        <v>683.24099999999999</v>
      </c>
      <c r="Z201" s="198">
        <v>226.20500000000001</v>
      </c>
      <c r="AA201" s="198">
        <v>1254.6400000000001</v>
      </c>
      <c r="AB201" s="198"/>
      <c r="AC201" s="199">
        <f t="shared" si="3"/>
        <v>723.56500000000028</v>
      </c>
      <c r="AD201" s="198">
        <f>[1]datos!$S333</f>
        <v>1443.3430000000001</v>
      </c>
      <c r="AE201" s="198">
        <v>10.393000000000001</v>
      </c>
      <c r="AF201" s="198">
        <v>241.73000000000002</v>
      </c>
      <c r="AG201" s="198">
        <v>350.18199999999996</v>
      </c>
      <c r="AH201" s="198">
        <v>202.57400000000001</v>
      </c>
      <c r="AI201" s="198">
        <f>[1]datos!$U333</f>
        <v>325.93400000000003</v>
      </c>
      <c r="AJ201" s="198">
        <f t="shared" si="12"/>
        <v>312.52999999999992</v>
      </c>
      <c r="AK201" s="197"/>
      <c r="AL201" s="198"/>
      <c r="AM201" s="198"/>
      <c r="AN201" s="198"/>
      <c r="AO201" s="198"/>
      <c r="AP201" s="198"/>
      <c r="AQ201" s="199"/>
      <c r="AR201" s="198">
        <v>435554.01787096995</v>
      </c>
      <c r="AS201" s="198">
        <v>117582.07479934</v>
      </c>
      <c r="AT201" s="198">
        <v>45381.543564840009</v>
      </c>
      <c r="AU201" s="198">
        <v>25120.484826989999</v>
      </c>
      <c r="AV201" s="198">
        <v>107471.07608970998</v>
      </c>
      <c r="AW201" s="198"/>
      <c r="AX201" s="198">
        <v>139998.83859008999</v>
      </c>
      <c r="AY201" s="197">
        <v>34745978.103500001</v>
      </c>
      <c r="AZ201" s="198"/>
      <c r="BA201" s="198">
        <v>24415322.623300001</v>
      </c>
      <c r="BB201" s="198">
        <v>6468687.7045</v>
      </c>
      <c r="BC201" s="198">
        <v>3861967.7751000002</v>
      </c>
      <c r="BD201" s="198"/>
      <c r="BE201" s="198"/>
      <c r="BF201" s="197">
        <v>57260567.010000005</v>
      </c>
      <c r="BG201" s="198"/>
      <c r="BH201" s="198">
        <v>36288853.360000007</v>
      </c>
      <c r="BI201" s="198">
        <v>9602144.8399999999</v>
      </c>
      <c r="BJ201" s="198">
        <v>10768253.909999998</v>
      </c>
      <c r="BK201" s="198">
        <v>601314.9</v>
      </c>
      <c r="BL201" s="198"/>
      <c r="BM201" s="197">
        <v>2387431.39</v>
      </c>
      <c r="BN201" s="198">
        <v>196558.329</v>
      </c>
      <c r="BO201" s="198">
        <v>347052.98800000001</v>
      </c>
      <c r="BP201" s="198">
        <v>556969.28399999999</v>
      </c>
      <c r="BQ201" s="198">
        <v>702483.30799999996</v>
      </c>
      <c r="BR201" s="198"/>
      <c r="BS201" s="198">
        <f t="shared" si="2"/>
        <v>584367.48100000015</v>
      </c>
      <c r="BT201" s="197"/>
      <c r="BU201" s="198"/>
      <c r="BV201" s="198"/>
      <c r="BW201" s="198"/>
      <c r="BX201" s="198"/>
      <c r="BY201" s="198"/>
      <c r="BZ201" s="198"/>
      <c r="CA201" s="197"/>
      <c r="CB201" s="198"/>
      <c r="CC201" s="198"/>
      <c r="CD201" s="198"/>
      <c r="CE201" s="198"/>
      <c r="CF201" s="198"/>
      <c r="CG201" s="198"/>
      <c r="CH201" s="197"/>
      <c r="CI201" s="198"/>
      <c r="CJ201" s="198">
        <v>2857858.5763599998</v>
      </c>
      <c r="CK201" s="198"/>
      <c r="CL201" s="198">
        <v>1273716.9101200001</v>
      </c>
      <c r="CM201" s="198">
        <v>203412</v>
      </c>
      <c r="CN201" s="198"/>
      <c r="CO201" s="197">
        <v>6262.1916200000005</v>
      </c>
      <c r="CP201" s="198">
        <v>705.67925000000002</v>
      </c>
      <c r="CQ201" s="198">
        <v>1174.08305</v>
      </c>
      <c r="CR201" s="198">
        <v>1402.34283</v>
      </c>
      <c r="CS201" s="198">
        <v>927.21490000000006</v>
      </c>
      <c r="CT201" s="198"/>
      <c r="CU201" s="198">
        <v>2052.8715899999997</v>
      </c>
      <c r="CV201" s="197"/>
      <c r="CW201" s="198"/>
      <c r="CX201" s="198"/>
      <c r="CY201" s="198"/>
      <c r="CZ201" s="198"/>
      <c r="DA201" s="198"/>
      <c r="DB201" s="198"/>
      <c r="DC201" s="197"/>
      <c r="DD201" s="198"/>
      <c r="DE201" s="198"/>
      <c r="DF201" s="198"/>
      <c r="DG201" s="198"/>
      <c r="DH201" s="198"/>
      <c r="DI201" s="198"/>
      <c r="DJ201" s="197">
        <f>2532+35626.3</f>
        <v>38158.300000000003</v>
      </c>
      <c r="DK201" s="198">
        <f>2045.4+9054</f>
        <v>11099.4</v>
      </c>
      <c r="DL201" s="198">
        <f>1657.5+8395.6</f>
        <v>10053.1</v>
      </c>
      <c r="DM201" s="198">
        <v>2623.4</v>
      </c>
      <c r="DN201" s="198">
        <f>7423-DM201</f>
        <v>4799.6000000000004</v>
      </c>
      <c r="DO201" s="198"/>
      <c r="DP201" s="198">
        <f t="shared" si="11"/>
        <v>9582.8000000000029</v>
      </c>
      <c r="DQ201" s="197"/>
      <c r="DR201" s="198"/>
      <c r="DS201" s="198"/>
      <c r="DT201" s="198"/>
      <c r="DU201" s="198"/>
      <c r="DV201" s="198"/>
      <c r="DW201" s="198"/>
      <c r="DX201" s="197">
        <v>55128.28039</v>
      </c>
      <c r="DY201" s="198"/>
      <c r="DZ201" s="198">
        <v>40424.86335</v>
      </c>
      <c r="EA201" s="198">
        <v>7173.4865599999994</v>
      </c>
      <c r="EB201" s="198">
        <v>5946.4784800000007</v>
      </c>
      <c r="EC201" s="198"/>
      <c r="ED201" s="198">
        <v>1583.4520299999999</v>
      </c>
      <c r="EE201" s="197"/>
      <c r="EF201" s="198"/>
      <c r="EG201" s="198"/>
      <c r="EH201" s="198"/>
      <c r="EI201" s="198"/>
      <c r="EJ201" s="198"/>
      <c r="EK201" s="199"/>
      <c r="EL201" s="197">
        <v>1004755.0889709999</v>
      </c>
      <c r="EM201" s="198">
        <v>319410.61082600005</v>
      </c>
      <c r="EN201" s="198">
        <v>29332.078920000004</v>
      </c>
      <c r="EO201" s="198">
        <v>116121.53822499997</v>
      </c>
      <c r="EP201" s="198">
        <v>125521.87983400001</v>
      </c>
      <c r="EQ201" s="198"/>
      <c r="ER201" s="199">
        <v>414236.65185599989</v>
      </c>
      <c r="ES201" s="197">
        <v>15391.8225</v>
      </c>
      <c r="ET201" s="198">
        <v>1733.1699000000001</v>
      </c>
      <c r="EU201" s="198">
        <v>3831.3573000000001</v>
      </c>
      <c r="EV201" s="198">
        <v>1719.8307</v>
      </c>
      <c r="EW201" s="198">
        <v>4513.4502000000002</v>
      </c>
      <c r="EX201" s="198"/>
      <c r="EY201" s="199">
        <f t="shared" si="6"/>
        <v>3594.0143999999991</v>
      </c>
      <c r="EZ201" s="198">
        <v>12125</v>
      </c>
      <c r="FA201" s="198">
        <v>554</v>
      </c>
      <c r="FB201" s="198">
        <v>3215</v>
      </c>
      <c r="FC201" s="198">
        <v>3328</v>
      </c>
      <c r="FD201" s="198">
        <v>2666</v>
      </c>
      <c r="FE201" s="198">
        <v>21</v>
      </c>
      <c r="FF201" s="198">
        <f t="shared" si="8"/>
        <v>2362</v>
      </c>
      <c r="FG201" s="197">
        <v>6775091.0067210002</v>
      </c>
      <c r="FH201" s="198">
        <v>860288.92340399988</v>
      </c>
      <c r="FI201" s="198">
        <v>2096032.3758999999</v>
      </c>
      <c r="FJ201" s="198"/>
      <c r="FK201" s="198">
        <v>805104.90360899991</v>
      </c>
      <c r="FL201" s="198"/>
      <c r="FM201" s="198">
        <f>FG201-SUM(FH201:FK201)</f>
        <v>3013664.8038080009</v>
      </c>
      <c r="FN201" s="197">
        <v>36187.514000000003</v>
      </c>
      <c r="FO201" s="198">
        <v>10373.447</v>
      </c>
      <c r="FP201" s="198">
        <v>4635.1859999999997</v>
      </c>
      <c r="FQ201" s="198">
        <v>4815.2539999999999</v>
      </c>
      <c r="FR201" s="198">
        <v>4358.3050000000003</v>
      </c>
      <c r="FS201" s="198"/>
      <c r="FT201" s="199">
        <f t="shared" si="7"/>
        <v>12005.322000000004</v>
      </c>
      <c r="FU201" s="197"/>
      <c r="FV201" s="198"/>
      <c r="FW201" s="198"/>
      <c r="FX201" s="198"/>
      <c r="FY201" s="198"/>
      <c r="FZ201" s="198"/>
      <c r="GA201" s="199"/>
      <c r="GB201" s="197"/>
      <c r="GC201" s="198"/>
      <c r="GD201" s="198"/>
      <c r="GE201" s="198"/>
      <c r="GF201" s="198"/>
      <c r="GG201" s="198"/>
      <c r="GH201" s="199"/>
      <c r="GI201" s="197"/>
      <c r="GJ201" s="198"/>
      <c r="GK201" s="198"/>
      <c r="GL201" s="198"/>
      <c r="GM201" s="198"/>
      <c r="GN201" s="198"/>
      <c r="GO201" s="199"/>
      <c r="GP201" s="197"/>
      <c r="GQ201" s="198"/>
      <c r="GR201" s="198"/>
      <c r="GS201" s="198"/>
      <c r="GT201" s="198"/>
      <c r="GU201" s="198"/>
      <c r="GV201" s="199"/>
      <c r="GW201" s="197"/>
      <c r="GX201" s="198"/>
      <c r="GY201" s="198"/>
      <c r="GZ201" s="198"/>
      <c r="HA201" s="198"/>
      <c r="HB201" s="198"/>
      <c r="HC201" s="199"/>
      <c r="HD201" s="197"/>
      <c r="HE201" s="198"/>
      <c r="HF201" s="198"/>
      <c r="HG201" s="198"/>
      <c r="HH201" s="198"/>
      <c r="HI201" s="198"/>
      <c r="HJ201" s="199"/>
      <c r="HK201" s="197"/>
      <c r="HL201" s="198"/>
      <c r="HM201" s="198"/>
      <c r="HN201" s="198"/>
      <c r="HO201" s="198"/>
      <c r="HP201" s="198"/>
      <c r="HQ201" s="198"/>
      <c r="HR201" s="197">
        <v>14041.941000000001</v>
      </c>
      <c r="HT201" s="198">
        <v>10001.276</v>
      </c>
      <c r="HU201" s="198">
        <v>537.03200000000004</v>
      </c>
      <c r="HV201" s="198">
        <v>1766.93</v>
      </c>
      <c r="HW201" s="198">
        <v>294.90100000000001</v>
      </c>
      <c r="HX201" s="198">
        <v>1441.8019999999999</v>
      </c>
    </row>
    <row r="202" spans="1:233">
      <c r="A202" s="185" t="s">
        <v>493</v>
      </c>
      <c r="B202" s="197"/>
      <c r="C202" s="198"/>
      <c r="D202" s="198"/>
      <c r="E202" s="198"/>
      <c r="F202" s="198"/>
      <c r="G202" s="198"/>
      <c r="H202" s="199"/>
      <c r="I202" s="197">
        <v>63254.1</v>
      </c>
      <c r="J202" s="198"/>
      <c r="K202" s="198"/>
      <c r="L202" s="198">
        <v>8980.1</v>
      </c>
      <c r="M202" s="198">
        <v>2645.2</v>
      </c>
      <c r="N202" s="198"/>
      <c r="O202" s="199">
        <f>[3]arg!$G68</f>
        <v>23506.300000000003</v>
      </c>
      <c r="P202" s="198">
        <v>4582.076</v>
      </c>
      <c r="Q202" s="198">
        <v>76.769000000000005</v>
      </c>
      <c r="R202" s="198">
        <v>415.04400000000004</v>
      </c>
      <c r="S202" s="198">
        <v>250.38900000000001</v>
      </c>
      <c r="T202" s="198">
        <v>2927.1770000000001</v>
      </c>
      <c r="U202" s="198"/>
      <c r="V202" s="199">
        <f t="shared" si="10"/>
        <v>912.69699999999966</v>
      </c>
      <c r="W202" s="198">
        <v>2967.5160000000001</v>
      </c>
      <c r="X202" s="198">
        <v>89.906999999999996</v>
      </c>
      <c r="Y202" s="198">
        <v>673.81299999999987</v>
      </c>
      <c r="Z202" s="198">
        <v>229.67099999999999</v>
      </c>
      <c r="AA202" s="198">
        <v>1269.0060000000001</v>
      </c>
      <c r="AB202" s="198"/>
      <c r="AC202" s="199">
        <f t="shared" si="3"/>
        <v>705.11900000000014</v>
      </c>
      <c r="AD202" s="198">
        <f>[1]datos!$S334</f>
        <v>1452.1729999999998</v>
      </c>
      <c r="AE202" s="198">
        <v>10.231</v>
      </c>
      <c r="AF202" s="198">
        <v>241.67399999999998</v>
      </c>
      <c r="AG202" s="198">
        <v>352.59100000000001</v>
      </c>
      <c r="AH202" s="198">
        <v>198.93</v>
      </c>
      <c r="AI202" s="198">
        <f>[1]datos!$U334</f>
        <v>326.35199999999998</v>
      </c>
      <c r="AJ202" s="198">
        <f t="shared" si="12"/>
        <v>322.39499999999987</v>
      </c>
      <c r="AK202" s="197"/>
      <c r="AL202" s="198"/>
      <c r="AM202" s="198"/>
      <c r="AN202" s="198"/>
      <c r="AO202" s="198"/>
      <c r="AP202" s="198"/>
      <c r="AQ202" s="199"/>
      <c r="AR202" s="198">
        <v>445864.15706001001</v>
      </c>
      <c r="AS202" s="198">
        <v>120187.78843046002</v>
      </c>
      <c r="AT202" s="198">
        <v>47458.762149490001</v>
      </c>
      <c r="AU202" s="198">
        <v>25146.991711520001</v>
      </c>
      <c r="AV202" s="198">
        <v>110113.21279319</v>
      </c>
      <c r="AW202" s="198"/>
      <c r="AX202" s="198">
        <v>142957.40197534996</v>
      </c>
      <c r="AY202" s="197">
        <v>35277253.886600003</v>
      </c>
      <c r="AZ202" s="198"/>
      <c r="BA202" s="198">
        <v>24835977.085999999</v>
      </c>
      <c r="BB202" s="198">
        <v>6575218.8537999997</v>
      </c>
      <c r="BC202" s="198">
        <v>3866057.9463</v>
      </c>
      <c r="BD202" s="198"/>
      <c r="BE202" s="198"/>
      <c r="BF202" s="197">
        <v>58136288.61999999</v>
      </c>
      <c r="BG202" s="198"/>
      <c r="BH202" s="198">
        <v>37112719.809999995</v>
      </c>
      <c r="BI202" s="198">
        <v>9446729.9800000023</v>
      </c>
      <c r="BJ202" s="198">
        <v>10973651.679999998</v>
      </c>
      <c r="BK202" s="198">
        <v>603187.15</v>
      </c>
      <c r="BL202" s="198"/>
      <c r="BM202" s="197">
        <v>2432845.5970000001</v>
      </c>
      <c r="BN202" s="198">
        <v>202084.212</v>
      </c>
      <c r="BO202" s="198">
        <v>349463.196</v>
      </c>
      <c r="BP202" s="198">
        <v>544637.91200000001</v>
      </c>
      <c r="BQ202" s="198">
        <v>714788.23300000001</v>
      </c>
      <c r="BR202" s="198"/>
      <c r="BS202" s="198">
        <f t="shared" si="2"/>
        <v>621872.04399999999</v>
      </c>
      <c r="BT202" s="197"/>
      <c r="BU202" s="198"/>
      <c r="BV202" s="198"/>
      <c r="BW202" s="198"/>
      <c r="BX202" s="198"/>
      <c r="BY202" s="198"/>
      <c r="BZ202" s="198"/>
      <c r="CA202" s="197"/>
      <c r="CB202" s="198"/>
      <c r="CC202" s="198"/>
      <c r="CD202" s="198"/>
      <c r="CE202" s="198"/>
      <c r="CF202" s="198"/>
      <c r="CG202" s="198"/>
      <c r="CH202" s="197"/>
      <c r="CI202" s="198"/>
      <c r="CJ202" s="198">
        <v>2914805.9558599996</v>
      </c>
      <c r="CK202" s="198"/>
      <c r="CL202" s="198">
        <v>1300312.2211800001</v>
      </c>
      <c r="CM202" s="198">
        <v>212127</v>
      </c>
      <c r="CN202" s="198"/>
      <c r="CO202" s="197">
        <v>6333.0581199999997</v>
      </c>
      <c r="CP202" s="198">
        <v>699.25983999999994</v>
      </c>
      <c r="CQ202" s="198">
        <v>1185.3095800000001</v>
      </c>
      <c r="CR202" s="198">
        <v>1416.3687600000001</v>
      </c>
      <c r="CS202" s="198">
        <v>957.92097000000001</v>
      </c>
      <c r="CT202" s="198"/>
      <c r="CU202" s="198">
        <v>2074.1989700000008</v>
      </c>
      <c r="CV202" s="197"/>
      <c r="CW202" s="198"/>
      <c r="CX202" s="198"/>
      <c r="CY202" s="198"/>
      <c r="CZ202" s="198"/>
      <c r="DA202" s="198"/>
      <c r="DB202" s="198"/>
      <c r="DC202" s="197"/>
      <c r="DD202" s="198"/>
      <c r="DE202" s="198"/>
      <c r="DF202" s="198"/>
      <c r="DG202" s="198"/>
      <c r="DH202" s="198"/>
      <c r="DI202" s="198"/>
      <c r="DJ202" s="197">
        <f>2347.2+35154</f>
        <v>37501.199999999997</v>
      </c>
      <c r="DK202" s="198">
        <f>2011.7+8894.6</f>
        <v>10906.300000000001</v>
      </c>
      <c r="DL202" s="198">
        <f>1623.4+8347.5</f>
        <v>9970.9</v>
      </c>
      <c r="DM202" s="198">
        <v>2534.4</v>
      </c>
      <c r="DN202" s="198">
        <f>7200.7-DM202</f>
        <v>4666.2999999999993</v>
      </c>
      <c r="DO202" s="198"/>
      <c r="DP202" s="198">
        <f t="shared" si="11"/>
        <v>9423.2999999999956</v>
      </c>
      <c r="DQ202" s="197"/>
      <c r="DR202" s="198"/>
      <c r="DS202" s="198"/>
      <c r="DT202" s="198"/>
      <c r="DU202" s="198"/>
      <c r="DV202" s="198"/>
      <c r="DW202" s="198"/>
      <c r="DX202" s="197">
        <v>54732.091489999999</v>
      </c>
      <c r="DY202" s="198"/>
      <c r="DZ202" s="198">
        <v>40088.834219999997</v>
      </c>
      <c r="EA202" s="198">
        <v>6988.2528300000004</v>
      </c>
      <c r="EB202" s="198">
        <v>6133.3973399999995</v>
      </c>
      <c r="EC202" s="198"/>
      <c r="ED202" s="198">
        <v>1521.6071100000001</v>
      </c>
      <c r="EE202" s="197"/>
      <c r="EF202" s="198"/>
      <c r="EG202" s="198"/>
      <c r="EH202" s="198"/>
      <c r="EI202" s="198"/>
      <c r="EJ202" s="198"/>
      <c r="EK202" s="199"/>
      <c r="EL202" s="197">
        <v>1013983.8203859999</v>
      </c>
      <c r="EM202" s="198">
        <v>322366.15675299999</v>
      </c>
      <c r="EN202" s="198">
        <v>31602.219845000003</v>
      </c>
      <c r="EO202" s="198">
        <v>116596.07892900001</v>
      </c>
      <c r="EP202" s="198">
        <v>129420.34612900001</v>
      </c>
      <c r="EQ202" s="198"/>
      <c r="ER202" s="199">
        <v>413930.51058200002</v>
      </c>
      <c r="ES202" s="197">
        <v>15922.8786</v>
      </c>
      <c r="ET202" s="198">
        <v>1822.1638</v>
      </c>
      <c r="EU202" s="198">
        <v>3886.1765</v>
      </c>
      <c r="EV202" s="198">
        <v>1764.2864</v>
      </c>
      <c r="EW202" s="198">
        <v>4625.7196000000004</v>
      </c>
      <c r="EX202" s="198"/>
      <c r="EY202" s="199">
        <f t="shared" si="6"/>
        <v>3824.5322999999989</v>
      </c>
      <c r="EZ202" s="198">
        <v>12331</v>
      </c>
      <c r="FA202" s="198">
        <v>587</v>
      </c>
      <c r="FB202" s="198">
        <v>3173</v>
      </c>
      <c r="FC202" s="198">
        <v>3344</v>
      </c>
      <c r="FD202" s="198">
        <v>2660</v>
      </c>
      <c r="FE202" s="198">
        <v>22</v>
      </c>
      <c r="FF202" s="198">
        <f t="shared" si="8"/>
        <v>2567</v>
      </c>
      <c r="FG202" s="197"/>
      <c r="FH202" s="198"/>
      <c r="FI202" s="198"/>
      <c r="FJ202" s="198"/>
      <c r="FK202" s="198"/>
      <c r="FL202" s="198"/>
      <c r="FM202" s="198"/>
      <c r="FN202" s="197">
        <v>36776.495000000003</v>
      </c>
      <c r="FO202" s="198">
        <v>10426.68</v>
      </c>
      <c r="FP202" s="198">
        <v>4767.6859999999997</v>
      </c>
      <c r="FQ202" s="198">
        <v>4880.53</v>
      </c>
      <c r="FR202" s="198">
        <v>4436.8779999999997</v>
      </c>
      <c r="FS202" s="198"/>
      <c r="FT202" s="199">
        <f t="shared" si="7"/>
        <v>12264.721000000001</v>
      </c>
      <c r="FU202" s="197"/>
      <c r="FV202" s="198"/>
      <c r="FW202" s="198"/>
      <c r="FX202" s="198"/>
      <c r="FY202" s="198"/>
      <c r="FZ202" s="198"/>
      <c r="GA202" s="199"/>
      <c r="GB202" s="197"/>
      <c r="GC202" s="198"/>
      <c r="GD202" s="198"/>
      <c r="GE202" s="198"/>
      <c r="GF202" s="198"/>
      <c r="GG202" s="198"/>
      <c r="GH202" s="199"/>
      <c r="GI202" s="197"/>
      <c r="GJ202" s="198"/>
      <c r="GK202" s="198"/>
      <c r="GL202" s="198"/>
      <c r="GM202" s="198"/>
      <c r="GN202" s="198"/>
      <c r="GO202" s="199"/>
      <c r="GP202" s="197"/>
      <c r="GQ202" s="198"/>
      <c r="GR202" s="198"/>
      <c r="GS202" s="198"/>
      <c r="GT202" s="198"/>
      <c r="GU202" s="198"/>
      <c r="GV202" s="199"/>
      <c r="GW202" s="197"/>
      <c r="GX202" s="198"/>
      <c r="GY202" s="198"/>
      <c r="GZ202" s="198"/>
      <c r="HA202" s="198"/>
      <c r="HB202" s="198"/>
      <c r="HC202" s="199"/>
      <c r="HD202" s="197"/>
      <c r="HE202" s="198"/>
      <c r="HF202" s="198"/>
      <c r="HG202" s="198"/>
      <c r="HH202" s="198"/>
      <c r="HI202" s="198"/>
      <c r="HJ202" s="199"/>
      <c r="HK202" s="197"/>
      <c r="HL202" s="198"/>
      <c r="HM202" s="198"/>
      <c r="HN202" s="198"/>
      <c r="HO202" s="198"/>
      <c r="HP202" s="198"/>
      <c r="HQ202" s="198"/>
      <c r="HR202" s="197">
        <v>14454.736000000001</v>
      </c>
      <c r="HT202" s="198">
        <v>10157.348</v>
      </c>
      <c r="HU202" s="198">
        <v>534.03700000000003</v>
      </c>
      <c r="HV202" s="198">
        <v>1838.7180000000001</v>
      </c>
      <c r="HW202" s="198">
        <v>324.09199999999998</v>
      </c>
      <c r="HX202" s="198">
        <v>1600.5409999999999</v>
      </c>
    </row>
    <row r="203" spans="1:233">
      <c r="A203" s="185" t="s">
        <v>494</v>
      </c>
      <c r="B203" s="197">
        <v>1893.905</v>
      </c>
      <c r="C203" s="198">
        <v>61.984999999999999</v>
      </c>
      <c r="D203" s="198">
        <v>353.697</v>
      </c>
      <c r="E203" s="198">
        <v>479.27600000000001</v>
      </c>
      <c r="F203" s="198">
        <v>314.25299999999999</v>
      </c>
      <c r="G203" s="198"/>
      <c r="H203" s="199">
        <v>684.69399999999996</v>
      </c>
      <c r="I203" s="197">
        <v>65004.6</v>
      </c>
      <c r="J203" s="198"/>
      <c r="K203" s="198"/>
      <c r="L203" s="198">
        <v>8947.7000000000007</v>
      </c>
      <c r="M203" s="198">
        <v>2756.4</v>
      </c>
      <c r="N203" s="198"/>
      <c r="O203" s="199">
        <f>[3]arg!$G69</f>
        <v>24970.699999999997</v>
      </c>
      <c r="P203" s="198">
        <v>4632.4840000000004</v>
      </c>
      <c r="Q203" s="198">
        <v>75.947000000000003</v>
      </c>
      <c r="R203" s="198">
        <v>414.00499999999994</v>
      </c>
      <c r="S203" s="198">
        <v>245.584</v>
      </c>
      <c r="T203" s="198">
        <v>2949.8760000000002</v>
      </c>
      <c r="U203" s="198"/>
      <c r="V203" s="199">
        <f t="shared" si="10"/>
        <v>947.07200000000012</v>
      </c>
      <c r="W203" s="198">
        <v>2974.2649999999999</v>
      </c>
      <c r="X203" s="198">
        <v>92.685000000000002</v>
      </c>
      <c r="Y203" s="198">
        <v>663.31100000000004</v>
      </c>
      <c r="Z203" s="198">
        <v>235.32900000000001</v>
      </c>
      <c r="AA203" s="198">
        <v>1286.864</v>
      </c>
      <c r="AB203" s="198"/>
      <c r="AC203" s="199">
        <f t="shared" si="3"/>
        <v>696.07599999999979</v>
      </c>
      <c r="AD203" s="198">
        <f>[1]datos!$S335</f>
        <v>1467.98</v>
      </c>
      <c r="AE203" s="198">
        <v>11.592000000000001</v>
      </c>
      <c r="AF203" s="198">
        <v>244.37200000000001</v>
      </c>
      <c r="AG203" s="198">
        <v>355.47200000000004</v>
      </c>
      <c r="AH203" s="198">
        <v>207.464</v>
      </c>
      <c r="AI203" s="198">
        <f>[1]datos!$U335</f>
        <v>325.21300000000002</v>
      </c>
      <c r="AJ203" s="198">
        <f t="shared" si="12"/>
        <v>323.8669999999999</v>
      </c>
      <c r="AK203" s="197">
        <v>25538.154500000001</v>
      </c>
      <c r="AL203" s="198"/>
      <c r="AM203" s="198">
        <v>15538.026050000002</v>
      </c>
      <c r="AN203" s="198">
        <v>5354.5182500000001</v>
      </c>
      <c r="AO203" s="198">
        <v>1424.96075</v>
      </c>
      <c r="AP203" s="198">
        <v>3220.6494499999999</v>
      </c>
      <c r="AQ203" s="199"/>
      <c r="AR203" s="198">
        <v>452933.23724605999</v>
      </c>
      <c r="AS203" s="198">
        <v>120644.76854423</v>
      </c>
      <c r="AT203" s="198">
        <v>48796.649938179995</v>
      </c>
      <c r="AU203" s="198">
        <v>25239.781186150001</v>
      </c>
      <c r="AV203" s="198">
        <v>112410.09940716</v>
      </c>
      <c r="AW203" s="198"/>
      <c r="AX203" s="198">
        <v>145841.93817034003</v>
      </c>
      <c r="AY203" s="197">
        <v>35627674.935800001</v>
      </c>
      <c r="AZ203" s="198"/>
      <c r="BA203" s="198">
        <v>24956852.653700002</v>
      </c>
      <c r="BB203" s="198">
        <v>6767983.4402999999</v>
      </c>
      <c r="BC203" s="198">
        <v>3902838.8412000001</v>
      </c>
      <c r="BD203" s="198"/>
      <c r="BE203" s="198"/>
      <c r="BF203" s="197">
        <v>58889935.280000009</v>
      </c>
      <c r="BG203" s="198"/>
      <c r="BH203" s="198">
        <v>38116868.100000001</v>
      </c>
      <c r="BI203" s="198">
        <v>9010366.8600000013</v>
      </c>
      <c r="BJ203" s="198">
        <v>11143667.07</v>
      </c>
      <c r="BK203" s="198">
        <v>619033.25</v>
      </c>
      <c r="BL203" s="198"/>
      <c r="BM203" s="197">
        <v>2458537.5410000002</v>
      </c>
      <c r="BN203" s="198">
        <v>200683.27600000001</v>
      </c>
      <c r="BO203" s="198">
        <v>345384.57900000003</v>
      </c>
      <c r="BP203" s="198">
        <v>556953.23199999996</v>
      </c>
      <c r="BQ203" s="198">
        <v>711529.28799999994</v>
      </c>
      <c r="BR203" s="198"/>
      <c r="BS203" s="198">
        <f t="shared" si="2"/>
        <v>643987.16600000043</v>
      </c>
      <c r="BT203" s="197"/>
      <c r="BU203" s="198"/>
      <c r="BV203" s="198"/>
      <c r="BW203" s="198"/>
      <c r="BX203" s="198"/>
      <c r="BY203" s="198"/>
      <c r="BZ203" s="198"/>
      <c r="CA203" s="197">
        <v>481.233</v>
      </c>
      <c r="CB203" s="198">
        <v>21.96</v>
      </c>
      <c r="CC203" s="198">
        <v>93.605999999999995</v>
      </c>
      <c r="CD203" s="198">
        <v>174.29599999999999</v>
      </c>
      <c r="CE203" s="198">
        <v>70.063000000000002</v>
      </c>
      <c r="CF203" s="198"/>
      <c r="CG203" s="198">
        <f>CA203-CB203-CC203-CD203-CE203</f>
        <v>121.30800000000004</v>
      </c>
      <c r="CH203" s="197"/>
      <c r="CI203" s="198"/>
      <c r="CJ203" s="198">
        <v>2957014.8292600005</v>
      </c>
      <c r="CK203" s="198"/>
      <c r="CL203" s="198">
        <v>1325762.8256600001</v>
      </c>
      <c r="CM203" s="198">
        <v>225709</v>
      </c>
      <c r="CN203" s="198"/>
      <c r="CO203" s="197">
        <v>6322.5530499999995</v>
      </c>
      <c r="CP203" s="198">
        <v>694.06016</v>
      </c>
      <c r="CQ203" s="198">
        <v>1168.07509</v>
      </c>
      <c r="CR203" s="198">
        <v>1425.46902</v>
      </c>
      <c r="CS203" s="198">
        <v>986.89561000000003</v>
      </c>
      <c r="CT203" s="198"/>
      <c r="CU203" s="198">
        <v>2048.0531700000001</v>
      </c>
      <c r="CV203" s="197">
        <v>1157.008</v>
      </c>
      <c r="CW203" s="198">
        <v>33.729999999999997</v>
      </c>
      <c r="CX203" s="198">
        <v>164.208</v>
      </c>
      <c r="CY203" s="198">
        <v>365.76</v>
      </c>
      <c r="CZ203" s="198">
        <v>302.69499999999999</v>
      </c>
      <c r="DA203" s="198"/>
      <c r="DB203" s="198">
        <f>CV203-CW203-CX203-CY203-CZ203</f>
        <v>290.61500000000007</v>
      </c>
      <c r="DC203" s="197"/>
      <c r="DD203" s="198"/>
      <c r="DE203" s="198"/>
      <c r="DF203" s="198"/>
      <c r="DG203" s="198"/>
      <c r="DH203" s="198"/>
      <c r="DI203" s="198"/>
      <c r="DJ203" s="197">
        <f>2274.9+34934.4</f>
        <v>37209.300000000003</v>
      </c>
      <c r="DK203" s="198">
        <f>2050.7+8976.9</f>
        <v>11027.599999999999</v>
      </c>
      <c r="DL203" s="198">
        <f>1641.7+8168.5</f>
        <v>9810.2000000000007</v>
      </c>
      <c r="DM203" s="198">
        <v>2488.6</v>
      </c>
      <c r="DN203" s="198">
        <f>7204.9-DM203</f>
        <v>4716.2999999999993</v>
      </c>
      <c r="DO203" s="198"/>
      <c r="DP203" s="198">
        <f t="shared" si="11"/>
        <v>9166.6000000000058</v>
      </c>
      <c r="DQ203" s="197"/>
      <c r="DR203" s="198"/>
      <c r="DS203" s="198"/>
      <c r="DT203" s="198"/>
      <c r="DU203" s="198"/>
      <c r="DV203" s="198"/>
      <c r="DW203" s="198"/>
      <c r="DX203" s="197">
        <v>54248.106189999999</v>
      </c>
      <c r="DY203" s="198"/>
      <c r="DZ203" s="198">
        <v>39429.757920000004</v>
      </c>
      <c r="EA203" s="198">
        <v>7383.6159699999998</v>
      </c>
      <c r="EB203" s="198">
        <v>5735.2779199999995</v>
      </c>
      <c r="EC203" s="198"/>
      <c r="ED203" s="198">
        <v>1699.4543999999999</v>
      </c>
      <c r="EE203" s="197"/>
      <c r="EF203" s="198"/>
      <c r="EG203" s="198"/>
      <c r="EH203" s="198"/>
      <c r="EI203" s="198"/>
      <c r="EJ203" s="198"/>
      <c r="EK203" s="199"/>
      <c r="EL203" s="197">
        <v>1016904.2664529998</v>
      </c>
      <c r="EM203" s="198">
        <v>326653.02962900006</v>
      </c>
      <c r="EN203" s="198">
        <v>31816.531742000003</v>
      </c>
      <c r="EO203" s="198">
        <v>118451.11513500001</v>
      </c>
      <c r="EP203" s="198">
        <v>133733.87908899997</v>
      </c>
      <c r="EQ203" s="198"/>
      <c r="ER203" s="199">
        <v>406136.011145</v>
      </c>
      <c r="ES203" s="197">
        <v>15805.522000000001</v>
      </c>
      <c r="ET203" s="198">
        <v>1791.7512999999999</v>
      </c>
      <c r="EU203" s="198">
        <v>3942.5160000000001</v>
      </c>
      <c r="EV203" s="198">
        <v>1814.6547</v>
      </c>
      <c r="EW203" s="198">
        <v>4709.2837</v>
      </c>
      <c r="EX203" s="198"/>
      <c r="EY203" s="199">
        <f t="shared" si="6"/>
        <v>3547.3163000000022</v>
      </c>
      <c r="EZ203" s="198">
        <v>12395</v>
      </c>
      <c r="FA203" s="198">
        <v>589</v>
      </c>
      <c r="FB203" s="198">
        <v>3204</v>
      </c>
      <c r="FC203" s="198">
        <v>3367</v>
      </c>
      <c r="FD203" s="198">
        <v>2676</v>
      </c>
      <c r="FE203" s="198">
        <v>22</v>
      </c>
      <c r="FF203" s="198">
        <f t="shared" si="8"/>
        <v>2559</v>
      </c>
      <c r="FG203" s="197"/>
      <c r="FH203" s="198"/>
      <c r="FI203" s="198"/>
      <c r="FJ203" s="198"/>
      <c r="FK203" s="198"/>
      <c r="FL203" s="198"/>
      <c r="FM203" s="198"/>
      <c r="FN203" s="197">
        <v>36992.347000000002</v>
      </c>
      <c r="FO203" s="198">
        <v>10403.203</v>
      </c>
      <c r="FP203" s="198">
        <v>4714.4219999999996</v>
      </c>
      <c r="FQ203" s="198">
        <v>4937.7479999999996</v>
      </c>
      <c r="FR203" s="198">
        <v>4503.6909999999998</v>
      </c>
      <c r="FS203" s="198"/>
      <c r="FT203" s="199">
        <f t="shared" si="7"/>
        <v>12433.283000000003</v>
      </c>
      <c r="FU203" s="197"/>
      <c r="FV203" s="198"/>
      <c r="FW203" s="198"/>
      <c r="FX203" s="198"/>
      <c r="FY203" s="198"/>
      <c r="FZ203" s="198"/>
      <c r="GA203" s="199"/>
      <c r="GB203" s="197">
        <v>1151.4659999999999</v>
      </c>
      <c r="GC203" s="198">
        <v>30.047999999999998</v>
      </c>
      <c r="GD203" s="198">
        <v>165.92400000000001</v>
      </c>
      <c r="GE203" s="198">
        <v>276.86500000000001</v>
      </c>
      <c r="GF203" s="198">
        <v>203.76599999999999</v>
      </c>
      <c r="GG203" s="198"/>
      <c r="GH203" s="199">
        <f>GB203-GC203-GD203-GE203-GF203</f>
        <v>474.86299999999994</v>
      </c>
      <c r="GI203" s="197">
        <v>801.072</v>
      </c>
      <c r="GJ203" s="198">
        <v>21.338000000000001</v>
      </c>
      <c r="GK203" s="198">
        <v>110.792</v>
      </c>
      <c r="GL203" s="198">
        <v>297.16000000000003</v>
      </c>
      <c r="GM203" s="198">
        <v>142.22</v>
      </c>
      <c r="GN203" s="198"/>
      <c r="GO203" s="199">
        <f>GI203-GJ203-GK203-GL203-GM203</f>
        <v>229.56199999999998</v>
      </c>
      <c r="GP203" s="197">
        <v>1706.8620000000001</v>
      </c>
      <c r="GQ203" s="198">
        <v>48.652999999999999</v>
      </c>
      <c r="GR203" s="198">
        <v>394.22300000000001</v>
      </c>
      <c r="GS203" s="198">
        <v>360.34399999999999</v>
      </c>
      <c r="GT203" s="198">
        <v>455.01299999999998</v>
      </c>
      <c r="GU203" s="198"/>
      <c r="GV203" s="199">
        <f>GP203-GQ203-GR203-GS203-GT203</f>
        <v>448.62900000000008</v>
      </c>
      <c r="GW203" s="197"/>
      <c r="GX203" s="198"/>
      <c r="GY203" s="198"/>
      <c r="GZ203" s="198"/>
      <c r="HA203" s="198"/>
      <c r="HB203" s="198"/>
      <c r="HC203" s="199"/>
      <c r="HD203" s="197">
        <f>'[2]t&amp;t'!W335</f>
        <v>18667.300000000003</v>
      </c>
      <c r="HE203" s="198">
        <f>'[2]t&amp;t'!X335</f>
        <v>1560.5</v>
      </c>
      <c r="HF203" s="198">
        <f>'[2]t&amp;t'!Y335</f>
        <v>1314.5</v>
      </c>
      <c r="HG203" s="198">
        <f>'[2]t&amp;t'!Z335</f>
        <v>1857.6</v>
      </c>
      <c r="HH203" s="198">
        <f>'[2]t&amp;t'!AA335</f>
        <v>6149</v>
      </c>
      <c r="HI203" s="198"/>
      <c r="HJ203" s="199">
        <f>'[2]t&amp;t'!AC335</f>
        <v>7785.7000000000007</v>
      </c>
      <c r="HK203" s="197"/>
      <c r="HL203" s="198"/>
      <c r="HM203" s="198"/>
      <c r="HN203" s="198"/>
      <c r="HO203" s="198"/>
      <c r="HP203" s="198"/>
      <c r="HQ203" s="198"/>
      <c r="HR203" s="197">
        <v>15301.86</v>
      </c>
      <c r="HT203" s="198">
        <v>10640.173000000001</v>
      </c>
      <c r="HU203" s="198">
        <v>544.14099999999996</v>
      </c>
      <c r="HV203" s="198">
        <v>1930.279</v>
      </c>
      <c r="HW203" s="198">
        <v>385.37799999999999</v>
      </c>
      <c r="HX203" s="198">
        <v>1801.8889999999999</v>
      </c>
    </row>
    <row r="204" spans="1:233">
      <c r="A204" s="185" t="s">
        <v>495</v>
      </c>
      <c r="B204" s="197"/>
      <c r="C204" s="198"/>
      <c r="D204" s="198"/>
      <c r="E204" s="198"/>
      <c r="F204" s="198"/>
      <c r="G204" s="198"/>
      <c r="H204" s="199"/>
      <c r="I204" s="197">
        <v>65694.399999999994</v>
      </c>
      <c r="J204" s="198"/>
      <c r="K204" s="198"/>
      <c r="L204" s="198">
        <v>8964.2000000000007</v>
      </c>
      <c r="M204" s="198">
        <v>2928.2</v>
      </c>
      <c r="N204" s="198"/>
      <c r="O204" s="199">
        <f>[3]arg!$G70</f>
        <v>25510.400000000001</v>
      </c>
      <c r="P204" s="198">
        <v>4618.951</v>
      </c>
      <c r="Q204" s="198">
        <v>89.299000000000007</v>
      </c>
      <c r="R204" s="198">
        <v>411.66200000000003</v>
      </c>
      <c r="S204" s="198">
        <v>251.27799999999999</v>
      </c>
      <c r="T204" s="198">
        <v>2988.643</v>
      </c>
      <c r="U204" s="198"/>
      <c r="V204" s="199">
        <f t="shared" si="10"/>
        <v>878.06899999999996</v>
      </c>
      <c r="W204" s="198">
        <v>2962.9189999999999</v>
      </c>
      <c r="X204" s="198">
        <v>94.635999999999996</v>
      </c>
      <c r="Y204" s="198">
        <v>650.60900000000004</v>
      </c>
      <c r="Z204" s="198">
        <v>236.66399999999999</v>
      </c>
      <c r="AA204" s="198">
        <v>1300.1020000000001</v>
      </c>
      <c r="AB204" s="198"/>
      <c r="AC204" s="199">
        <f t="shared" si="3"/>
        <v>680.9079999999999</v>
      </c>
      <c r="AD204" s="198">
        <f>[1]datos!$S336</f>
        <v>1482.3330000000001</v>
      </c>
      <c r="AE204" s="198">
        <v>11.404999999999999</v>
      </c>
      <c r="AF204" s="198">
        <v>248.804</v>
      </c>
      <c r="AG204" s="198">
        <v>372.05399999999997</v>
      </c>
      <c r="AH204" s="198">
        <v>202.172</v>
      </c>
      <c r="AI204" s="198">
        <f>[1]datos!$U336</f>
        <v>324.12200000000001</v>
      </c>
      <c r="AJ204" s="198">
        <f t="shared" si="12"/>
        <v>323.77600000000001</v>
      </c>
      <c r="AK204" s="197"/>
      <c r="AL204" s="198"/>
      <c r="AM204" s="198"/>
      <c r="AN204" s="198"/>
      <c r="AO204" s="198"/>
      <c r="AP204" s="198"/>
      <c r="AQ204" s="199"/>
      <c r="AR204" s="198">
        <v>457302.01511043997</v>
      </c>
      <c r="AS204" s="198">
        <v>121777.15648359001</v>
      </c>
      <c r="AT204" s="198">
        <v>49144.035189669994</v>
      </c>
      <c r="AU204" s="198">
        <v>25418.920274459993</v>
      </c>
      <c r="AV204" s="198">
        <v>115329.55975829999</v>
      </c>
      <c r="AW204" s="198"/>
      <c r="AX204" s="198">
        <v>145632.34340441998</v>
      </c>
      <c r="AY204" s="197">
        <v>36025061.872400001</v>
      </c>
      <c r="AZ204" s="198"/>
      <c r="BA204" s="198">
        <v>25102110.044799998</v>
      </c>
      <c r="BB204" s="198">
        <v>6967014.9620000003</v>
      </c>
      <c r="BC204" s="198">
        <v>3955936.8648999999</v>
      </c>
      <c r="BD204" s="198"/>
      <c r="BE204" s="198"/>
      <c r="BF204" s="197">
        <v>59873130.020000011</v>
      </c>
      <c r="BG204" s="198"/>
      <c r="BH204" s="198">
        <v>38846722.870000012</v>
      </c>
      <c r="BI204" s="198">
        <v>8987873.0700000003</v>
      </c>
      <c r="BJ204" s="198">
        <v>11398802.329999998</v>
      </c>
      <c r="BK204" s="198">
        <v>639731.75</v>
      </c>
      <c r="BL204" s="198"/>
      <c r="BM204" s="197">
        <v>2487325.2960000001</v>
      </c>
      <c r="BN204" s="198">
        <v>197799.00399999999</v>
      </c>
      <c r="BO204" s="198">
        <v>351316.897</v>
      </c>
      <c r="BP204" s="198">
        <v>568132.25600000005</v>
      </c>
      <c r="BQ204" s="198">
        <v>696765.84</v>
      </c>
      <c r="BR204" s="198"/>
      <c r="BS204" s="198">
        <f t="shared" si="2"/>
        <v>673311.29900000012</v>
      </c>
      <c r="BT204" s="197"/>
      <c r="BU204" s="198"/>
      <c r="BV204" s="198"/>
      <c r="BW204" s="198"/>
      <c r="BX204" s="198"/>
      <c r="BY204" s="198"/>
      <c r="BZ204" s="198"/>
      <c r="CA204" s="197"/>
      <c r="CB204" s="198"/>
      <c r="CC204" s="198"/>
      <c r="CD204" s="198"/>
      <c r="CE204" s="198"/>
      <c r="CF204" s="198"/>
      <c r="CG204" s="198"/>
      <c r="CH204" s="197"/>
      <c r="CI204" s="198"/>
      <c r="CJ204" s="198">
        <v>2997728.7169000003</v>
      </c>
      <c r="CK204" s="198"/>
      <c r="CL204" s="198">
        <v>1387320.07629</v>
      </c>
      <c r="CM204" s="198">
        <v>243477</v>
      </c>
      <c r="CN204" s="198"/>
      <c r="CO204" s="197">
        <v>6281.9367999999995</v>
      </c>
      <c r="CP204" s="198">
        <v>676.19084999999995</v>
      </c>
      <c r="CQ204" s="198">
        <v>1156.60697</v>
      </c>
      <c r="CR204" s="198">
        <v>1442.3300300000001</v>
      </c>
      <c r="CS204" s="198">
        <v>1016.33314</v>
      </c>
      <c r="CT204" s="198"/>
      <c r="CU204" s="198">
        <v>1990.4758100000006</v>
      </c>
      <c r="CV204" s="197"/>
      <c r="CW204" s="198"/>
      <c r="CX204" s="198"/>
      <c r="CY204" s="198"/>
      <c r="CZ204" s="198"/>
      <c r="DA204" s="198"/>
      <c r="DB204" s="198"/>
      <c r="DC204" s="197"/>
      <c r="DD204" s="198"/>
      <c r="DE204" s="198"/>
      <c r="DF204" s="198"/>
      <c r="DG204" s="198"/>
      <c r="DH204" s="198"/>
      <c r="DI204" s="198"/>
      <c r="DJ204" s="197">
        <f>2398.3+35536.8</f>
        <v>37935.100000000006</v>
      </c>
      <c r="DK204" s="198">
        <f>2071.2+9106.1</f>
        <v>11177.3</v>
      </c>
      <c r="DL204" s="198">
        <f>1775.7+8329.5</f>
        <v>10105.200000000001</v>
      </c>
      <c r="DM204" s="198">
        <v>2540.6</v>
      </c>
      <c r="DN204" s="198">
        <f>7460.6-DM204</f>
        <v>4920</v>
      </c>
      <c r="DO204" s="198"/>
      <c r="DP204" s="198">
        <f t="shared" si="11"/>
        <v>9192.0000000000073</v>
      </c>
      <c r="DQ204" s="197"/>
      <c r="DR204" s="198"/>
      <c r="DS204" s="198"/>
      <c r="DT204" s="198"/>
      <c r="DU204" s="198"/>
      <c r="DV204" s="198"/>
      <c r="DW204" s="198"/>
      <c r="DX204" s="197">
        <v>54773.77046</v>
      </c>
      <c r="DY204" s="198"/>
      <c r="DZ204" s="198">
        <v>39739.854899999998</v>
      </c>
      <c r="EA204" s="198">
        <v>7535.5370300000004</v>
      </c>
      <c r="EB204" s="198">
        <v>5968.2047599999996</v>
      </c>
      <c r="EC204" s="198"/>
      <c r="ED204" s="198">
        <v>1530.1737499999999</v>
      </c>
      <c r="EE204" s="197"/>
      <c r="EF204" s="198"/>
      <c r="EG204" s="198"/>
      <c r="EH204" s="198"/>
      <c r="EI204" s="198"/>
      <c r="EJ204" s="198"/>
      <c r="EK204" s="199"/>
      <c r="EL204" s="197">
        <v>1020720.2569830001</v>
      </c>
      <c r="EM204" s="198">
        <v>326759.64357700007</v>
      </c>
      <c r="EN204" s="198">
        <v>32264.263046</v>
      </c>
      <c r="EO204" s="198">
        <v>119392.16631600002</v>
      </c>
      <c r="EP204" s="198">
        <v>137841.139142</v>
      </c>
      <c r="EQ204" s="198"/>
      <c r="ER204" s="199">
        <v>404369.79903599992</v>
      </c>
      <c r="ES204" s="197">
        <v>16044.974099999999</v>
      </c>
      <c r="ET204" s="198">
        <v>1786.0313000000001</v>
      </c>
      <c r="EU204" s="198">
        <v>4050.3733000000002</v>
      </c>
      <c r="EV204" s="198">
        <v>1870.6590000000001</v>
      </c>
      <c r="EW204" s="198">
        <v>4848.4022999999997</v>
      </c>
      <c r="EX204" s="198"/>
      <c r="EY204" s="199">
        <f t="shared" si="6"/>
        <v>3489.5081999999984</v>
      </c>
      <c r="EZ204" s="198">
        <v>12666</v>
      </c>
      <c r="FA204" s="198">
        <v>594</v>
      </c>
      <c r="FB204" s="198">
        <v>3288</v>
      </c>
      <c r="FC204" s="198">
        <v>3380</v>
      </c>
      <c r="FD204" s="198">
        <v>2704</v>
      </c>
      <c r="FE204" s="198">
        <v>20</v>
      </c>
      <c r="FF204" s="198">
        <f t="shared" si="8"/>
        <v>2700</v>
      </c>
      <c r="FG204" s="197"/>
      <c r="FH204" s="198"/>
      <c r="FI204" s="198"/>
      <c r="FJ204" s="198"/>
      <c r="FK204" s="198"/>
      <c r="FL204" s="198"/>
      <c r="FM204" s="198"/>
      <c r="FN204" s="197">
        <v>36798.014999999999</v>
      </c>
      <c r="FO204" s="198">
        <v>10485.114</v>
      </c>
      <c r="FP204" s="198">
        <v>4770.1270000000004</v>
      </c>
      <c r="FQ204" s="198">
        <v>4928.3649999999998</v>
      </c>
      <c r="FR204" s="198">
        <v>4495.2910000000002</v>
      </c>
      <c r="FS204" s="198"/>
      <c r="FT204" s="199">
        <f t="shared" si="7"/>
        <v>12119.117999999999</v>
      </c>
      <c r="FU204" s="197"/>
      <c r="FV204" s="198"/>
      <c r="FW204" s="198"/>
      <c r="FX204" s="198"/>
      <c r="FY204" s="198"/>
      <c r="FZ204" s="198"/>
      <c r="GA204" s="199"/>
      <c r="GB204" s="197"/>
      <c r="GC204" s="198"/>
      <c r="GD204" s="198"/>
      <c r="GE204" s="198"/>
      <c r="GF204" s="198"/>
      <c r="GG204" s="198"/>
      <c r="GH204" s="199"/>
      <c r="GI204" s="197"/>
      <c r="GJ204" s="198"/>
      <c r="GK204" s="198"/>
      <c r="GL204" s="198"/>
      <c r="GM204" s="198"/>
      <c r="GN204" s="198"/>
      <c r="GO204" s="199"/>
      <c r="GP204" s="197"/>
      <c r="GQ204" s="198"/>
      <c r="GR204" s="198"/>
      <c r="GS204" s="198"/>
      <c r="GT204" s="198"/>
      <c r="GU204" s="198"/>
      <c r="GV204" s="199"/>
      <c r="GW204" s="197"/>
      <c r="GX204" s="198"/>
      <c r="GY204" s="198"/>
      <c r="GZ204" s="198"/>
      <c r="HA204" s="198"/>
      <c r="HB204" s="198"/>
      <c r="HC204" s="199"/>
      <c r="HD204" s="197"/>
      <c r="HE204" s="198"/>
      <c r="HF204" s="198"/>
      <c r="HG204" s="198"/>
      <c r="HH204" s="198"/>
      <c r="HI204" s="198"/>
      <c r="HJ204" s="199"/>
      <c r="HK204" s="197"/>
      <c r="HL204" s="198"/>
      <c r="HM204" s="198"/>
      <c r="HN204" s="198"/>
      <c r="HO204" s="198"/>
      <c r="HP204" s="198"/>
      <c r="HQ204" s="198"/>
      <c r="HR204" s="197">
        <v>15870.361000000001</v>
      </c>
      <c r="HT204" s="198">
        <v>11013.745000000001</v>
      </c>
      <c r="HU204" s="198">
        <v>548.92100000000005</v>
      </c>
      <c r="HV204" s="198">
        <v>1998.62</v>
      </c>
      <c r="HW204" s="198">
        <v>426.58199999999999</v>
      </c>
      <c r="HX204" s="198">
        <v>1882.4929999999999</v>
      </c>
    </row>
    <row r="205" spans="1:233">
      <c r="A205" s="185" t="s">
        <v>496</v>
      </c>
      <c r="B205" s="197"/>
      <c r="C205" s="198"/>
      <c r="D205" s="198"/>
      <c r="E205" s="198"/>
      <c r="F205" s="198"/>
      <c r="G205" s="198"/>
      <c r="H205" s="199"/>
      <c r="I205" s="197">
        <v>66844.2</v>
      </c>
      <c r="J205" s="198"/>
      <c r="K205" s="198"/>
      <c r="L205" s="198">
        <v>8922</v>
      </c>
      <c r="M205" s="198">
        <v>3154.5</v>
      </c>
      <c r="N205" s="198"/>
      <c r="O205" s="199">
        <f>[3]arg!$G71</f>
        <v>26045.800000000003</v>
      </c>
      <c r="P205" s="198">
        <v>4678.1149999999998</v>
      </c>
      <c r="Q205" s="198">
        <v>95.632999999999996</v>
      </c>
      <c r="R205" s="198">
        <v>401.00700000000001</v>
      </c>
      <c r="S205" s="198">
        <v>251.548</v>
      </c>
      <c r="T205" s="198">
        <v>3030.2640000000001</v>
      </c>
      <c r="U205" s="198"/>
      <c r="V205" s="199">
        <f t="shared" si="10"/>
        <v>899.66300000000047</v>
      </c>
      <c r="W205" s="198">
        <v>3016.1439999999998</v>
      </c>
      <c r="X205" s="198">
        <v>97.024000000000001</v>
      </c>
      <c r="Y205" s="198">
        <v>644.49099999999999</v>
      </c>
      <c r="Z205" s="198">
        <v>240.56</v>
      </c>
      <c r="AA205" s="198">
        <v>1328.3440000000001</v>
      </c>
      <c r="AB205" s="198"/>
      <c r="AC205" s="199">
        <f t="shared" si="3"/>
        <v>705.72499999999991</v>
      </c>
      <c r="AD205" s="198">
        <f>[1]datos!$S337</f>
        <v>1505.68</v>
      </c>
      <c r="AE205" s="198">
        <v>15.257999999999999</v>
      </c>
      <c r="AF205" s="198">
        <v>253.578</v>
      </c>
      <c r="AG205" s="198">
        <v>377.93700000000001</v>
      </c>
      <c r="AH205" s="198">
        <v>200.74299999999999</v>
      </c>
      <c r="AI205" s="198">
        <f>[1]datos!$U337</f>
        <v>328.44400000000002</v>
      </c>
      <c r="AJ205" s="198">
        <f t="shared" si="12"/>
        <v>329.71999999999997</v>
      </c>
      <c r="AK205" s="197"/>
      <c r="AL205" s="198"/>
      <c r="AM205" s="198"/>
      <c r="AN205" s="198"/>
      <c r="AO205" s="198"/>
      <c r="AP205" s="198"/>
      <c r="AQ205" s="199"/>
      <c r="AR205" s="198">
        <v>464457.44880188</v>
      </c>
      <c r="AS205" s="198">
        <v>121545.20549589998</v>
      </c>
      <c r="AT205" s="198">
        <v>51094.378223690001</v>
      </c>
      <c r="AU205" s="198">
        <v>25494.547104060002</v>
      </c>
      <c r="AV205" s="198">
        <v>118999.11129653001</v>
      </c>
      <c r="AW205" s="198"/>
      <c r="AX205" s="198">
        <v>147324.20668170002</v>
      </c>
      <c r="AY205" s="197">
        <v>36521790.126900002</v>
      </c>
      <c r="AZ205" s="198"/>
      <c r="BA205" s="198">
        <v>25421708.1305</v>
      </c>
      <c r="BB205" s="198">
        <v>7060915.3806999996</v>
      </c>
      <c r="BC205" s="198">
        <v>4039166.6148999999</v>
      </c>
      <c r="BD205" s="198"/>
      <c r="BE205" s="198"/>
      <c r="BF205" s="197">
        <v>60416922.339999996</v>
      </c>
      <c r="BG205" s="198"/>
      <c r="BH205" s="198">
        <v>39345630.899999999</v>
      </c>
      <c r="BI205" s="198">
        <v>8755531.3199999984</v>
      </c>
      <c r="BJ205" s="198">
        <v>11650164.15</v>
      </c>
      <c r="BK205" s="198">
        <v>665595.97</v>
      </c>
      <c r="BL205" s="198"/>
      <c r="BM205" s="197">
        <v>2544460.1800000002</v>
      </c>
      <c r="BN205" s="198">
        <v>203438.52799999999</v>
      </c>
      <c r="BO205" s="198">
        <v>356901.94900000002</v>
      </c>
      <c r="BP205" s="198">
        <v>585805.15399999998</v>
      </c>
      <c r="BQ205" s="198">
        <v>711850.63199999998</v>
      </c>
      <c r="BR205" s="198"/>
      <c r="BS205" s="198">
        <f t="shared" si="2"/>
        <v>686463.91700000013</v>
      </c>
      <c r="BT205" s="197"/>
      <c r="BU205" s="198"/>
      <c r="BV205" s="198"/>
      <c r="BW205" s="198"/>
      <c r="BX205" s="198"/>
      <c r="BY205" s="198"/>
      <c r="BZ205" s="198"/>
      <c r="CA205" s="197"/>
      <c r="CB205" s="198"/>
      <c r="CC205" s="198"/>
      <c r="CD205" s="198"/>
      <c r="CE205" s="198"/>
      <c r="CF205" s="198"/>
      <c r="CG205" s="198"/>
      <c r="CH205" s="197"/>
      <c r="CI205" s="198"/>
      <c r="CJ205" s="198">
        <v>3050001.1007900005</v>
      </c>
      <c r="CK205" s="198"/>
      <c r="CL205" s="198">
        <v>1432162.7179199997</v>
      </c>
      <c r="CM205" s="198">
        <v>256676</v>
      </c>
      <c r="CN205" s="198"/>
      <c r="CO205" s="197">
        <v>6320.6424200000001</v>
      </c>
      <c r="CP205" s="198">
        <v>672.35016000000007</v>
      </c>
      <c r="CQ205" s="198">
        <v>1159.6662200000001</v>
      </c>
      <c r="CR205" s="198">
        <v>1455.2384199999999</v>
      </c>
      <c r="CS205" s="198">
        <v>1047.99612</v>
      </c>
      <c r="CT205" s="198"/>
      <c r="CU205" s="198">
        <v>1985.3915</v>
      </c>
      <c r="CV205" s="197"/>
      <c r="CW205" s="198"/>
      <c r="CX205" s="198"/>
      <c r="CY205" s="198"/>
      <c r="CZ205" s="198"/>
      <c r="DA205" s="198"/>
      <c r="DB205" s="198"/>
      <c r="DC205" s="197"/>
      <c r="DD205" s="198"/>
      <c r="DE205" s="198"/>
      <c r="DF205" s="198"/>
      <c r="DG205" s="198"/>
      <c r="DH205" s="198"/>
      <c r="DI205" s="198"/>
      <c r="DJ205" s="197">
        <f>2170+34952</f>
        <v>37122</v>
      </c>
      <c r="DK205" s="198">
        <f>1757.7+8764.8</f>
        <v>10522.5</v>
      </c>
      <c r="DL205" s="198">
        <f>1820.6+7934.5</f>
        <v>9755.1</v>
      </c>
      <c r="DM205" s="198">
        <v>2538.1</v>
      </c>
      <c r="DN205" s="198">
        <f>7410-DM205</f>
        <v>4871.8999999999996</v>
      </c>
      <c r="DO205" s="198"/>
      <c r="DP205" s="198">
        <f t="shared" si="11"/>
        <v>9434.4000000000015</v>
      </c>
      <c r="DQ205" s="197"/>
      <c r="DR205" s="198"/>
      <c r="DS205" s="198"/>
      <c r="DT205" s="198"/>
      <c r="DU205" s="198"/>
      <c r="DV205" s="198"/>
      <c r="DW205" s="198"/>
      <c r="DX205" s="197">
        <v>56360.169159999998</v>
      </c>
      <c r="DY205" s="198"/>
      <c r="DZ205" s="198">
        <v>41195.433779999999</v>
      </c>
      <c r="EA205" s="198">
        <v>7629.5282400000006</v>
      </c>
      <c r="EB205" s="198">
        <v>6064.4030999999995</v>
      </c>
      <c r="EC205" s="198"/>
      <c r="ED205" s="198">
        <v>1470.8040600000002</v>
      </c>
      <c r="EE205" s="198"/>
      <c r="EF205" s="198"/>
      <c r="EG205" s="198"/>
      <c r="EH205" s="198"/>
      <c r="EI205" s="198"/>
      <c r="EJ205" s="198"/>
      <c r="EK205" s="199"/>
      <c r="EL205" s="198">
        <v>1032733.9347330001</v>
      </c>
      <c r="EM205" s="198">
        <v>326210.89861400001</v>
      </c>
      <c r="EN205" s="198">
        <v>35704.456919999997</v>
      </c>
      <c r="EO205" s="198">
        <v>120278.19162199998</v>
      </c>
      <c r="EP205" s="198">
        <v>143385.03968499997</v>
      </c>
      <c r="EQ205" s="198"/>
      <c r="ER205" s="199">
        <v>407022.85514699999</v>
      </c>
      <c r="ES205" s="198">
        <v>16532.878499999999</v>
      </c>
      <c r="ET205" s="198">
        <v>1761.8217999999999</v>
      </c>
      <c r="EU205" s="198">
        <v>4149.5438000000004</v>
      </c>
      <c r="EV205" s="198">
        <v>1928.2927999999999</v>
      </c>
      <c r="EW205" s="198">
        <v>4956.7186999999994</v>
      </c>
      <c r="EX205" s="198"/>
      <c r="EY205" s="199">
        <f t="shared" si="6"/>
        <v>3736.5013999999992</v>
      </c>
      <c r="EZ205" s="198">
        <v>12855</v>
      </c>
      <c r="FA205" s="198">
        <v>601</v>
      </c>
      <c r="FB205" s="198">
        <v>3419</v>
      </c>
      <c r="FC205" s="198">
        <v>3414</v>
      </c>
      <c r="FD205" s="198">
        <v>2729</v>
      </c>
      <c r="FE205" s="198">
        <v>23</v>
      </c>
      <c r="FF205" s="198">
        <f t="shared" si="8"/>
        <v>2692</v>
      </c>
      <c r="FG205" s="197"/>
      <c r="FH205" s="198"/>
      <c r="FI205" s="198"/>
      <c r="FJ205" s="198"/>
      <c r="FK205" s="198"/>
      <c r="FL205" s="198"/>
      <c r="FM205" s="198"/>
      <c r="FN205" s="197">
        <v>36093.296999999999</v>
      </c>
      <c r="FO205" s="198">
        <v>10133.883</v>
      </c>
      <c r="FP205" s="198">
        <v>4696.5590000000002</v>
      </c>
      <c r="FQ205" s="198">
        <v>4916.9719999999998</v>
      </c>
      <c r="FR205" s="198">
        <v>4533.8230000000003</v>
      </c>
      <c r="FS205" s="198"/>
      <c r="FT205" s="199">
        <f t="shared" si="7"/>
        <v>11812.060000000001</v>
      </c>
      <c r="FU205" s="197"/>
      <c r="FV205" s="198"/>
      <c r="FW205" s="198"/>
      <c r="FX205" s="198"/>
      <c r="FY205" s="198"/>
      <c r="FZ205" s="198"/>
      <c r="GA205" s="199"/>
      <c r="GB205" s="197"/>
      <c r="GC205" s="198"/>
      <c r="GD205" s="198"/>
      <c r="GE205" s="198"/>
      <c r="GF205" s="198"/>
      <c r="GG205" s="198"/>
      <c r="GH205" s="199"/>
      <c r="GI205" s="197"/>
      <c r="GJ205" s="198"/>
      <c r="GK205" s="198"/>
      <c r="GL205" s="198"/>
      <c r="GM205" s="198"/>
      <c r="GN205" s="198"/>
      <c r="GO205" s="199"/>
      <c r="GP205" s="197"/>
      <c r="GQ205" s="198"/>
      <c r="GR205" s="198"/>
      <c r="GS205" s="198"/>
      <c r="GT205" s="198"/>
      <c r="GU205" s="198"/>
      <c r="GV205" s="199"/>
      <c r="GW205" s="197"/>
      <c r="GX205" s="198"/>
      <c r="GY205" s="198"/>
      <c r="GZ205" s="198"/>
      <c r="HA205" s="198"/>
      <c r="HB205" s="198"/>
      <c r="HC205" s="199"/>
      <c r="HD205" s="197"/>
      <c r="HE205" s="198"/>
      <c r="HF205" s="198"/>
      <c r="HG205" s="198"/>
      <c r="HH205" s="198"/>
      <c r="HI205" s="198"/>
      <c r="HJ205" s="199"/>
      <c r="HK205" s="197"/>
      <c r="HL205" s="198"/>
      <c r="HM205" s="198"/>
      <c r="HN205" s="198"/>
      <c r="HO205" s="198"/>
      <c r="HP205" s="198"/>
      <c r="HQ205" s="198"/>
      <c r="HR205" s="197">
        <v>16659.027999999998</v>
      </c>
      <c r="HT205" s="198">
        <v>11585.499</v>
      </c>
      <c r="HU205" s="198">
        <v>559.923</v>
      </c>
      <c r="HV205" s="198">
        <v>2104.5430000000001</v>
      </c>
      <c r="HW205" s="198">
        <v>453.05</v>
      </c>
      <c r="HX205" s="198">
        <v>1956.0129999999999</v>
      </c>
    </row>
    <row r="206" spans="1:233">
      <c r="A206" s="185" t="s">
        <v>497</v>
      </c>
      <c r="B206" s="197">
        <v>1915.8520000000001</v>
      </c>
      <c r="C206" s="198">
        <v>66.441000000000003</v>
      </c>
      <c r="D206" s="198">
        <v>343.94200000000001</v>
      </c>
      <c r="E206" s="198">
        <v>485.64100000000002</v>
      </c>
      <c r="F206" s="198">
        <v>329.91</v>
      </c>
      <c r="G206" s="198"/>
      <c r="H206" s="199">
        <v>689.91800000000001</v>
      </c>
      <c r="I206" s="197">
        <v>67514.2</v>
      </c>
      <c r="J206" s="198"/>
      <c r="K206" s="198"/>
      <c r="L206" s="198">
        <v>8904</v>
      </c>
      <c r="M206" s="198">
        <v>3493.8</v>
      </c>
      <c r="N206" s="198"/>
      <c r="O206" s="199">
        <f>[3]arg!$G72</f>
        <v>26523.399999999998</v>
      </c>
      <c r="P206" s="198">
        <v>4699.835</v>
      </c>
      <c r="Q206" s="198">
        <v>58.789000000000001</v>
      </c>
      <c r="R206" s="198">
        <v>412.13800000000003</v>
      </c>
      <c r="S206" s="198">
        <v>250.85599999999999</v>
      </c>
      <c r="T206" s="198">
        <v>3029.1210000000001</v>
      </c>
      <c r="U206" s="198"/>
      <c r="V206" s="199">
        <f t="shared" si="10"/>
        <v>948.93100000000049</v>
      </c>
      <c r="W206" s="198">
        <v>3081.953</v>
      </c>
      <c r="X206" s="198">
        <v>93.347999999999999</v>
      </c>
      <c r="Y206" s="198">
        <v>663.11799999999994</v>
      </c>
      <c r="Z206" s="198">
        <v>238.56200000000001</v>
      </c>
      <c r="AA206" s="198">
        <v>1343.9349999999999</v>
      </c>
      <c r="AB206" s="198"/>
      <c r="AC206" s="199">
        <f t="shared" si="3"/>
        <v>742.99000000000024</v>
      </c>
      <c r="AD206" s="198">
        <f>[1]datos!$S338</f>
        <v>1518.4479999999999</v>
      </c>
      <c r="AE206" s="198">
        <v>17.617000000000001</v>
      </c>
      <c r="AF206" s="198">
        <v>262.24099999999999</v>
      </c>
      <c r="AG206" s="198">
        <v>384.12200000000001</v>
      </c>
      <c r="AH206" s="198">
        <v>188.89</v>
      </c>
      <c r="AI206" s="198">
        <f>[1]datos!$U338</f>
        <v>328.57100000000003</v>
      </c>
      <c r="AJ206" s="198">
        <f t="shared" si="12"/>
        <v>337.00699999999983</v>
      </c>
      <c r="AK206" s="197">
        <v>25409.8838</v>
      </c>
      <c r="AL206" s="198"/>
      <c r="AM206" s="198">
        <v>15194.995550000001</v>
      </c>
      <c r="AN206" s="198">
        <v>5422.3931999999995</v>
      </c>
      <c r="AO206" s="198">
        <v>1489.7211000000002</v>
      </c>
      <c r="AP206" s="198">
        <v>3301.9756000000002</v>
      </c>
      <c r="AQ206" s="199"/>
      <c r="AR206" s="198">
        <v>473707.31952394999</v>
      </c>
      <c r="AS206" s="198">
        <v>122258.18571853997</v>
      </c>
      <c r="AT206" s="198">
        <v>52780.546851619998</v>
      </c>
      <c r="AU206" s="198">
        <v>25434.48784269</v>
      </c>
      <c r="AV206" s="198">
        <v>122162.32650628001</v>
      </c>
      <c r="AW206" s="198"/>
      <c r="AX206" s="198">
        <v>151071.77260481997</v>
      </c>
      <c r="AY206" s="197">
        <v>36664698.867200002</v>
      </c>
      <c r="AZ206" s="198"/>
      <c r="BA206" s="198">
        <v>25291195.8213</v>
      </c>
      <c r="BB206" s="198">
        <v>7237244.5574000003</v>
      </c>
      <c r="BC206" s="198">
        <v>4136258.4878999996</v>
      </c>
      <c r="BD206" s="198"/>
      <c r="BE206" s="198"/>
      <c r="BF206" s="197">
        <v>61230863.179999992</v>
      </c>
      <c r="BG206" s="198"/>
      <c r="BH206" s="198">
        <v>40047952.539999999</v>
      </c>
      <c r="BI206" s="198">
        <v>8503110.9899999984</v>
      </c>
      <c r="BJ206" s="198">
        <v>11979597.939999998</v>
      </c>
      <c r="BK206" s="198">
        <v>700201.71</v>
      </c>
      <c r="BL206" s="198"/>
      <c r="BM206" s="197">
        <v>2595664.4640000002</v>
      </c>
      <c r="BN206" s="198">
        <v>191831.182</v>
      </c>
      <c r="BO206" s="198">
        <v>378953.74800000002</v>
      </c>
      <c r="BP206" s="198">
        <v>604995.76399999997</v>
      </c>
      <c r="BQ206" s="198">
        <v>716480.03200000001</v>
      </c>
      <c r="BR206" s="198"/>
      <c r="BS206" s="198">
        <f t="shared" si="2"/>
        <v>703403.7379999999</v>
      </c>
      <c r="BT206" s="197"/>
      <c r="BU206" s="198"/>
      <c r="BV206" s="198"/>
      <c r="BW206" s="198"/>
      <c r="BX206" s="198"/>
      <c r="BY206" s="198"/>
      <c r="BZ206" s="198"/>
      <c r="CA206" s="197">
        <v>496.21100000000001</v>
      </c>
      <c r="CB206" s="198">
        <v>21.815000000000001</v>
      </c>
      <c r="CC206" s="198">
        <v>95.435000000000002</v>
      </c>
      <c r="CD206" s="198">
        <v>180.09100000000001</v>
      </c>
      <c r="CE206" s="198">
        <v>76.58</v>
      </c>
      <c r="CF206" s="198"/>
      <c r="CG206" s="198">
        <f>CA206-CB206-CC206-CD206-CE206</f>
        <v>122.29</v>
      </c>
      <c r="CH206" s="197"/>
      <c r="CI206" s="198"/>
      <c r="CJ206" s="198">
        <v>3092110.8145400002</v>
      </c>
      <c r="CK206" s="198"/>
      <c r="CL206" s="198">
        <v>1496925.4206999999</v>
      </c>
      <c r="CM206" s="198">
        <v>281153</v>
      </c>
      <c r="CN206" s="198"/>
      <c r="CO206" s="197">
        <v>6310.2429099999999</v>
      </c>
      <c r="CP206" s="198">
        <v>658.75085000000001</v>
      </c>
      <c r="CQ206" s="198">
        <v>1146.9704099999999</v>
      </c>
      <c r="CR206" s="198">
        <v>1475.1696399999998</v>
      </c>
      <c r="CS206" s="198">
        <v>1061.3573899999999</v>
      </c>
      <c r="CT206" s="198"/>
      <c r="CU206" s="198">
        <v>1967.9946200000011</v>
      </c>
      <c r="CV206" s="197">
        <v>1167.6959999999999</v>
      </c>
      <c r="CW206" s="198">
        <v>33.029000000000003</v>
      </c>
      <c r="CX206" s="198">
        <v>165.93</v>
      </c>
      <c r="CY206" s="198">
        <v>373.786</v>
      </c>
      <c r="CZ206" s="198">
        <v>304.77800000000002</v>
      </c>
      <c r="DA206" s="198"/>
      <c r="DB206" s="198">
        <f>CV206-CW206-CX206-CY206-CZ206</f>
        <v>290.17299999999977</v>
      </c>
      <c r="DC206" s="197"/>
      <c r="DD206" s="198"/>
      <c r="DE206" s="198"/>
      <c r="DF206" s="198"/>
      <c r="DG206" s="198"/>
      <c r="DH206" s="198"/>
      <c r="DI206" s="198"/>
      <c r="DJ206" s="197">
        <f>2159.4+35740.3</f>
        <v>37899.700000000004</v>
      </c>
      <c r="DK206" s="198">
        <f>1802.4+9715.9</f>
        <v>11518.3</v>
      </c>
      <c r="DL206" s="198">
        <f>1956.4+8337.2</f>
        <v>10293.6</v>
      </c>
      <c r="DM206" s="198">
        <v>2479.6999999999998</v>
      </c>
      <c r="DN206" s="198">
        <f>7377.6-DM206</f>
        <v>4897.9000000000005</v>
      </c>
      <c r="DO206" s="198"/>
      <c r="DP206" s="198">
        <f t="shared" si="11"/>
        <v>8710.2000000000007</v>
      </c>
      <c r="DQ206" s="197"/>
      <c r="DR206" s="198"/>
      <c r="DS206" s="198"/>
      <c r="DT206" s="198"/>
      <c r="DU206" s="198"/>
      <c r="DV206" s="198"/>
      <c r="DW206" s="198"/>
      <c r="DX206" s="197">
        <v>56680.046520000004</v>
      </c>
      <c r="DY206" s="198"/>
      <c r="DZ206" s="198">
        <v>41465.210810000004</v>
      </c>
      <c r="EA206" s="198">
        <v>7680.7000499999995</v>
      </c>
      <c r="EB206" s="198">
        <v>6166.2589100000005</v>
      </c>
      <c r="EC206" s="198"/>
      <c r="ED206" s="198">
        <v>1367.8767399999999</v>
      </c>
      <c r="EE206" s="198"/>
      <c r="EF206" s="198"/>
      <c r="EG206" s="198"/>
      <c r="EH206" s="198"/>
      <c r="EI206" s="198"/>
      <c r="EJ206" s="198"/>
      <c r="EK206" s="199"/>
      <c r="EL206" s="198">
        <v>1048375.918551</v>
      </c>
      <c r="EM206" s="198">
        <v>333855.36282200005</v>
      </c>
      <c r="EN206" s="198">
        <v>37802.742507999996</v>
      </c>
      <c r="EO206" s="198">
        <v>121204.87622000002</v>
      </c>
      <c r="EP206" s="198">
        <v>149394.43567100001</v>
      </c>
      <c r="EQ206" s="198"/>
      <c r="ER206" s="199">
        <v>405990.20280299999</v>
      </c>
      <c r="ES206" s="198">
        <v>16761.544000000002</v>
      </c>
      <c r="ET206" s="198">
        <v>1779.6233999999999</v>
      </c>
      <c r="EU206" s="198">
        <v>4082.6923000000002</v>
      </c>
      <c r="EV206" s="198">
        <v>1985.1458</v>
      </c>
      <c r="EW206" s="198">
        <v>5073.6722</v>
      </c>
      <c r="EX206" s="198"/>
      <c r="EY206" s="199">
        <f t="shared" si="6"/>
        <v>3840.4103000000005</v>
      </c>
      <c r="EZ206" s="198">
        <v>13089</v>
      </c>
      <c r="FA206" s="198">
        <v>608</v>
      </c>
      <c r="FB206" s="198">
        <v>3519</v>
      </c>
      <c r="FC206" s="198">
        <v>3431</v>
      </c>
      <c r="FD206" s="198">
        <v>2743</v>
      </c>
      <c r="FE206" s="198">
        <v>23</v>
      </c>
      <c r="FF206" s="198">
        <f t="shared" si="8"/>
        <v>2788</v>
      </c>
      <c r="FG206" s="197">
        <v>7664985.0130689992</v>
      </c>
      <c r="FH206" s="198">
        <v>988459</v>
      </c>
      <c r="FI206" s="198">
        <v>2202205</v>
      </c>
      <c r="FJ206" s="198"/>
      <c r="FK206" s="198">
        <v>542102</v>
      </c>
      <c r="FL206" s="198"/>
      <c r="FM206" s="198">
        <f>FG206-SUM(FH206:FK206)</f>
        <v>3932219.0130689992</v>
      </c>
      <c r="FN206" s="197">
        <v>35596.258000000002</v>
      </c>
      <c r="FO206" s="198">
        <v>9804.3639999999996</v>
      </c>
      <c r="FP206" s="198">
        <v>4722.4409999999998</v>
      </c>
      <c r="FQ206" s="198">
        <v>4984.3950000000004</v>
      </c>
      <c r="FR206" s="198">
        <v>4569.09</v>
      </c>
      <c r="FS206" s="198"/>
      <c r="FT206" s="199">
        <f t="shared" si="7"/>
        <v>11515.968000000001</v>
      </c>
      <c r="FU206" s="197"/>
      <c r="FV206" s="198"/>
      <c r="FW206" s="198"/>
      <c r="FX206" s="198"/>
      <c r="FY206" s="198"/>
      <c r="FZ206" s="198"/>
      <c r="GA206" s="199"/>
      <c r="GB206" s="197">
        <v>1250.883</v>
      </c>
      <c r="GC206" s="198">
        <v>20.094999999999999</v>
      </c>
      <c r="GD206" s="198">
        <v>194.61799999999999</v>
      </c>
      <c r="GE206" s="198">
        <v>241.62299999999999</v>
      </c>
      <c r="GF206" s="198">
        <v>249.94200000000001</v>
      </c>
      <c r="GG206" s="198"/>
      <c r="GH206" s="199">
        <f>GB206-GC206-GD206-GE206-GF206</f>
        <v>544.60500000000002</v>
      </c>
      <c r="GI206" s="197">
        <v>801.86800000000005</v>
      </c>
      <c r="GJ206" s="198">
        <v>17.707000000000001</v>
      </c>
      <c r="GK206" s="198">
        <v>121.119</v>
      </c>
      <c r="GL206" s="198">
        <v>301.90899999999999</v>
      </c>
      <c r="GM206" s="198">
        <v>147.88399999999999</v>
      </c>
      <c r="GN206" s="198"/>
      <c r="GO206" s="199">
        <f>GI206-GJ206-GK206-GL206-GM206</f>
        <v>213.24900000000005</v>
      </c>
      <c r="GP206" s="197">
        <v>1761.172</v>
      </c>
      <c r="GQ206" s="198">
        <v>46.243000000000002</v>
      </c>
      <c r="GR206" s="198">
        <v>397.74</v>
      </c>
      <c r="GS206" s="198">
        <v>402.15600000000001</v>
      </c>
      <c r="GT206" s="198">
        <v>453.92700000000002</v>
      </c>
      <c r="GU206" s="198"/>
      <c r="GV206" s="199">
        <f>GP206-GQ206-GR206-GS206-GT206</f>
        <v>461.10600000000011</v>
      </c>
      <c r="GW206" s="197"/>
      <c r="GX206" s="198"/>
      <c r="GY206" s="198"/>
      <c r="GZ206" s="198"/>
      <c r="HA206" s="198"/>
      <c r="HB206" s="198"/>
      <c r="HC206" s="199"/>
      <c r="HD206" s="197">
        <f>'[2]t&amp;t'!W338</f>
        <v>19908.599999999999</v>
      </c>
      <c r="HE206" s="198">
        <f>'[2]t&amp;t'!X338</f>
        <v>1797.6</v>
      </c>
      <c r="HF206" s="198">
        <f>'[2]t&amp;t'!Y338</f>
        <v>1429.1</v>
      </c>
      <c r="HG206" s="198">
        <f>'[2]t&amp;t'!Z338</f>
        <v>2149.1999999999998</v>
      </c>
      <c r="HH206" s="198">
        <f>'[2]t&amp;t'!AA338</f>
        <v>6385.5</v>
      </c>
      <c r="HI206" s="198"/>
      <c r="HJ206" s="199">
        <f>'[2]t&amp;t'!AC338</f>
        <v>8147.2</v>
      </c>
      <c r="HK206" s="197"/>
      <c r="HL206" s="198"/>
      <c r="HM206" s="198"/>
      <c r="HN206" s="198"/>
      <c r="HO206" s="198"/>
      <c r="HP206" s="198"/>
      <c r="HQ206" s="198"/>
      <c r="HR206" s="197">
        <v>17581.486000000001</v>
      </c>
      <c r="HT206" s="198">
        <v>12186.401</v>
      </c>
      <c r="HU206" s="198">
        <v>575.577</v>
      </c>
      <c r="HV206" s="198">
        <v>2223.7959999999998</v>
      </c>
      <c r="HW206" s="198">
        <v>489.22399999999999</v>
      </c>
      <c r="HX206" s="198">
        <v>2106.4879999999998</v>
      </c>
    </row>
    <row r="207" spans="1:233">
      <c r="A207" s="185" t="s">
        <v>498</v>
      </c>
      <c r="B207" s="197">
        <v>1907.2760000000001</v>
      </c>
      <c r="C207" s="198"/>
      <c r="D207" s="198"/>
      <c r="E207" s="198"/>
      <c r="F207" s="198"/>
      <c r="G207" s="198"/>
      <c r="H207" s="199"/>
      <c r="I207" s="197">
        <v>64764.3</v>
      </c>
      <c r="J207" s="198"/>
      <c r="K207" s="198"/>
      <c r="L207" s="198">
        <v>8828.2999999999993</v>
      </c>
      <c r="M207" s="198">
        <v>3763.8</v>
      </c>
      <c r="N207" s="198"/>
      <c r="O207" s="199">
        <f>[3]arg!$G73</f>
        <v>27176.9</v>
      </c>
      <c r="P207" s="198">
        <v>4637.8559999999998</v>
      </c>
      <c r="Q207" s="198">
        <v>59.749000000000002</v>
      </c>
      <c r="R207" s="198">
        <v>425.70499999999998</v>
      </c>
      <c r="S207" s="198">
        <v>247.39099999999999</v>
      </c>
      <c r="T207" s="198">
        <v>3036.239</v>
      </c>
      <c r="U207" s="198"/>
      <c r="V207" s="199">
        <f t="shared" si="10"/>
        <v>868.77199999999993</v>
      </c>
      <c r="W207" s="198">
        <v>3182.39</v>
      </c>
      <c r="X207" s="198">
        <v>97.977000000000004</v>
      </c>
      <c r="Y207" s="198">
        <v>728.28800000000001</v>
      </c>
      <c r="Z207" s="198">
        <v>243.49100000000001</v>
      </c>
      <c r="AA207" s="198">
        <v>1362.556</v>
      </c>
      <c r="AB207" s="198"/>
      <c r="AC207" s="199">
        <f t="shared" si="3"/>
        <v>750.07799999999997</v>
      </c>
      <c r="AD207" s="198">
        <f>[1]datos!$S339</f>
        <v>1491.204</v>
      </c>
      <c r="AE207" s="198">
        <v>16.809000000000001</v>
      </c>
      <c r="AF207" s="198">
        <v>264.23200000000003</v>
      </c>
      <c r="AG207" s="198">
        <v>386.26900000000001</v>
      </c>
      <c r="AH207" s="198">
        <v>196.083</v>
      </c>
      <c r="AI207" s="198">
        <f>[1]datos!$U339</f>
        <v>328.41500000000002</v>
      </c>
      <c r="AJ207" s="198">
        <f t="shared" si="12"/>
        <v>299.39600000000002</v>
      </c>
      <c r="AK207" s="197"/>
      <c r="AL207" s="198"/>
      <c r="AM207" s="198"/>
      <c r="AN207" s="198"/>
      <c r="AO207" s="198"/>
      <c r="AP207" s="198"/>
      <c r="AQ207" s="199"/>
      <c r="AR207" s="198">
        <v>487244.90465945</v>
      </c>
      <c r="AS207" s="198">
        <v>124091.59205662001</v>
      </c>
      <c r="AT207" s="198">
        <v>53604.849323320006</v>
      </c>
      <c r="AU207" s="198">
        <v>25488.5502108</v>
      </c>
      <c r="AV207" s="198">
        <v>128087.34625777</v>
      </c>
      <c r="AW207" s="198"/>
      <c r="AX207" s="198">
        <v>155972.56681093996</v>
      </c>
      <c r="AY207" s="197">
        <v>37455518.972499996</v>
      </c>
      <c r="AZ207" s="198"/>
      <c r="BA207" s="198">
        <v>25870918.671599999</v>
      </c>
      <c r="BB207" s="198">
        <v>7359884.4824999999</v>
      </c>
      <c r="BC207" s="198">
        <v>4224715.8176999995</v>
      </c>
      <c r="BD207" s="198"/>
      <c r="BE207" s="198"/>
      <c r="BF207" s="197">
        <v>61934316.020000003</v>
      </c>
      <c r="BG207" s="198"/>
      <c r="BH207" s="198">
        <v>40453881.730000012</v>
      </c>
      <c r="BI207" s="198">
        <v>8457247.3000000007</v>
      </c>
      <c r="BJ207" s="198">
        <v>12286688.729999999</v>
      </c>
      <c r="BK207" s="198">
        <v>736498.26</v>
      </c>
      <c r="BL207" s="198"/>
      <c r="BM207" s="197">
        <v>2625457.0619999999</v>
      </c>
      <c r="BN207" s="198">
        <v>194441.51800000001</v>
      </c>
      <c r="BO207" s="198">
        <v>354272.91800000001</v>
      </c>
      <c r="BP207" s="198">
        <v>506627.44400000002</v>
      </c>
      <c r="BQ207" s="198">
        <v>868792.84900000005</v>
      </c>
      <c r="BR207" s="198"/>
      <c r="BS207" s="198">
        <f t="shared" si="2"/>
        <v>701322.3330000001</v>
      </c>
      <c r="BT207" s="197"/>
      <c r="BU207" s="198"/>
      <c r="BV207" s="198"/>
      <c r="BW207" s="198"/>
      <c r="BX207" s="198"/>
      <c r="BY207" s="198"/>
      <c r="BZ207" s="198"/>
      <c r="CA207" s="197">
        <v>505.01100000000002</v>
      </c>
      <c r="CB207" s="198"/>
      <c r="CC207" s="198"/>
      <c r="CD207" s="198"/>
      <c r="CE207" s="198"/>
      <c r="CF207" s="198"/>
      <c r="CG207" s="198"/>
      <c r="CH207" s="197"/>
      <c r="CI207" s="198"/>
      <c r="CJ207" s="198">
        <v>3179690.4654099988</v>
      </c>
      <c r="CK207" s="198"/>
      <c r="CL207" s="198">
        <v>1533378.7992699998</v>
      </c>
      <c r="CM207" s="198">
        <v>296532</v>
      </c>
      <c r="CN207" s="198"/>
      <c r="CO207" s="197">
        <v>6414.9804999999997</v>
      </c>
      <c r="CP207" s="198">
        <v>648.00896999999998</v>
      </c>
      <c r="CQ207" s="198">
        <v>1167.2974099999999</v>
      </c>
      <c r="CR207" s="198">
        <v>1501.9014099999999</v>
      </c>
      <c r="CS207" s="198">
        <v>1080.19652</v>
      </c>
      <c r="CT207" s="198"/>
      <c r="CU207" s="198">
        <v>2017.5761899999995</v>
      </c>
      <c r="CV207" s="197">
        <v>1156.7860000000001</v>
      </c>
      <c r="CW207" s="198"/>
      <c r="CX207" s="198"/>
      <c r="CY207" s="198"/>
      <c r="CZ207" s="198"/>
      <c r="DA207" s="198"/>
      <c r="DB207" s="198"/>
      <c r="DC207" s="197"/>
      <c r="DD207" s="198"/>
      <c r="DE207" s="198"/>
      <c r="DF207" s="198"/>
      <c r="DG207" s="198"/>
      <c r="DH207" s="198"/>
      <c r="DI207" s="198"/>
      <c r="DJ207" s="197">
        <f>2082.5+36164.6</f>
        <v>38247.1</v>
      </c>
      <c r="DK207" s="198">
        <f>1902.6+9992.9</f>
        <v>11895.5</v>
      </c>
      <c r="DL207" s="198">
        <f>1957.3+8501.5</f>
        <v>10458.799999999999</v>
      </c>
      <c r="DM207" s="198">
        <v>2510</v>
      </c>
      <c r="DN207" s="198">
        <f>7458.2-DM207</f>
        <v>4948.2</v>
      </c>
      <c r="DO207" s="198"/>
      <c r="DP207" s="198">
        <f t="shared" si="11"/>
        <v>8434.5999999999985</v>
      </c>
      <c r="DQ207" s="197"/>
      <c r="DR207" s="198"/>
      <c r="DS207" s="198"/>
      <c r="DT207" s="198"/>
      <c r="DU207" s="198"/>
      <c r="DV207" s="198"/>
      <c r="DW207" s="198"/>
      <c r="DX207" s="197">
        <v>57956.649579999998</v>
      </c>
      <c r="DY207" s="198"/>
      <c r="DZ207" s="198">
        <v>42503.12844</v>
      </c>
      <c r="EA207" s="198">
        <v>7777.52286</v>
      </c>
      <c r="EB207" s="198">
        <v>6382.4976999999999</v>
      </c>
      <c r="EC207" s="198"/>
      <c r="ED207" s="198">
        <v>1293.5005900000001</v>
      </c>
      <c r="EE207" s="198"/>
      <c r="EF207" s="198"/>
      <c r="EG207" s="198"/>
      <c r="EH207" s="198"/>
      <c r="EI207" s="198"/>
      <c r="EJ207" s="198"/>
      <c r="EK207" s="199"/>
      <c r="EL207" s="198">
        <v>1082165.2471749997</v>
      </c>
      <c r="EM207" s="198">
        <v>351572.17185400001</v>
      </c>
      <c r="EN207" s="198">
        <v>43775.380749000004</v>
      </c>
      <c r="EO207" s="198">
        <v>122597.47048200002</v>
      </c>
      <c r="EP207" s="198">
        <v>156566.25175400003</v>
      </c>
      <c r="EQ207" s="198"/>
      <c r="ER207" s="199">
        <v>407557.0419340001</v>
      </c>
      <c r="ES207" s="198">
        <v>17170.438900000001</v>
      </c>
      <c r="ET207" s="198">
        <v>1756.1481000000001</v>
      </c>
      <c r="EU207" s="198">
        <v>4244.5468000000001</v>
      </c>
      <c r="EV207" s="198">
        <v>2050.0790000000002</v>
      </c>
      <c r="EW207" s="198">
        <v>5243.17</v>
      </c>
      <c r="EX207" s="198"/>
      <c r="EY207" s="199">
        <f t="shared" si="6"/>
        <v>3876.4950000000008</v>
      </c>
      <c r="EZ207" s="198">
        <v>13202</v>
      </c>
      <c r="FA207" s="198">
        <v>610</v>
      </c>
      <c r="FB207" s="198">
        <v>3616</v>
      </c>
      <c r="FC207" s="198">
        <v>3440</v>
      </c>
      <c r="FD207" s="198">
        <v>2745</v>
      </c>
      <c r="FE207" s="198">
        <v>24</v>
      </c>
      <c r="FF207" s="198">
        <f t="shared" si="8"/>
        <v>2791</v>
      </c>
      <c r="FG207" s="197">
        <v>7919775.283263999</v>
      </c>
      <c r="FH207" s="198">
        <v>1031480.802137</v>
      </c>
      <c r="FI207" s="198">
        <v>2275763.1375639997</v>
      </c>
      <c r="FJ207" s="198"/>
      <c r="FK207" s="198">
        <v>504506.73948300007</v>
      </c>
      <c r="FL207" s="198"/>
      <c r="FM207" s="198">
        <f>FG207-SUM(FH207:FK207)</f>
        <v>4108024.604079999</v>
      </c>
      <c r="FN207" s="197">
        <v>35713.976000000002</v>
      </c>
      <c r="FO207" s="198">
        <v>9537.4930000000004</v>
      </c>
      <c r="FP207" s="198">
        <v>4857.4830000000002</v>
      </c>
      <c r="FQ207" s="198">
        <v>5039.7259999999997</v>
      </c>
      <c r="FR207" s="198">
        <v>4652.8109999999997</v>
      </c>
      <c r="FS207" s="198"/>
      <c r="FT207" s="199">
        <f t="shared" si="7"/>
        <v>11626.463000000003</v>
      </c>
      <c r="FU207" s="197"/>
      <c r="FV207" s="198"/>
      <c r="FW207" s="198"/>
      <c r="FX207" s="198"/>
      <c r="FY207" s="198"/>
      <c r="FZ207" s="198"/>
      <c r="GA207" s="199"/>
      <c r="GB207" s="197">
        <v>1270.6769999999999</v>
      </c>
      <c r="GC207" s="198"/>
      <c r="GD207" s="198"/>
      <c r="GE207" s="198"/>
      <c r="GF207" s="198"/>
      <c r="GG207" s="198"/>
      <c r="GH207" s="199"/>
      <c r="GI207" s="197">
        <v>777.79700000000003</v>
      </c>
      <c r="GJ207" s="198"/>
      <c r="GK207" s="198"/>
      <c r="GL207" s="198"/>
      <c r="GM207" s="198"/>
      <c r="GN207" s="198"/>
      <c r="GO207" s="199"/>
      <c r="GP207" s="197">
        <v>1795.914</v>
      </c>
      <c r="GQ207" s="198"/>
      <c r="GR207" s="198"/>
      <c r="GS207" s="198"/>
      <c r="GT207" s="198"/>
      <c r="GU207" s="198"/>
      <c r="GV207" s="199"/>
      <c r="GW207" s="197"/>
      <c r="GX207" s="198"/>
      <c r="GY207" s="198"/>
      <c r="GZ207" s="198"/>
      <c r="HA207" s="198"/>
      <c r="HB207" s="198"/>
      <c r="HC207" s="199"/>
      <c r="HD207" s="197"/>
      <c r="HE207" s="198"/>
      <c r="HF207" s="198"/>
      <c r="HG207" s="198"/>
      <c r="HH207" s="198"/>
      <c r="HI207" s="198"/>
      <c r="HJ207" s="199"/>
      <c r="HK207" s="197"/>
      <c r="HL207" s="198"/>
      <c r="HM207" s="198"/>
      <c r="HN207" s="198"/>
      <c r="HO207" s="198"/>
      <c r="HP207" s="198"/>
      <c r="HQ207" s="198"/>
      <c r="HR207" s="197">
        <v>18516.339</v>
      </c>
      <c r="HT207" s="198">
        <v>12772.897999999999</v>
      </c>
      <c r="HU207" s="198">
        <v>582.55799999999999</v>
      </c>
      <c r="HV207" s="198">
        <v>2355.3980000000001</v>
      </c>
      <c r="HW207" s="198">
        <v>523.428</v>
      </c>
      <c r="HX207" s="198">
        <v>2282.0569999999998</v>
      </c>
    </row>
    <row r="208" spans="1:233">
      <c r="A208" s="185" t="s">
        <v>499</v>
      </c>
      <c r="B208" s="197">
        <v>1925.9159999999999</v>
      </c>
      <c r="C208" s="198"/>
      <c r="D208" s="198"/>
      <c r="E208" s="198"/>
      <c r="F208" s="198"/>
      <c r="G208" s="198"/>
      <c r="H208" s="199"/>
      <c r="I208" s="197">
        <v>65891.7</v>
      </c>
      <c r="J208" s="198"/>
      <c r="K208" s="198"/>
      <c r="L208" s="198">
        <v>8810.5</v>
      </c>
      <c r="M208" s="198">
        <v>4004.3</v>
      </c>
      <c r="N208" s="198"/>
      <c r="O208" s="199">
        <f>[3]arg!$G74</f>
        <v>27929.3</v>
      </c>
      <c r="P208" s="198">
        <v>4665.5969999999998</v>
      </c>
      <c r="Q208" s="198">
        <v>56.177</v>
      </c>
      <c r="R208" s="198">
        <v>444.77</v>
      </c>
      <c r="S208" s="198">
        <v>250.89599999999999</v>
      </c>
      <c r="T208" s="198">
        <v>3057.0039999999999</v>
      </c>
      <c r="U208" s="198"/>
      <c r="V208" s="199">
        <f t="shared" si="10"/>
        <v>856.74999999999955</v>
      </c>
      <c r="W208" s="198">
        <v>3227.674</v>
      </c>
      <c r="X208" s="198">
        <v>98.494</v>
      </c>
      <c r="Y208" s="198">
        <v>728.07500000000005</v>
      </c>
      <c r="Z208" s="198">
        <v>244.50899999999999</v>
      </c>
      <c r="AA208" s="198">
        <v>1396.7750000000001</v>
      </c>
      <c r="AB208" s="198"/>
      <c r="AC208" s="199">
        <f t="shared" si="3"/>
        <v>759.82099999999946</v>
      </c>
      <c r="AD208" s="198">
        <f>[1]datos!$S340</f>
        <v>1502.1479999999999</v>
      </c>
      <c r="AE208" s="198">
        <v>16.164999999999999</v>
      </c>
      <c r="AF208" s="198">
        <v>260.34000000000003</v>
      </c>
      <c r="AG208" s="198">
        <v>388.99600000000004</v>
      </c>
      <c r="AH208" s="198">
        <v>194.364</v>
      </c>
      <c r="AI208" s="198">
        <f>[1]datos!$U340</f>
        <v>331.03199999999998</v>
      </c>
      <c r="AJ208" s="198">
        <f t="shared" si="12"/>
        <v>311.25099999999992</v>
      </c>
      <c r="AK208" s="197"/>
      <c r="AL208" s="198"/>
      <c r="AM208" s="198"/>
      <c r="AN208" s="198"/>
      <c r="AO208" s="198"/>
      <c r="AP208" s="198"/>
      <c r="AQ208" s="199"/>
      <c r="AR208" s="198">
        <v>493284.24984664004</v>
      </c>
      <c r="AS208" s="198">
        <v>124786.35389730001</v>
      </c>
      <c r="AT208" s="198">
        <v>55120.512589660008</v>
      </c>
      <c r="AU208" s="198">
        <v>25614.61415071</v>
      </c>
      <c r="AV208" s="198">
        <v>132143.58520882</v>
      </c>
      <c r="AW208" s="198"/>
      <c r="AX208" s="198">
        <v>155619.18400015001</v>
      </c>
      <c r="AY208" s="197">
        <v>37754477.292499997</v>
      </c>
      <c r="AZ208" s="198"/>
      <c r="BA208" s="198">
        <v>25966160.005800001</v>
      </c>
      <c r="BB208" s="198">
        <v>7485181.2268000003</v>
      </c>
      <c r="BC208" s="198">
        <v>4303136.0592999998</v>
      </c>
      <c r="BD208" s="198"/>
      <c r="BE208" s="198"/>
      <c r="BF208" s="197">
        <v>62872011.29999999</v>
      </c>
      <c r="BG208" s="198"/>
      <c r="BH208" s="198">
        <v>41428913.579999991</v>
      </c>
      <c r="BI208" s="198">
        <v>7983122.4799999995</v>
      </c>
      <c r="BJ208" s="198">
        <v>12641525.039999997</v>
      </c>
      <c r="BK208" s="198">
        <v>818450.2</v>
      </c>
      <c r="BL208" s="198"/>
      <c r="BM208" s="197">
        <v>2686294.0529999998</v>
      </c>
      <c r="BN208" s="198">
        <v>199326.13</v>
      </c>
      <c r="BO208" s="198">
        <v>357155.07900000003</v>
      </c>
      <c r="BP208" s="198">
        <v>513075.33299999998</v>
      </c>
      <c r="BQ208" s="198">
        <v>842493.34199999995</v>
      </c>
      <c r="BR208" s="198"/>
      <c r="BS208" s="198">
        <f t="shared" si="2"/>
        <v>774244.16899999999</v>
      </c>
      <c r="BT208" s="197"/>
      <c r="BU208" s="198"/>
      <c r="BV208" s="198"/>
      <c r="BW208" s="198"/>
      <c r="BX208" s="198"/>
      <c r="BY208" s="198"/>
      <c r="BZ208" s="198"/>
      <c r="CA208" s="197">
        <v>503.36099999999999</v>
      </c>
      <c r="CB208" s="198"/>
      <c r="CC208" s="198"/>
      <c r="CD208" s="198"/>
      <c r="CE208" s="198"/>
      <c r="CF208" s="198"/>
      <c r="CG208" s="198"/>
      <c r="CH208" s="197"/>
      <c r="CI208" s="198"/>
      <c r="CJ208" s="198">
        <v>3167066.0236400003</v>
      </c>
      <c r="CK208" s="198"/>
      <c r="CL208" s="198">
        <v>1568093.9503299999</v>
      </c>
      <c r="CM208" s="198">
        <v>314063</v>
      </c>
      <c r="CN208" s="198"/>
      <c r="CO208" s="197">
        <v>6487.9183200000007</v>
      </c>
      <c r="CP208" s="198">
        <v>637.16376000000002</v>
      </c>
      <c r="CQ208" s="198">
        <v>1200.74101</v>
      </c>
      <c r="CR208" s="198">
        <v>1516.6797900000001</v>
      </c>
      <c r="CS208" s="198">
        <v>1109.9078100000002</v>
      </c>
      <c r="CT208" s="198"/>
      <c r="CU208" s="198">
        <v>2023.4259500000003</v>
      </c>
      <c r="CV208" s="197">
        <v>1156.2380000000001</v>
      </c>
      <c r="CW208" s="198"/>
      <c r="CX208" s="198"/>
      <c r="CY208" s="198"/>
      <c r="CZ208" s="198"/>
      <c r="DA208" s="198"/>
      <c r="DB208" s="198"/>
      <c r="DC208" s="197"/>
      <c r="DD208" s="198"/>
      <c r="DE208" s="198"/>
      <c r="DF208" s="198"/>
      <c r="DG208" s="198"/>
      <c r="DH208" s="198"/>
      <c r="DI208" s="198"/>
      <c r="DJ208" s="197">
        <f>2511.8+35353</f>
        <v>37864.800000000003</v>
      </c>
      <c r="DK208" s="198">
        <f>2017.8+9462.5</f>
        <v>11480.3</v>
      </c>
      <c r="DL208" s="198">
        <f>1945.6+8368.6</f>
        <v>10314.200000000001</v>
      </c>
      <c r="DM208" s="198">
        <v>2444.1</v>
      </c>
      <c r="DN208" s="198">
        <f>7511.8-DM208</f>
        <v>5067.7000000000007</v>
      </c>
      <c r="DO208" s="198"/>
      <c r="DP208" s="198">
        <f t="shared" si="11"/>
        <v>8558.5000000000036</v>
      </c>
      <c r="DQ208" s="197"/>
      <c r="DR208" s="198"/>
      <c r="DS208" s="198"/>
      <c r="DT208" s="198"/>
      <c r="DU208" s="198"/>
      <c r="DV208" s="198"/>
      <c r="DW208" s="198"/>
      <c r="DX208" s="197">
        <v>58749.539880000004</v>
      </c>
      <c r="DY208" s="198"/>
      <c r="DZ208" s="198">
        <v>43073.712729999999</v>
      </c>
      <c r="EA208" s="198">
        <v>7878.4016200000005</v>
      </c>
      <c r="EB208" s="198">
        <v>6465.71821</v>
      </c>
      <c r="EC208" s="198"/>
      <c r="ED208" s="198">
        <v>1331.7073300000002</v>
      </c>
      <c r="EE208" s="197"/>
      <c r="EF208" s="198"/>
      <c r="EG208" s="198"/>
      <c r="EH208" s="198"/>
      <c r="EI208" s="198"/>
      <c r="EJ208" s="198"/>
      <c r="EK208" s="198"/>
      <c r="EL208" s="197">
        <v>1088437.3477270002</v>
      </c>
      <c r="EM208" s="198">
        <v>359453.47715000005</v>
      </c>
      <c r="EN208" s="198">
        <v>41554.487777999995</v>
      </c>
      <c r="EO208" s="198">
        <v>124201.26066300001</v>
      </c>
      <c r="EP208" s="198">
        <v>165403.98400600004</v>
      </c>
      <c r="EQ208" s="198"/>
      <c r="ER208" s="198">
        <v>397739.68594399997</v>
      </c>
      <c r="ES208" s="197">
        <v>17818.131700000002</v>
      </c>
      <c r="ET208" s="198">
        <v>1711.2488000000001</v>
      </c>
      <c r="EU208" s="198">
        <v>4559.7395999999999</v>
      </c>
      <c r="EV208" s="198">
        <v>2110.7514000000001</v>
      </c>
      <c r="EW208" s="198">
        <v>5428.7453000000005</v>
      </c>
      <c r="EX208" s="198"/>
      <c r="EY208" s="198">
        <f t="shared" si="6"/>
        <v>4007.6466000000019</v>
      </c>
      <c r="EZ208" s="197">
        <v>13335</v>
      </c>
      <c r="FA208" s="198">
        <v>606</v>
      </c>
      <c r="FB208" s="198">
        <v>3611</v>
      </c>
      <c r="FC208" s="198">
        <v>3486</v>
      </c>
      <c r="FD208" s="198">
        <v>2778</v>
      </c>
      <c r="FE208" s="198">
        <v>23</v>
      </c>
      <c r="FF208" s="198">
        <f t="shared" si="8"/>
        <v>2854</v>
      </c>
      <c r="FG208" s="197"/>
      <c r="FH208" s="198"/>
      <c r="FI208" s="198"/>
      <c r="FJ208" s="198"/>
      <c r="FK208" s="198"/>
      <c r="FL208" s="198"/>
      <c r="FM208" s="198"/>
      <c r="FN208" s="197">
        <v>35823.940999999999</v>
      </c>
      <c r="FO208" s="198">
        <v>9396.5319999999992</v>
      </c>
      <c r="FP208" s="198">
        <v>4584.8159999999998</v>
      </c>
      <c r="FQ208" s="198">
        <v>5094.8530000000001</v>
      </c>
      <c r="FR208" s="198">
        <v>4745.2780000000002</v>
      </c>
      <c r="FS208" s="198"/>
      <c r="FT208" s="199">
        <f t="shared" si="7"/>
        <v>12002.462</v>
      </c>
      <c r="FU208" s="197"/>
      <c r="FV208" s="198"/>
      <c r="FW208" s="198"/>
      <c r="FX208" s="198"/>
      <c r="FY208" s="198"/>
      <c r="FZ208" s="198"/>
      <c r="GA208" s="199"/>
      <c r="GB208" s="197">
        <v>1307.8130000000001</v>
      </c>
      <c r="GC208" s="198"/>
      <c r="GD208" s="198"/>
      <c r="GE208" s="198"/>
      <c r="GF208" s="198"/>
      <c r="GG208" s="198"/>
      <c r="GH208" s="199"/>
      <c r="GI208" s="197">
        <v>818.39400000000001</v>
      </c>
      <c r="GJ208" s="198"/>
      <c r="GK208" s="198"/>
      <c r="GL208" s="198"/>
      <c r="GM208" s="198"/>
      <c r="GN208" s="198"/>
      <c r="GO208" s="199"/>
      <c r="GP208" s="197">
        <v>1800.6759999999999</v>
      </c>
      <c r="GQ208" s="198"/>
      <c r="GR208" s="198"/>
      <c r="GS208" s="198"/>
      <c r="GT208" s="198"/>
      <c r="GU208" s="198"/>
      <c r="GV208" s="199"/>
      <c r="GW208" s="197"/>
      <c r="GX208" s="198"/>
      <c r="GY208" s="198"/>
      <c r="GZ208" s="198"/>
      <c r="HA208" s="198"/>
      <c r="HB208" s="198"/>
      <c r="HC208" s="199"/>
      <c r="HD208" s="197"/>
      <c r="HE208" s="198"/>
      <c r="HF208" s="198"/>
      <c r="HG208" s="198"/>
      <c r="HH208" s="198"/>
      <c r="HI208" s="198"/>
      <c r="HJ208" s="199"/>
      <c r="HK208" s="197"/>
      <c r="HL208" s="198"/>
      <c r="HM208" s="198"/>
      <c r="HN208" s="198"/>
      <c r="HO208" s="198"/>
      <c r="HP208" s="198"/>
      <c r="HQ208" s="198"/>
      <c r="HR208" s="197">
        <v>19935.866999999998</v>
      </c>
      <c r="HT208" s="198">
        <v>13823.356</v>
      </c>
      <c r="HU208" s="198">
        <v>601.46299999999997</v>
      </c>
      <c r="HV208" s="198">
        <v>2476.4319999999998</v>
      </c>
      <c r="HW208" s="198">
        <v>574.71900000000005</v>
      </c>
      <c r="HX208" s="198">
        <v>2459.8969999999999</v>
      </c>
    </row>
    <row r="209" spans="1:233">
      <c r="A209" s="202" t="s">
        <v>500</v>
      </c>
      <c r="B209" s="203">
        <v>1914.3209999999999</v>
      </c>
      <c r="C209" s="204">
        <v>64.914000000000001</v>
      </c>
      <c r="D209" s="204">
        <v>340.35300000000001</v>
      </c>
      <c r="E209" s="204">
        <v>495.041</v>
      </c>
      <c r="F209" s="204">
        <v>309.82600000000002</v>
      </c>
      <c r="G209" s="204"/>
      <c r="H209" s="205">
        <v>704.18700000000001</v>
      </c>
      <c r="I209" s="203">
        <v>66116.7</v>
      </c>
      <c r="J209" s="204"/>
      <c r="K209" s="204"/>
      <c r="L209" s="204">
        <v>8844.1</v>
      </c>
      <c r="M209" s="204">
        <v>4081.3</v>
      </c>
      <c r="N209" s="204"/>
      <c r="O209" s="205">
        <f>[3]arg!$G75</f>
        <v>28128.2</v>
      </c>
      <c r="P209" s="204">
        <v>4717.0129999999999</v>
      </c>
      <c r="Q209" s="204">
        <v>55.040999999999997</v>
      </c>
      <c r="R209" s="204">
        <v>458.14299999999997</v>
      </c>
      <c r="S209" s="204">
        <v>248.80099999999999</v>
      </c>
      <c r="T209" s="204">
        <v>3094.5479999999998</v>
      </c>
      <c r="U209" s="204"/>
      <c r="V209" s="205">
        <f>P209-Q209-R209-S209-T209</f>
        <v>860.48</v>
      </c>
      <c r="W209" s="204">
        <v>3346.0940000000001</v>
      </c>
      <c r="X209" s="204">
        <v>98.62</v>
      </c>
      <c r="Y209" s="204">
        <v>719.96</v>
      </c>
      <c r="Z209" s="204">
        <v>264.69400000000002</v>
      </c>
      <c r="AA209" s="204">
        <v>1456.6020000000001</v>
      </c>
      <c r="AB209" s="204"/>
      <c r="AC209" s="205">
        <f t="shared" si="3"/>
        <v>806.21800000000007</v>
      </c>
      <c r="AD209" s="204">
        <f>[1]datos!$S341</f>
        <v>1507.393</v>
      </c>
      <c r="AE209" s="204">
        <v>14.932</v>
      </c>
      <c r="AF209" s="204">
        <v>254.50499999999997</v>
      </c>
      <c r="AG209" s="204">
        <v>390.98099999999999</v>
      </c>
      <c r="AH209" s="204">
        <v>197.11099999999999</v>
      </c>
      <c r="AI209" s="204">
        <f>[1]datos!$U341</f>
        <v>331.346</v>
      </c>
      <c r="AJ209" s="204">
        <f t="shared" si="12"/>
        <v>318.51800000000014</v>
      </c>
      <c r="AK209" s="203">
        <v>25917.751199999999</v>
      </c>
      <c r="AL209" s="204"/>
      <c r="AM209" s="204">
        <v>15300.414799999999</v>
      </c>
      <c r="AN209" s="204">
        <v>5492.8071</v>
      </c>
      <c r="AO209" s="204">
        <v>1574.4278000000002</v>
      </c>
      <c r="AP209" s="204">
        <v>3551.7097000000003</v>
      </c>
      <c r="AQ209" s="205"/>
      <c r="AR209" s="204">
        <v>498721.50896988995</v>
      </c>
      <c r="AS209" s="204">
        <v>124787.78540791999</v>
      </c>
      <c r="AT209" s="204">
        <v>54778.605790889997</v>
      </c>
      <c r="AU209" s="204">
        <v>25773.988446830001</v>
      </c>
      <c r="AV209" s="204">
        <v>136455.81470863003</v>
      </c>
      <c r="AW209" s="204"/>
      <c r="AX209" s="204">
        <v>156925.31461561989</v>
      </c>
      <c r="AY209" s="203">
        <v>37832930.581299998</v>
      </c>
      <c r="AZ209" s="204"/>
      <c r="BA209" s="204">
        <v>25795859.439399999</v>
      </c>
      <c r="BB209" s="204">
        <v>7659026.1085000001</v>
      </c>
      <c r="BC209" s="204">
        <v>4378045.0329</v>
      </c>
      <c r="BD209" s="204"/>
      <c r="BE209" s="204"/>
      <c r="BF209" s="203">
        <v>63180498.999999993</v>
      </c>
      <c r="BG209" s="204"/>
      <c r="BH209" s="204">
        <v>42223622.449999996</v>
      </c>
      <c r="BI209" s="204">
        <v>7089802.4799999995</v>
      </c>
      <c r="BJ209" s="204">
        <v>13022927.080000002</v>
      </c>
      <c r="BK209" s="204">
        <v>844146.99</v>
      </c>
      <c r="BL209" s="204"/>
      <c r="BM209" s="203">
        <v>2780313.156</v>
      </c>
      <c r="BN209" s="204">
        <v>210240.57699999999</v>
      </c>
      <c r="BO209" s="204">
        <v>371535.158</v>
      </c>
      <c r="BP209" s="204">
        <v>500935.95</v>
      </c>
      <c r="BQ209" s="204">
        <v>883471.40300000005</v>
      </c>
      <c r="BR209" s="204"/>
      <c r="BS209" s="204">
        <f t="shared" si="2"/>
        <v>814130.06799999997</v>
      </c>
      <c r="BT209" s="203"/>
      <c r="BU209" s="204"/>
      <c r="BV209" s="204"/>
      <c r="BW209" s="204"/>
      <c r="BX209" s="204"/>
      <c r="BY209" s="204"/>
      <c r="BZ209" s="204"/>
      <c r="CA209" s="203">
        <v>501.3</v>
      </c>
      <c r="CB209" s="204">
        <v>21.731000000000002</v>
      </c>
      <c r="CC209" s="204">
        <v>98.792000000000002</v>
      </c>
      <c r="CD209" s="204">
        <v>172.80199999999999</v>
      </c>
      <c r="CE209" s="204">
        <v>88.322999999999993</v>
      </c>
      <c r="CF209" s="204"/>
      <c r="CG209" s="204">
        <f>CA209-CB209-CC209-CD209-CE209</f>
        <v>119.65200000000006</v>
      </c>
      <c r="CH209" s="203">
        <v>5905598.3759399988</v>
      </c>
      <c r="CI209" s="204"/>
      <c r="CJ209" s="204">
        <v>3227690.1630399995</v>
      </c>
      <c r="CK209" s="204">
        <f>[4]créditos!$O38</f>
        <v>686520.02297000005</v>
      </c>
      <c r="CL209" s="204">
        <v>1661531.1899299999</v>
      </c>
      <c r="CM209" s="204">
        <v>329857</v>
      </c>
      <c r="CN209" s="204"/>
      <c r="CO209" s="203">
        <v>6481.0037199999997</v>
      </c>
      <c r="CP209" s="204">
        <v>677.57408999999996</v>
      </c>
      <c r="CQ209" s="204">
        <v>1169.4025900000001</v>
      </c>
      <c r="CR209" s="204">
        <v>1537.4441499999998</v>
      </c>
      <c r="CS209" s="204">
        <v>1120.30116</v>
      </c>
      <c r="CT209" s="204"/>
      <c r="CU209" s="204">
        <v>1976.2817299999995</v>
      </c>
      <c r="CV209" s="203">
        <v>1140.2339999999999</v>
      </c>
      <c r="CW209" s="204">
        <v>31.097000000000001</v>
      </c>
      <c r="CX209" s="204">
        <v>162.571</v>
      </c>
      <c r="CY209" s="204">
        <v>378.17599999999999</v>
      </c>
      <c r="CZ209" s="204">
        <v>298.55900000000003</v>
      </c>
      <c r="DA209" s="204"/>
      <c r="DB209" s="204">
        <f>CV209-CW209-CX209-CY209-CZ209</f>
        <v>269.83099999999985</v>
      </c>
      <c r="DC209" s="203"/>
      <c r="DD209" s="204"/>
      <c r="DE209" s="204"/>
      <c r="DF209" s="204"/>
      <c r="DG209" s="204"/>
      <c r="DH209" s="204"/>
      <c r="DI209" s="204"/>
      <c r="DJ209" s="203">
        <f>1315.6+35264</f>
        <v>36579.599999999999</v>
      </c>
      <c r="DK209" s="204">
        <f>1201+8539.8</f>
        <v>9740.7999999999993</v>
      </c>
      <c r="DL209" s="204">
        <f>1368.5+8988.3</f>
        <v>10356.799999999999</v>
      </c>
      <c r="DM209" s="204">
        <v>2622.1</v>
      </c>
      <c r="DN209" s="204">
        <f>8192.5-DM209</f>
        <v>5570.4</v>
      </c>
      <c r="DO209" s="204"/>
      <c r="DP209" s="204">
        <f>DJ209-SUM(DK209:DN209)</f>
        <v>8289.5</v>
      </c>
      <c r="DQ209" s="203"/>
      <c r="DR209" s="204"/>
      <c r="DS209" s="204"/>
      <c r="DT209" s="204"/>
      <c r="DU209" s="204"/>
      <c r="DV209" s="204"/>
      <c r="DW209" s="204"/>
      <c r="DX209" s="203">
        <v>59505.87859</v>
      </c>
      <c r="DY209" s="204"/>
      <c r="DZ209" s="204">
        <v>43613.367210000004</v>
      </c>
      <c r="EA209" s="204">
        <v>8033.63184</v>
      </c>
      <c r="EB209" s="204">
        <v>6598.6855599999999</v>
      </c>
      <c r="EC209" s="204"/>
      <c r="ED209" s="204">
        <v>1260.19398</v>
      </c>
      <c r="EE209" s="203">
        <v>113368.823</v>
      </c>
      <c r="EF209" s="204">
        <v>3746.4430000000002</v>
      </c>
      <c r="EG209" s="204">
        <v>22736.718000000001</v>
      </c>
      <c r="EH209" s="204">
        <v>5875.7250000000004</v>
      </c>
      <c r="EI209" s="204">
        <v>33461.237000000001</v>
      </c>
      <c r="EJ209" s="204"/>
      <c r="EK209" s="204">
        <f>EE209-EF209-EG209-EH209-EI209</f>
        <v>47548.700000000004</v>
      </c>
      <c r="EL209" s="203">
        <v>1076756.0704730002</v>
      </c>
      <c r="EM209" s="204">
        <v>383128.25372500002</v>
      </c>
      <c r="EN209" s="204">
        <v>43251.909475</v>
      </c>
      <c r="EO209" s="204">
        <v>124089.15452099999</v>
      </c>
      <c r="EP209" s="204">
        <v>170097.83866699997</v>
      </c>
      <c r="EQ209" s="204"/>
      <c r="ER209" s="204">
        <v>356113.50678200001</v>
      </c>
      <c r="ES209" s="203">
        <v>18776.298299999999</v>
      </c>
      <c r="ET209" s="204">
        <v>1942.8824</v>
      </c>
      <c r="EU209" s="204">
        <v>5322.1211999999996</v>
      </c>
      <c r="EV209" s="204">
        <v>2280.6554999999998</v>
      </c>
      <c r="EW209" s="204">
        <v>4891.6408000000001</v>
      </c>
      <c r="EX209" s="204"/>
      <c r="EY209" s="204">
        <f t="shared" si="6"/>
        <v>4338.9984000000013</v>
      </c>
      <c r="EZ209" s="203">
        <v>13102</v>
      </c>
      <c r="FA209" s="204">
        <v>624</v>
      </c>
      <c r="FB209" s="204">
        <v>3388</v>
      </c>
      <c r="FC209" s="204">
        <v>3526</v>
      </c>
      <c r="FD209" s="204">
        <v>2796</v>
      </c>
      <c r="FE209" s="204">
        <v>23</v>
      </c>
      <c r="FF209" s="204">
        <f t="shared" si="8"/>
        <v>2768</v>
      </c>
      <c r="FG209" s="203"/>
      <c r="FH209" s="204"/>
      <c r="FI209" s="204"/>
      <c r="FJ209" s="204"/>
      <c r="FK209" s="204"/>
      <c r="FL209" s="204"/>
      <c r="FM209" s="204"/>
      <c r="FN209" s="203">
        <v>36145.963000000003</v>
      </c>
      <c r="FO209" s="204">
        <v>9475.0990000000002</v>
      </c>
      <c r="FP209" s="204">
        <v>4514.8360000000002</v>
      </c>
      <c r="FQ209" s="204">
        <v>5128.3990000000003</v>
      </c>
      <c r="FR209" s="204">
        <v>4856.0069999999996</v>
      </c>
      <c r="FS209" s="204"/>
      <c r="FT209" s="205">
        <f t="shared" si="7"/>
        <v>12171.622000000003</v>
      </c>
      <c r="FU209" s="203"/>
      <c r="FV209" s="204"/>
      <c r="FW209" s="204"/>
      <c r="FX209" s="204"/>
      <c r="FY209" s="204"/>
      <c r="FZ209" s="204"/>
      <c r="GA209" s="205"/>
      <c r="GB209" s="203">
        <v>1330.115</v>
      </c>
      <c r="GC209" s="204">
        <v>20.065999999999999</v>
      </c>
      <c r="GD209" s="204">
        <v>199.83199999999999</v>
      </c>
      <c r="GE209" s="204">
        <v>248.00399999999999</v>
      </c>
      <c r="GF209" s="204">
        <v>258.82900000000001</v>
      </c>
      <c r="GG209" s="204"/>
      <c r="GH209" s="205">
        <f>GB209-GC209-GD209-GE209-GF209</f>
        <v>603.38400000000001</v>
      </c>
      <c r="GI209" s="203">
        <v>823.53300000000002</v>
      </c>
      <c r="GJ209" s="204">
        <v>17.513000000000002</v>
      </c>
      <c r="GK209" s="204">
        <v>122.051</v>
      </c>
      <c r="GL209" s="204">
        <v>307.39</v>
      </c>
      <c r="GM209" s="204">
        <v>146.376</v>
      </c>
      <c r="GN209" s="204"/>
      <c r="GO209" s="205">
        <f>GI209-GJ209-GK209-GL209-GM209</f>
        <v>230.20299999999995</v>
      </c>
      <c r="GP209" s="203">
        <v>1807.7159999999999</v>
      </c>
      <c r="GQ209" s="204">
        <v>50.564</v>
      </c>
      <c r="GR209" s="204">
        <v>418.50900000000001</v>
      </c>
      <c r="GS209" s="204">
        <v>413.38400000000001</v>
      </c>
      <c r="GT209" s="204">
        <v>449.76299999999998</v>
      </c>
      <c r="GU209" s="204"/>
      <c r="GV209" s="205">
        <f>GP209-GQ209-GR209-GS209-GT209</f>
        <v>475.49599999999981</v>
      </c>
      <c r="GW209" s="203"/>
      <c r="GX209" s="204"/>
      <c r="GY209" s="204"/>
      <c r="GZ209" s="204"/>
      <c r="HA209" s="204"/>
      <c r="HB209" s="204"/>
      <c r="HC209" s="205"/>
      <c r="HD209" s="203">
        <f>'[2]t&amp;t'!W341</f>
        <v>21229.8</v>
      </c>
      <c r="HE209" s="204">
        <f>'[2]t&amp;t'!X341</f>
        <v>1912</v>
      </c>
      <c r="HF209" s="204">
        <f>'[2]t&amp;t'!Y341</f>
        <v>1716</v>
      </c>
      <c r="HG209" s="204">
        <f>'[2]t&amp;t'!Z341</f>
        <v>2359.8999999999996</v>
      </c>
      <c r="HH209" s="204">
        <f>'[2]t&amp;t'!AA341</f>
        <v>6842.2999999999993</v>
      </c>
      <c r="HI209" s="204"/>
      <c r="HJ209" s="205">
        <f>'[2]t&amp;t'!AC341</f>
        <v>8399.6</v>
      </c>
      <c r="HK209" s="203"/>
      <c r="HL209" s="204"/>
      <c r="HM209" s="204"/>
      <c r="HN209" s="204"/>
      <c r="HO209" s="204"/>
      <c r="HP209" s="204"/>
      <c r="HQ209" s="204"/>
      <c r="HR209" s="197">
        <v>22528.221000000001</v>
      </c>
      <c r="HS209" s="206"/>
      <c r="HT209" s="204">
        <v>15646.757</v>
      </c>
      <c r="HU209" s="204">
        <v>619.37</v>
      </c>
      <c r="HV209" s="204">
        <v>2689.25</v>
      </c>
      <c r="HW209" s="204">
        <v>644.04899999999998</v>
      </c>
      <c r="HX209" s="204">
        <v>2928.7950000000001</v>
      </c>
      <c r="HY209" s="198"/>
    </row>
    <row r="210" spans="1:233">
      <c r="A210" s="185" t="s">
        <v>672</v>
      </c>
      <c r="B210" s="197">
        <v>1923.6869999999999</v>
      </c>
      <c r="C210" s="198"/>
      <c r="D210" s="198"/>
      <c r="E210" s="198"/>
      <c r="F210" s="198"/>
      <c r="G210" s="198"/>
      <c r="H210" s="199"/>
      <c r="I210" s="197">
        <v>67142.8</v>
      </c>
      <c r="J210" s="198"/>
      <c r="K210" s="198"/>
      <c r="L210" s="198">
        <v>8944.5</v>
      </c>
      <c r="M210" s="198">
        <v>4309.3</v>
      </c>
      <c r="N210" s="198"/>
      <c r="O210" s="199">
        <f>[3]arg!$G76</f>
        <v>28701.4</v>
      </c>
      <c r="P210" s="198">
        <v>4751.6490000000003</v>
      </c>
      <c r="Q210" s="198">
        <v>56.533000000000001</v>
      </c>
      <c r="R210" s="198">
        <v>466.37900000000002</v>
      </c>
      <c r="S210" s="198">
        <v>249.22300000000001</v>
      </c>
      <c r="T210" s="198">
        <v>3114.0569999999998</v>
      </c>
      <c r="U210" s="198"/>
      <c r="V210" s="199">
        <f t="shared" ref="V210:V220" si="13">P210-Q210-R210-S210-T210</f>
        <v>865.45700000000033</v>
      </c>
      <c r="W210" s="198">
        <v>3389.6419999999998</v>
      </c>
      <c r="X210" s="198">
        <v>100.44199999999999</v>
      </c>
      <c r="Y210" s="198">
        <v>727.92700000000002</v>
      </c>
      <c r="Z210" s="198">
        <v>263.38900000000001</v>
      </c>
      <c r="AA210" s="198">
        <v>1475.1279999999999</v>
      </c>
      <c r="AB210" s="198"/>
      <c r="AC210" s="199">
        <f t="shared" si="3"/>
        <v>822.75599999999963</v>
      </c>
      <c r="AD210" s="198"/>
      <c r="AE210" s="198">
        <v>18.068999999999999</v>
      </c>
      <c r="AF210" s="198">
        <v>257.63</v>
      </c>
      <c r="AG210" s="198">
        <v>394.47</v>
      </c>
      <c r="AH210" s="198">
        <v>192.649</v>
      </c>
      <c r="AI210" s="198"/>
      <c r="AJ210" s="198"/>
      <c r="AK210" s="197"/>
      <c r="AL210" s="198"/>
      <c r="AM210" s="198"/>
      <c r="AN210" s="198"/>
      <c r="AO210" s="198"/>
      <c r="AP210" s="198"/>
      <c r="AQ210" s="199"/>
      <c r="AR210" s="198">
        <v>505700.72633307998</v>
      </c>
      <c r="AS210" s="198">
        <v>125179.35579621002</v>
      </c>
      <c r="AT210" s="198">
        <v>55347.635415140001</v>
      </c>
      <c r="AU210" s="198">
        <v>25940.547180520003</v>
      </c>
      <c r="AV210" s="198">
        <v>140518.86295775001</v>
      </c>
      <c r="AW210" s="198"/>
      <c r="AX210" s="198">
        <v>158714.32498345993</v>
      </c>
      <c r="AY210" s="197">
        <v>38469421.518600002</v>
      </c>
      <c r="AZ210" s="198"/>
      <c r="BA210" s="198">
        <v>26327013.777600002</v>
      </c>
      <c r="BB210" s="198">
        <v>7704786.8585000001</v>
      </c>
      <c r="BC210" s="198">
        <v>4437620.8816999998</v>
      </c>
      <c r="BD210" s="198"/>
      <c r="BE210" s="198"/>
      <c r="BF210" s="197">
        <v>63430713.43999999</v>
      </c>
      <c r="BG210" s="198"/>
      <c r="BH210" s="198">
        <v>42166632.909999996</v>
      </c>
      <c r="BI210" s="198">
        <v>7141508.29</v>
      </c>
      <c r="BJ210" s="198">
        <v>13246402.199999997</v>
      </c>
      <c r="BK210" s="198">
        <v>876170.04</v>
      </c>
      <c r="BL210" s="198"/>
      <c r="BM210" s="197">
        <v>2793688.0580000002</v>
      </c>
      <c r="BN210" s="198">
        <v>215394.68700000001</v>
      </c>
      <c r="BO210" s="198">
        <v>362218.24599999998</v>
      </c>
      <c r="BP210" s="198">
        <v>502758.20500000002</v>
      </c>
      <c r="BQ210" s="198">
        <v>892461.48400000005</v>
      </c>
      <c r="BR210" s="198"/>
      <c r="BS210" s="198">
        <f t="shared" si="2"/>
        <v>820855.43600000022</v>
      </c>
      <c r="BT210" s="197"/>
      <c r="BU210" s="198"/>
      <c r="BV210" s="198"/>
      <c r="BW210" s="198"/>
      <c r="BX210" s="198"/>
      <c r="BY210" s="198"/>
      <c r="BZ210" s="198"/>
      <c r="CA210" s="197">
        <v>498.93299999999999</v>
      </c>
      <c r="CB210" s="198"/>
      <c r="CC210" s="198"/>
      <c r="CD210" s="198"/>
      <c r="CE210" s="198"/>
      <c r="CF210" s="198"/>
      <c r="CG210" s="198"/>
      <c r="CH210" s="197"/>
      <c r="CI210" s="198"/>
      <c r="CJ210" s="198">
        <v>3240054.6514600008</v>
      </c>
      <c r="CK210" s="198"/>
      <c r="CL210" s="198">
        <v>1663751.6180599998</v>
      </c>
      <c r="CM210" s="198">
        <v>363898</v>
      </c>
      <c r="CN210" s="198"/>
      <c r="CO210" s="197">
        <v>6549.4599900000003</v>
      </c>
      <c r="CP210" s="198">
        <v>689.42433999999992</v>
      </c>
      <c r="CQ210" s="198">
        <v>1196.7923799999999</v>
      </c>
      <c r="CR210" s="198">
        <v>1543.37327</v>
      </c>
      <c r="CS210" s="198">
        <v>1129.83699</v>
      </c>
      <c r="CT210" s="198"/>
      <c r="CU210" s="198">
        <v>1990.0330100000008</v>
      </c>
      <c r="CV210" s="197">
        <v>1142.2080000000001</v>
      </c>
      <c r="CW210" s="198"/>
      <c r="CX210" s="198"/>
      <c r="CY210" s="198"/>
      <c r="CZ210" s="198"/>
      <c r="DA210" s="198"/>
      <c r="DB210" s="198"/>
      <c r="DC210" s="197">
        <v>37264.342500999999</v>
      </c>
      <c r="DD210" s="198"/>
      <c r="DE210" s="198"/>
      <c r="DF210" s="198"/>
      <c r="DG210" s="198"/>
      <c r="DH210" s="198"/>
      <c r="DI210" s="198"/>
      <c r="DJ210" s="197">
        <f>1371.8+35198.6</f>
        <v>36570.400000000001</v>
      </c>
      <c r="DK210" s="198">
        <f>1191.7+8500.8</f>
        <v>9692.5</v>
      </c>
      <c r="DL210" s="198">
        <f>1369.6+8921.4</f>
        <v>10291</v>
      </c>
      <c r="DM210" s="198">
        <v>2957.7</v>
      </c>
      <c r="DN210" s="198">
        <f>8416.7-DM210</f>
        <v>5459.0000000000009</v>
      </c>
      <c r="DO210" s="198"/>
      <c r="DP210" s="198">
        <f>DJ210-SUM(DK210:DN210)</f>
        <v>8170.2000000000007</v>
      </c>
      <c r="DQ210" s="197"/>
      <c r="DR210" s="198"/>
      <c r="DS210" s="198"/>
      <c r="DT210" s="198"/>
      <c r="DU210" s="198"/>
      <c r="DV210" s="198"/>
      <c r="DW210" s="198"/>
      <c r="DX210" s="197">
        <v>60538.593639999999</v>
      </c>
      <c r="DY210" s="198"/>
      <c r="DZ210" s="198">
        <v>44504.772219999999</v>
      </c>
      <c r="EA210" s="198">
        <v>8079.5550899999998</v>
      </c>
      <c r="EB210" s="198">
        <v>6638.8579400000008</v>
      </c>
      <c r="EC210" s="198"/>
      <c r="ED210" s="198">
        <v>1315.4083700000001</v>
      </c>
      <c r="EE210" s="197"/>
      <c r="EF210" s="198"/>
      <c r="EG210" s="198"/>
      <c r="EH210" s="198"/>
      <c r="EI210" s="198"/>
      <c r="EJ210" s="198"/>
      <c r="EK210" s="198"/>
      <c r="EL210" s="197">
        <v>1081632.0018210001</v>
      </c>
      <c r="EM210" s="198">
        <v>383486.46431499993</v>
      </c>
      <c r="EN210" s="198">
        <v>42771.46396999999</v>
      </c>
      <c r="EO210" s="198">
        <v>124713.68732699999</v>
      </c>
      <c r="EP210" s="198">
        <v>173742.41275799996</v>
      </c>
      <c r="EQ210" s="198"/>
      <c r="ER210" s="198">
        <v>356817.32615899999</v>
      </c>
      <c r="ES210" s="197">
        <v>18897.8423</v>
      </c>
      <c r="ET210" s="198">
        <v>1995.5627999999999</v>
      </c>
      <c r="EU210" s="198">
        <v>5289.8140999999996</v>
      </c>
      <c r="EV210" s="198">
        <v>2328.9011</v>
      </c>
      <c r="EW210" s="198">
        <v>4943.3062</v>
      </c>
      <c r="EX210" s="198"/>
      <c r="EY210" s="198">
        <f t="shared" si="6"/>
        <v>4340.2581000000018</v>
      </c>
      <c r="EZ210" s="197"/>
      <c r="FA210" s="198"/>
      <c r="FB210" s="198"/>
      <c r="FC210" s="198"/>
      <c r="FD210" s="198"/>
      <c r="FE210" s="198"/>
      <c r="FF210" s="198"/>
      <c r="FG210" s="197"/>
      <c r="FH210" s="198"/>
      <c r="FI210" s="198"/>
      <c r="FJ210" s="198"/>
      <c r="FK210" s="198"/>
      <c r="FL210" s="198"/>
      <c r="FM210" s="198"/>
      <c r="FN210" s="197">
        <v>35932.902000000002</v>
      </c>
      <c r="FO210" s="198">
        <v>9563.7489999999998</v>
      </c>
      <c r="FP210" s="198">
        <v>4707.3209999999999</v>
      </c>
      <c r="FQ210" s="198">
        <v>5148.5590000000002</v>
      </c>
      <c r="FR210" s="198">
        <v>4890.6459999999997</v>
      </c>
      <c r="FS210" s="198"/>
      <c r="FT210" s="199">
        <f t="shared" si="7"/>
        <v>11622.627</v>
      </c>
      <c r="FU210" s="197"/>
      <c r="FV210" s="198"/>
      <c r="FW210" s="198"/>
      <c r="FX210" s="198"/>
      <c r="FY210" s="198"/>
      <c r="FZ210" s="198"/>
      <c r="GA210" s="199"/>
      <c r="GB210" s="197">
        <v>1335.4739999999999</v>
      </c>
      <c r="GC210" s="198"/>
      <c r="GD210" s="198"/>
      <c r="GE210" s="198"/>
      <c r="GF210" s="198"/>
      <c r="GG210" s="198"/>
      <c r="GH210" s="199"/>
      <c r="GI210" s="197">
        <v>826.81799999999998</v>
      </c>
      <c r="GJ210" s="198"/>
      <c r="GK210" s="198"/>
      <c r="GL210" s="198"/>
      <c r="GM210" s="198"/>
      <c r="GN210" s="198"/>
      <c r="GO210" s="199"/>
      <c r="GP210" s="197">
        <v>1832.1389999999999</v>
      </c>
      <c r="GQ210" s="198"/>
      <c r="GR210" s="198"/>
      <c r="GS210" s="198"/>
      <c r="GT210" s="198"/>
      <c r="GU210" s="198"/>
      <c r="GV210" s="199"/>
      <c r="GW210" s="197"/>
      <c r="GX210" s="198"/>
      <c r="GY210" s="198"/>
      <c r="GZ210" s="198"/>
      <c r="HA210" s="198"/>
      <c r="HB210" s="198"/>
      <c r="HC210" s="199"/>
      <c r="HD210" s="197"/>
      <c r="HE210" s="198"/>
      <c r="HF210" s="198"/>
      <c r="HG210" s="198"/>
      <c r="HH210" s="198"/>
      <c r="HI210" s="198"/>
      <c r="HJ210" s="199"/>
      <c r="HK210" s="197"/>
      <c r="HL210" s="198"/>
      <c r="HM210" s="198"/>
      <c r="HN210" s="198"/>
      <c r="HO210" s="198"/>
      <c r="HP210" s="198"/>
      <c r="HQ210" s="198"/>
      <c r="HR210" s="197">
        <v>22036.171999999999</v>
      </c>
      <c r="HT210" s="210">
        <v>14903.234</v>
      </c>
      <c r="HU210" s="210">
        <v>625.11199999999997</v>
      </c>
      <c r="HV210" s="210">
        <v>2812.36</v>
      </c>
      <c r="HW210" s="210">
        <v>759.23299999999995</v>
      </c>
      <c r="HX210" s="198">
        <v>2936.2330000000002</v>
      </c>
    </row>
    <row r="211" spans="1:233">
      <c r="A211" s="185" t="s">
        <v>490</v>
      </c>
      <c r="B211" s="197">
        <v>1894.049</v>
      </c>
      <c r="C211" s="198"/>
      <c r="D211" s="198"/>
      <c r="E211" s="198"/>
      <c r="F211" s="198"/>
      <c r="G211" s="198"/>
      <c r="H211" s="199"/>
      <c r="I211" s="197">
        <v>68071.399999999994</v>
      </c>
      <c r="J211" s="198"/>
      <c r="K211" s="198"/>
      <c r="L211" s="198">
        <v>8921.1</v>
      </c>
      <c r="M211" s="198">
        <v>4481.7</v>
      </c>
      <c r="N211" s="198"/>
      <c r="O211" s="199">
        <f>[3]arg!$G77</f>
        <v>28945.8</v>
      </c>
      <c r="P211" s="198">
        <v>4757.97</v>
      </c>
      <c r="Q211" s="198">
        <v>55.418999999999997</v>
      </c>
      <c r="R211" s="198">
        <v>428.10499999999996</v>
      </c>
      <c r="S211" s="198">
        <v>277.38900000000001</v>
      </c>
      <c r="T211" s="198">
        <v>3121.9389999999999</v>
      </c>
      <c r="U211" s="198"/>
      <c r="V211" s="199">
        <f t="shared" si="13"/>
        <v>875.11800000000085</v>
      </c>
      <c r="W211" s="198">
        <v>3489.116</v>
      </c>
      <c r="X211" s="198">
        <v>102.069</v>
      </c>
      <c r="Y211" s="198">
        <v>793.86700000000008</v>
      </c>
      <c r="Z211" s="198">
        <v>267.48500000000001</v>
      </c>
      <c r="AA211" s="198">
        <v>1502.364</v>
      </c>
      <c r="AB211" s="198"/>
      <c r="AC211" s="199">
        <f t="shared" ref="AC211:AC274" si="14">W211-X211-Y211-Z211-AA211</f>
        <v>823.33099999999968</v>
      </c>
      <c r="AD211" s="198"/>
      <c r="AE211" s="198">
        <v>17.512</v>
      </c>
      <c r="AF211" s="198">
        <v>251.63200000000001</v>
      </c>
      <c r="AG211" s="198">
        <v>398.233</v>
      </c>
      <c r="AH211" s="198">
        <v>193.29900000000001</v>
      </c>
      <c r="AI211" s="198"/>
      <c r="AJ211" s="198"/>
      <c r="AK211" s="197"/>
      <c r="AL211" s="198"/>
      <c r="AM211" s="198"/>
      <c r="AN211" s="198"/>
      <c r="AO211" s="198"/>
      <c r="AP211" s="198"/>
      <c r="AQ211" s="199"/>
      <c r="AR211" s="198">
        <v>511637.78581424995</v>
      </c>
      <c r="AS211" s="198">
        <v>126327.06750040999</v>
      </c>
      <c r="AT211" s="198">
        <v>56935.346226109999</v>
      </c>
      <c r="AU211" s="198">
        <v>26037.556267739998</v>
      </c>
      <c r="AV211" s="198">
        <v>143560.60509913997</v>
      </c>
      <c r="AW211" s="198"/>
      <c r="AX211" s="198">
        <v>158777.21072085004</v>
      </c>
      <c r="AY211" s="197">
        <v>38678124.9309</v>
      </c>
      <c r="AZ211" s="198"/>
      <c r="BA211" s="198">
        <v>26451521.029899999</v>
      </c>
      <c r="BB211" s="198">
        <v>7734963.8498</v>
      </c>
      <c r="BC211" s="198">
        <v>4491640.0504999999</v>
      </c>
      <c r="BD211" s="198"/>
      <c r="BE211" s="198"/>
      <c r="BF211" s="197">
        <v>64054682.059999995</v>
      </c>
      <c r="BG211" s="198"/>
      <c r="BH211" s="198">
        <v>42470246.079999991</v>
      </c>
      <c r="BI211" s="198">
        <v>7163315.2800000003</v>
      </c>
      <c r="BJ211" s="198">
        <v>13503274.320000004</v>
      </c>
      <c r="BK211" s="198">
        <v>917846.38</v>
      </c>
      <c r="BL211" s="198"/>
      <c r="BM211" s="197">
        <v>2807431.4509999999</v>
      </c>
      <c r="BN211" s="198">
        <v>206573.91800000001</v>
      </c>
      <c r="BO211" s="198">
        <v>371642.08299999998</v>
      </c>
      <c r="BP211" s="198">
        <v>530341.91099999996</v>
      </c>
      <c r="BQ211" s="198">
        <v>899888.28899999999</v>
      </c>
      <c r="BR211" s="198"/>
      <c r="BS211" s="198">
        <f t="shared" si="2"/>
        <v>798985.25</v>
      </c>
      <c r="BT211" s="197"/>
      <c r="BU211" s="198"/>
      <c r="BV211" s="198"/>
      <c r="BW211" s="198"/>
      <c r="BX211" s="198"/>
      <c r="BY211" s="198"/>
      <c r="BZ211" s="198"/>
      <c r="CA211" s="197">
        <v>500.63900000000001</v>
      </c>
      <c r="CB211" s="198"/>
      <c r="CC211" s="198"/>
      <c r="CD211" s="198"/>
      <c r="CE211" s="198"/>
      <c r="CF211" s="198"/>
      <c r="CG211" s="198"/>
      <c r="CH211" s="197"/>
      <c r="CI211" s="198"/>
      <c r="CJ211" s="198">
        <v>3266797.9097099998</v>
      </c>
      <c r="CK211" s="198"/>
      <c r="CL211" s="198">
        <v>1685028.9016999998</v>
      </c>
      <c r="CM211" s="198">
        <v>362707</v>
      </c>
      <c r="CN211" s="198"/>
      <c r="CO211" s="197">
        <v>6562.1832199999999</v>
      </c>
      <c r="CP211" s="198">
        <v>706.59387000000004</v>
      </c>
      <c r="CQ211" s="198">
        <v>1179.10842</v>
      </c>
      <c r="CR211" s="198">
        <v>1557.5843200000002</v>
      </c>
      <c r="CS211" s="198">
        <v>1159.4966100000001</v>
      </c>
      <c r="CT211" s="198"/>
      <c r="CU211" s="198">
        <v>1959.3999999999992</v>
      </c>
      <c r="CV211" s="197">
        <v>1150.403</v>
      </c>
      <c r="CW211" s="198"/>
      <c r="CX211" s="198"/>
      <c r="CY211" s="198"/>
      <c r="CZ211" s="198"/>
      <c r="DA211" s="198"/>
      <c r="DB211" s="198"/>
      <c r="DC211" s="197">
        <v>36994.120819999996</v>
      </c>
      <c r="DD211" s="198"/>
      <c r="DE211" s="198"/>
      <c r="DF211" s="198"/>
      <c r="DG211" s="198"/>
      <c r="DH211" s="198"/>
      <c r="DI211" s="198"/>
      <c r="DJ211" s="197">
        <f>1427.2+34898.7</f>
        <v>36325.899999999994</v>
      </c>
      <c r="DK211" s="198">
        <f>1182.4+8529.2</f>
        <v>9711.6</v>
      </c>
      <c r="DL211" s="198">
        <f>0.3+1293.1+8678.3</f>
        <v>9971.6999999999989</v>
      </c>
      <c r="DM211" s="198">
        <v>3081.6</v>
      </c>
      <c r="DN211" s="198">
        <f>8418.4-DM211</f>
        <v>5336.7999999999993</v>
      </c>
      <c r="DO211" s="198"/>
      <c r="DP211" s="198">
        <f>DJ211-SUM(DK211:DN211)</f>
        <v>8224.1999999999971</v>
      </c>
      <c r="DQ211" s="197"/>
      <c r="DR211" s="198"/>
      <c r="DS211" s="198"/>
      <c r="DT211" s="198"/>
      <c r="DU211" s="198"/>
      <c r="DV211" s="198"/>
      <c r="DW211" s="198"/>
      <c r="DX211" s="197">
        <v>62416.885049999997</v>
      </c>
      <c r="DY211" s="198"/>
      <c r="DZ211" s="198">
        <v>46267.078350000003</v>
      </c>
      <c r="EA211" s="198">
        <v>8107.6373600000006</v>
      </c>
      <c r="EB211" s="198">
        <v>6751.8723099999997</v>
      </c>
      <c r="EC211" s="198"/>
      <c r="ED211" s="198">
        <v>1290.2970399999999</v>
      </c>
      <c r="EE211" s="197"/>
      <c r="EF211" s="198"/>
      <c r="EG211" s="198"/>
      <c r="EH211" s="198"/>
      <c r="EI211" s="198"/>
      <c r="EJ211" s="198"/>
      <c r="EK211" s="198"/>
      <c r="EL211" s="197">
        <v>1090881.9541909997</v>
      </c>
      <c r="EM211" s="198">
        <v>388881.77322000003</v>
      </c>
      <c r="EN211" s="198">
        <v>39138.543525000001</v>
      </c>
      <c r="EO211" s="198">
        <v>125998.17415799999</v>
      </c>
      <c r="EP211" s="198">
        <v>178687.54469900005</v>
      </c>
      <c r="EQ211" s="198"/>
      <c r="ER211" s="198">
        <v>358085.8219000001</v>
      </c>
      <c r="ES211" s="197">
        <v>18948.141613</v>
      </c>
      <c r="ET211" s="198">
        <v>2029.9938420599999</v>
      </c>
      <c r="EU211" s="198">
        <v>5205.6887212900001</v>
      </c>
      <c r="EV211" s="198">
        <v>2382.7793204700001</v>
      </c>
      <c r="EW211" s="198">
        <v>5030.5820482399995</v>
      </c>
      <c r="EX211" s="198"/>
      <c r="EY211" s="198">
        <f t="shared" si="6"/>
        <v>4299.0976809399999</v>
      </c>
      <c r="EZ211" s="197"/>
      <c r="FA211" s="198"/>
      <c r="FB211" s="198"/>
      <c r="FC211" s="198"/>
      <c r="FD211" s="198"/>
      <c r="FE211" s="198"/>
      <c r="FF211" s="198"/>
      <c r="FG211" s="197"/>
      <c r="FH211" s="198"/>
      <c r="FI211" s="198"/>
      <c r="FJ211" s="198"/>
      <c r="FK211" s="198"/>
      <c r="FL211" s="198"/>
      <c r="FM211" s="198"/>
      <c r="FN211" s="197">
        <v>35933.631999999998</v>
      </c>
      <c r="FO211" s="198">
        <v>9581.4959999999992</v>
      </c>
      <c r="FP211" s="198">
        <v>4594.0510000000004</v>
      </c>
      <c r="FQ211" s="198">
        <v>5210.3680000000004</v>
      </c>
      <c r="FR211" s="198">
        <v>4978.6959999999999</v>
      </c>
      <c r="FS211" s="198"/>
      <c r="FT211" s="199">
        <f t="shared" si="7"/>
        <v>11569.020999999997</v>
      </c>
      <c r="FU211" s="197"/>
      <c r="FV211" s="198"/>
      <c r="FW211" s="198"/>
      <c r="FX211" s="198"/>
      <c r="FY211" s="198"/>
      <c r="FZ211" s="198"/>
      <c r="GA211" s="199"/>
      <c r="GB211" s="197">
        <v>1343.8869999999999</v>
      </c>
      <c r="GC211" s="198"/>
      <c r="GD211" s="198"/>
      <c r="GE211" s="198"/>
      <c r="GF211" s="198"/>
      <c r="GG211" s="198"/>
      <c r="GH211" s="199"/>
      <c r="GI211" s="197">
        <v>824.88099999999997</v>
      </c>
      <c r="GJ211" s="198"/>
      <c r="GK211" s="198"/>
      <c r="GL211" s="198"/>
      <c r="GM211" s="198"/>
      <c r="GN211" s="198"/>
      <c r="GO211" s="199"/>
      <c r="GP211" s="197">
        <v>1878.4929999999999</v>
      </c>
      <c r="GQ211" s="198"/>
      <c r="GR211" s="198"/>
      <c r="GS211" s="198"/>
      <c r="GT211" s="198"/>
      <c r="GU211" s="198"/>
      <c r="GV211" s="199"/>
      <c r="GW211" s="197"/>
      <c r="GX211" s="198"/>
      <c r="GY211" s="198"/>
      <c r="GZ211" s="198"/>
      <c r="HA211" s="198"/>
      <c r="HB211" s="198"/>
      <c r="HC211" s="199"/>
      <c r="HD211" s="197"/>
      <c r="HE211" s="198"/>
      <c r="HF211" s="198"/>
      <c r="HG211" s="198"/>
      <c r="HH211" s="198"/>
      <c r="HI211" s="198"/>
      <c r="HJ211" s="199"/>
      <c r="HK211" s="197"/>
      <c r="HL211" s="198"/>
      <c r="HM211" s="198"/>
      <c r="HN211" s="198"/>
      <c r="HO211" s="198"/>
      <c r="HP211" s="198"/>
      <c r="HQ211" s="198"/>
      <c r="HR211" s="197">
        <v>21911.827000000001</v>
      </c>
      <c r="HT211" s="198">
        <v>14669.398999999999</v>
      </c>
      <c r="HU211" s="198">
        <v>615.21799999999996</v>
      </c>
      <c r="HV211" s="198">
        <v>2898.0729999999999</v>
      </c>
      <c r="HW211" s="198">
        <v>765.21199999999999</v>
      </c>
      <c r="HX211" s="198">
        <v>2963.9250000000002</v>
      </c>
    </row>
    <row r="212" spans="1:233">
      <c r="A212" s="185" t="s">
        <v>491</v>
      </c>
      <c r="B212" s="197">
        <v>1892.136</v>
      </c>
      <c r="C212" s="198">
        <v>55.817</v>
      </c>
      <c r="D212" s="198">
        <v>312.27100000000002</v>
      </c>
      <c r="E212" s="198">
        <v>485.69799999999998</v>
      </c>
      <c r="F212" s="198">
        <v>362.596</v>
      </c>
      <c r="G212" s="198"/>
      <c r="H212" s="199">
        <v>675.75400000000002</v>
      </c>
      <c r="I212" s="197">
        <v>68343.8</v>
      </c>
      <c r="J212" s="198"/>
      <c r="K212" s="198"/>
      <c r="L212" s="198">
        <v>8832.4</v>
      </c>
      <c r="M212" s="198">
        <v>4771.7</v>
      </c>
      <c r="N212" s="198"/>
      <c r="O212" s="199">
        <f>[3]arg!$G78</f>
        <v>29885.5</v>
      </c>
      <c r="P212" s="198">
        <v>4786.8599999999997</v>
      </c>
      <c r="Q212" s="198">
        <v>56.59</v>
      </c>
      <c r="R212" s="198">
        <v>421.02599999999995</v>
      </c>
      <c r="S212" s="198">
        <v>276.40499999999997</v>
      </c>
      <c r="T212" s="198">
        <v>3107.4989999999998</v>
      </c>
      <c r="U212" s="198"/>
      <c r="V212" s="199">
        <f t="shared" si="13"/>
        <v>925.34000000000015</v>
      </c>
      <c r="W212" s="198">
        <v>3429.6640000000002</v>
      </c>
      <c r="X212" s="198">
        <v>120.081</v>
      </c>
      <c r="Y212" s="198">
        <v>769.86700000000008</v>
      </c>
      <c r="Z212" s="198">
        <v>266.959</v>
      </c>
      <c r="AA212" s="198">
        <v>1515.047</v>
      </c>
      <c r="AB212" s="198"/>
      <c r="AC212" s="199">
        <f t="shared" si="14"/>
        <v>757.71</v>
      </c>
      <c r="AD212" s="198">
        <f>[1]datos!$S344</f>
        <v>1409.971</v>
      </c>
      <c r="AE212" s="198">
        <v>16.228999999999999</v>
      </c>
      <c r="AF212" s="198">
        <v>252.02299999999997</v>
      </c>
      <c r="AG212" s="198">
        <v>396.08799999999997</v>
      </c>
      <c r="AH212" s="198">
        <v>192.58699999999999</v>
      </c>
      <c r="AI212" s="198">
        <f>[1]datos!$U344</f>
        <v>243.345</v>
      </c>
      <c r="AJ212" s="198">
        <f>AD212-AE212-AF212-AG212-AH212-AI212</f>
        <v>309.69900000000007</v>
      </c>
      <c r="AK212" s="197">
        <v>25888.137600000002</v>
      </c>
      <c r="AL212" s="198"/>
      <c r="AM212" s="198">
        <v>15094.136200000001</v>
      </c>
      <c r="AN212" s="198">
        <v>5492.8198000000002</v>
      </c>
      <c r="AO212" s="198">
        <v>1698.8686</v>
      </c>
      <c r="AP212" s="198">
        <v>3602.3130000000001</v>
      </c>
      <c r="AQ212" s="199"/>
      <c r="AR212" s="198">
        <v>520284.6388974</v>
      </c>
      <c r="AS212" s="198">
        <v>126646.02814251999</v>
      </c>
      <c r="AT212" s="198">
        <v>57251.627214010005</v>
      </c>
      <c r="AU212" s="198">
        <v>26183.673513910006</v>
      </c>
      <c r="AV212" s="198">
        <v>148439.81161650002</v>
      </c>
      <c r="AW212" s="198"/>
      <c r="AX212" s="198">
        <v>161763.49841045996</v>
      </c>
      <c r="AY212" s="197">
        <v>39363621.880900003</v>
      </c>
      <c r="AZ212" s="198"/>
      <c r="BA212" s="198">
        <v>26872033.5825</v>
      </c>
      <c r="BB212" s="198">
        <v>7868073.6306999996</v>
      </c>
      <c r="BC212" s="198">
        <v>4623514.6671000002</v>
      </c>
      <c r="BD212" s="198"/>
      <c r="BE212" s="198"/>
      <c r="BF212" s="197">
        <v>65217904.18</v>
      </c>
      <c r="BG212" s="198"/>
      <c r="BH212" s="198">
        <v>43421702.960000001</v>
      </c>
      <c r="BI212" s="198">
        <v>7133387.4899999993</v>
      </c>
      <c r="BJ212" s="198">
        <v>13712507.699999999</v>
      </c>
      <c r="BK212" s="198">
        <v>950306.03</v>
      </c>
      <c r="BL212" s="198"/>
      <c r="BM212" s="197">
        <v>2849230.622</v>
      </c>
      <c r="BN212" s="198">
        <v>201247.18100000001</v>
      </c>
      <c r="BO212" s="198">
        <v>376608.66399999999</v>
      </c>
      <c r="BP212" s="198">
        <v>531511.99300000002</v>
      </c>
      <c r="BQ212" s="198">
        <v>932205.89500000002</v>
      </c>
      <c r="BR212" s="198"/>
      <c r="BS212" s="198">
        <f t="shared" si="2"/>
        <v>807656.88899999997</v>
      </c>
      <c r="BT212" s="197"/>
      <c r="BU212" s="198"/>
      <c r="BV212" s="198"/>
      <c r="BW212" s="198"/>
      <c r="BX212" s="198"/>
      <c r="BY212" s="198"/>
      <c r="BZ212" s="198"/>
      <c r="CA212" s="197">
        <v>503.34199999999998</v>
      </c>
      <c r="CB212" s="198">
        <v>22.05</v>
      </c>
      <c r="CC212" s="198">
        <v>99.373999999999995</v>
      </c>
      <c r="CD212" s="198">
        <v>167.15600000000001</v>
      </c>
      <c r="CE212" s="198">
        <v>93.927000000000007</v>
      </c>
      <c r="CF212" s="198"/>
      <c r="CG212" s="198">
        <f>CA212-CB212-CC212-CD212-CE212</f>
        <v>120.83499999999999</v>
      </c>
      <c r="CH212" s="197"/>
      <c r="CI212" s="198"/>
      <c r="CJ212" s="198">
        <v>3295239.4497699998</v>
      </c>
      <c r="CK212" s="198"/>
      <c r="CL212" s="198">
        <v>1721968.8440400001</v>
      </c>
      <c r="CM212" s="198">
        <v>422352</v>
      </c>
      <c r="CN212" s="198"/>
      <c r="CO212" s="197">
        <v>6600.53845</v>
      </c>
      <c r="CP212" s="198">
        <v>704.22744999999998</v>
      </c>
      <c r="CQ212" s="198">
        <v>1138.53925</v>
      </c>
      <c r="CR212" s="198">
        <v>1570.6891499999999</v>
      </c>
      <c r="CS212" s="198">
        <v>1227.8757800000001</v>
      </c>
      <c r="CT212" s="198"/>
      <c r="CU212" s="198">
        <v>1959.2068200000003</v>
      </c>
      <c r="CV212" s="197">
        <v>1150.56</v>
      </c>
      <c r="CW212" s="198">
        <v>32.087000000000003</v>
      </c>
      <c r="CX212" s="198">
        <v>150.459</v>
      </c>
      <c r="CY212" s="198">
        <v>388.69600000000003</v>
      </c>
      <c r="CZ212" s="198">
        <v>301.173</v>
      </c>
      <c r="DA212" s="198"/>
      <c r="DB212" s="198">
        <f>CV212-CW212-CX212-CY212-CZ212</f>
        <v>278.14499999999987</v>
      </c>
      <c r="DC212" s="197">
        <v>37363.690443</v>
      </c>
      <c r="DD212" s="198"/>
      <c r="DE212" s="198"/>
      <c r="DF212" s="198"/>
      <c r="DG212" s="198"/>
      <c r="DH212" s="198"/>
      <c r="DI212" s="198"/>
      <c r="DJ212" s="197">
        <f>1727+34916.3</f>
        <v>36643.300000000003</v>
      </c>
      <c r="DK212" s="198">
        <f>1173.1+7969</f>
        <v>9142.1</v>
      </c>
      <c r="DL212" s="198">
        <f>1792.2+8494.5</f>
        <v>10286.700000000001</v>
      </c>
      <c r="DM212" s="198">
        <v>3076.6</v>
      </c>
      <c r="DN212" s="198">
        <f>8432.5-DM212</f>
        <v>5355.9</v>
      </c>
      <c r="DO212" s="198"/>
      <c r="DP212" s="198">
        <f>DJ212-SUM(DK212:DN212)</f>
        <v>8782</v>
      </c>
      <c r="DQ212" s="197"/>
      <c r="DR212" s="198"/>
      <c r="DS212" s="198"/>
      <c r="DT212" s="198"/>
      <c r="DU212" s="198"/>
      <c r="DV212" s="198"/>
      <c r="DW212" s="198"/>
      <c r="DX212" s="197">
        <v>62999.384610000001</v>
      </c>
      <c r="DY212" s="198"/>
      <c r="DZ212" s="198">
        <v>46722.397079999995</v>
      </c>
      <c r="EA212" s="198">
        <v>8144.3224600000003</v>
      </c>
      <c r="EB212" s="198">
        <v>6892.9049299999997</v>
      </c>
      <c r="EC212" s="198"/>
      <c r="ED212" s="198">
        <v>1239.7601299999999</v>
      </c>
      <c r="EE212" s="197">
        <v>118444.879</v>
      </c>
      <c r="EF212" s="198">
        <v>4334.8109999999997</v>
      </c>
      <c r="EG212" s="198">
        <v>22563.949000000001</v>
      </c>
      <c r="EH212" s="198">
        <v>6300.61</v>
      </c>
      <c r="EI212" s="198">
        <v>34137.523999999998</v>
      </c>
      <c r="EJ212" s="198"/>
      <c r="EK212" s="198">
        <f>EE212-EF212-EG212-EH212-EI212</f>
        <v>51107.985000000008</v>
      </c>
      <c r="EL212" s="197">
        <v>1107047.9336249998</v>
      </c>
      <c r="EM212" s="198">
        <v>387064.96443999989</v>
      </c>
      <c r="EN212" s="198">
        <v>44271.045281999992</v>
      </c>
      <c r="EO212" s="198">
        <v>127811.607351</v>
      </c>
      <c r="EP212" s="198">
        <v>185029.54236900003</v>
      </c>
      <c r="EQ212" s="198"/>
      <c r="ER212" s="198">
        <v>362724.81195500004</v>
      </c>
      <c r="ES212" s="197">
        <v>19493.559278050001</v>
      </c>
      <c r="ET212" s="198">
        <v>2262.1079859400002</v>
      </c>
      <c r="EU212" s="198">
        <v>5379.1494419199998</v>
      </c>
      <c r="EV212" s="198">
        <v>2455.6633002499998</v>
      </c>
      <c r="EW212" s="198">
        <v>5140.3882270100003</v>
      </c>
      <c r="EX212" s="198"/>
      <c r="EY212" s="198">
        <f t="shared" si="6"/>
        <v>4256.25032293</v>
      </c>
      <c r="EZ212" s="197">
        <v>13376</v>
      </c>
      <c r="FA212" s="198">
        <v>596</v>
      </c>
      <c r="FB212" s="198">
        <v>3514</v>
      </c>
      <c r="FC212" s="198">
        <v>3699</v>
      </c>
      <c r="FD212" s="198">
        <v>2867</v>
      </c>
      <c r="FE212" s="198">
        <v>26</v>
      </c>
      <c r="FF212" s="198">
        <f>EZ212-FA212-FB212-FC212-FD212</f>
        <v>2700</v>
      </c>
      <c r="FG212" s="197"/>
      <c r="FH212" s="198"/>
      <c r="FI212" s="198"/>
      <c r="FJ212" s="198"/>
      <c r="FK212" s="198"/>
      <c r="FL212" s="198"/>
      <c r="FM212" s="198"/>
      <c r="FN212" s="197">
        <v>36351.379999999997</v>
      </c>
      <c r="FO212" s="198">
        <v>9564.25</v>
      </c>
      <c r="FP212" s="198">
        <v>4773.0129999999999</v>
      </c>
      <c r="FQ212" s="198">
        <v>5288.7359999999999</v>
      </c>
      <c r="FR212" s="198">
        <v>5050.8720000000003</v>
      </c>
      <c r="FS212" s="198"/>
      <c r="FT212" s="199">
        <f t="shared" si="7"/>
        <v>11674.508999999998</v>
      </c>
      <c r="FU212" s="197"/>
      <c r="FV212" s="198"/>
      <c r="FW212" s="198"/>
      <c r="FX212" s="198"/>
      <c r="FY212" s="198"/>
      <c r="FZ212" s="198"/>
      <c r="GA212" s="199"/>
      <c r="GB212" s="197">
        <v>1367.048</v>
      </c>
      <c r="GC212" s="198">
        <v>21.184000000000001</v>
      </c>
      <c r="GD212" s="198">
        <v>197.34800000000001</v>
      </c>
      <c r="GE212" s="198">
        <v>256.14400000000001</v>
      </c>
      <c r="GF212" s="198">
        <v>254.78100000000001</v>
      </c>
      <c r="GG212" s="198"/>
      <c r="GH212" s="199">
        <f>GB212-GC212-GD212-GE212-GF212</f>
        <v>637.59100000000012</v>
      </c>
      <c r="GI212" s="197">
        <v>819.03599999999994</v>
      </c>
      <c r="GJ212" s="198">
        <v>18.867000000000001</v>
      </c>
      <c r="GK212" s="198">
        <v>127.80200000000001</v>
      </c>
      <c r="GL212" s="198">
        <v>303.029</v>
      </c>
      <c r="GM212" s="198">
        <v>145.96600000000001</v>
      </c>
      <c r="GN212" s="198"/>
      <c r="GO212" s="199">
        <f>GI212-GJ212-GK212-GL212-GM212</f>
        <v>223.37199999999996</v>
      </c>
      <c r="GP212" s="197">
        <v>1913.4949999999999</v>
      </c>
      <c r="GQ212" s="198">
        <v>50.731999999999999</v>
      </c>
      <c r="GR212" s="198">
        <v>424.18200000000002</v>
      </c>
      <c r="GS212" s="198">
        <v>431.59699999999998</v>
      </c>
      <c r="GT212" s="198">
        <v>474.02800000000002</v>
      </c>
      <c r="GU212" s="198"/>
      <c r="GV212" s="199">
        <f>GP212-GQ212-GR212-GS212-GT212</f>
        <v>532.9559999999999</v>
      </c>
      <c r="GW212" s="197"/>
      <c r="GX212" s="198"/>
      <c r="GY212" s="198"/>
      <c r="GZ212" s="198"/>
      <c r="HA212" s="198"/>
      <c r="HB212" s="198"/>
      <c r="HC212" s="199"/>
      <c r="HD212" s="197">
        <f>'[2]t&amp;t'!W344</f>
        <v>22183</v>
      </c>
      <c r="HE212" s="198">
        <f>'[2]t&amp;t'!X344</f>
        <v>2129.9</v>
      </c>
      <c r="HF212" s="198">
        <f>'[2]t&amp;t'!Y344</f>
        <v>1762.6</v>
      </c>
      <c r="HG212" s="198">
        <f>'[2]t&amp;t'!Z344</f>
        <v>2615.1</v>
      </c>
      <c r="HH212" s="198">
        <f>'[2]t&amp;t'!AA344</f>
        <v>7173.3</v>
      </c>
      <c r="HI212" s="198"/>
      <c r="HJ212" s="199">
        <f>'[2]t&amp;t'!AC344</f>
        <v>8502.1</v>
      </c>
      <c r="HK212" s="197"/>
      <c r="HL212" s="198"/>
      <c r="HM212" s="198"/>
      <c r="HN212" s="198"/>
      <c r="HO212" s="198"/>
      <c r="HP212" s="198"/>
      <c r="HQ212" s="198"/>
      <c r="HR212" s="197">
        <v>22893.342000000001</v>
      </c>
      <c r="HT212" s="198">
        <v>15368.869000000001</v>
      </c>
      <c r="HU212" s="198">
        <v>608.42600000000004</v>
      </c>
      <c r="HV212" s="198">
        <v>3047.1260000000002</v>
      </c>
      <c r="HW212" s="198">
        <v>835.78099999999995</v>
      </c>
      <c r="HX212" s="198">
        <v>3033.14</v>
      </c>
    </row>
    <row r="213" spans="1:233">
      <c r="A213" s="185" t="s">
        <v>492</v>
      </c>
      <c r="B213" s="197">
        <v>1910.106</v>
      </c>
      <c r="C213" s="198"/>
      <c r="D213" s="198"/>
      <c r="E213" s="198"/>
      <c r="F213" s="198"/>
      <c r="G213" s="198"/>
      <c r="H213" s="199"/>
      <c r="I213" s="197">
        <v>70003.7</v>
      </c>
      <c r="J213" s="198"/>
      <c r="K213" s="198"/>
      <c r="L213" s="198">
        <v>8885.9</v>
      </c>
      <c r="M213" s="198">
        <v>5018.2</v>
      </c>
      <c r="N213" s="198"/>
      <c r="O213" s="199">
        <f>[3]arg!$G79</f>
        <v>30802.2</v>
      </c>
      <c r="P213" s="198">
        <v>4808.8789999999999</v>
      </c>
      <c r="Q213" s="198">
        <v>54.872</v>
      </c>
      <c r="R213" s="198">
        <v>426.50299999999999</v>
      </c>
      <c r="S213" s="198">
        <v>272.61900000000003</v>
      </c>
      <c r="T213" s="198">
        <v>3141.114</v>
      </c>
      <c r="U213" s="198"/>
      <c r="V213" s="199">
        <f t="shared" si="13"/>
        <v>913.77099999999973</v>
      </c>
      <c r="W213" s="198">
        <v>3465.6550000000002</v>
      </c>
      <c r="X213" s="198">
        <v>103.206</v>
      </c>
      <c r="Y213" s="198">
        <v>797.48800000000006</v>
      </c>
      <c r="Z213" s="198">
        <v>260.53899999999999</v>
      </c>
      <c r="AA213" s="198">
        <v>1546.2909999999999</v>
      </c>
      <c r="AB213" s="198"/>
      <c r="AC213" s="199">
        <f t="shared" si="14"/>
        <v>758.13100000000054</v>
      </c>
      <c r="AD213" s="198"/>
      <c r="AE213" s="198">
        <v>17.305</v>
      </c>
      <c r="AF213" s="198">
        <v>250.77700000000004</v>
      </c>
      <c r="AG213" s="198">
        <v>401.53300000000002</v>
      </c>
      <c r="AH213" s="198">
        <v>196.483</v>
      </c>
      <c r="AI213" s="198"/>
      <c r="AJ213" s="198"/>
      <c r="AK213" s="197"/>
      <c r="AL213" s="198"/>
      <c r="AM213" s="198"/>
      <c r="AN213" s="198"/>
      <c r="AO213" s="198"/>
      <c r="AP213" s="198"/>
      <c r="AQ213" s="199"/>
      <c r="AR213" s="198">
        <v>529999.6271626401</v>
      </c>
      <c r="AS213" s="198">
        <v>128582.85294326</v>
      </c>
      <c r="AT213" s="198">
        <v>57984.427088129996</v>
      </c>
      <c r="AU213" s="198">
        <v>26406.23941957</v>
      </c>
      <c r="AV213" s="198">
        <v>153118.82690362004</v>
      </c>
      <c r="AW213" s="198"/>
      <c r="AX213" s="198">
        <v>163907.28080806008</v>
      </c>
      <c r="AY213" s="197">
        <v>40221403.121399999</v>
      </c>
      <c r="AZ213" s="198"/>
      <c r="BA213" s="198">
        <v>27600038.5964</v>
      </c>
      <c r="BB213" s="198">
        <v>7922527.5630000001</v>
      </c>
      <c r="BC213" s="198">
        <v>4698836.9611999998</v>
      </c>
      <c r="BD213" s="198"/>
      <c r="BE213" s="198"/>
      <c r="BF213" s="197">
        <v>66148568.170000017</v>
      </c>
      <c r="BG213" s="198"/>
      <c r="BH213" s="198">
        <v>43831681.050000004</v>
      </c>
      <c r="BI213" s="198">
        <v>7173812.3500000015</v>
      </c>
      <c r="BJ213" s="198">
        <v>14157411.25</v>
      </c>
      <c r="BK213" s="198">
        <v>985663.52</v>
      </c>
      <c r="BL213" s="198"/>
      <c r="BM213" s="197">
        <v>2895549.53</v>
      </c>
      <c r="BN213" s="198">
        <v>202411.79199999999</v>
      </c>
      <c r="BO213" s="198">
        <v>388664.7</v>
      </c>
      <c r="BP213" s="198">
        <v>523888.38200000004</v>
      </c>
      <c r="BQ213" s="198">
        <v>954604.33600000001</v>
      </c>
      <c r="BR213" s="198"/>
      <c r="BS213" s="198">
        <f t="shared" si="2"/>
        <v>825980.31999999983</v>
      </c>
      <c r="BT213" s="197"/>
      <c r="BU213" s="198"/>
      <c r="BV213" s="198"/>
      <c r="BW213" s="198"/>
      <c r="BX213" s="198"/>
      <c r="BY213" s="198"/>
      <c r="BZ213" s="198"/>
      <c r="CA213" s="197">
        <v>507.21600000000001</v>
      </c>
      <c r="CB213" s="198"/>
      <c r="CC213" s="198"/>
      <c r="CD213" s="198"/>
      <c r="CE213" s="198"/>
      <c r="CF213" s="198"/>
      <c r="CG213" s="198"/>
      <c r="CH213" s="197"/>
      <c r="CI213" s="198"/>
      <c r="CJ213" s="198">
        <v>3349311.609410001</v>
      </c>
      <c r="CK213" s="198"/>
      <c r="CL213" s="198">
        <v>1753180.3010700003</v>
      </c>
      <c r="CM213" s="198">
        <v>470032</v>
      </c>
      <c r="CN213" s="198"/>
      <c r="CO213" s="197">
        <v>6678.1810899999991</v>
      </c>
      <c r="CP213" s="198">
        <v>730.24949000000004</v>
      </c>
      <c r="CQ213" s="198">
        <v>1163.9990299999999</v>
      </c>
      <c r="CR213" s="198">
        <v>1580.1576100000002</v>
      </c>
      <c r="CS213" s="198">
        <v>1226.93605</v>
      </c>
      <c r="CT213" s="198"/>
      <c r="CU213" s="198">
        <v>1976.8389099999993</v>
      </c>
      <c r="CV213" s="197">
        <v>1159.171</v>
      </c>
      <c r="CW213" s="198"/>
      <c r="CX213" s="198"/>
      <c r="CY213" s="198"/>
      <c r="CZ213" s="198"/>
      <c r="DA213" s="198"/>
      <c r="DB213" s="198"/>
      <c r="DC213" s="197">
        <v>37755.256057999999</v>
      </c>
      <c r="DD213" s="198"/>
      <c r="DE213" s="198"/>
      <c r="DF213" s="198"/>
      <c r="DG213" s="198"/>
      <c r="DH213" s="198"/>
      <c r="DI213" s="198"/>
      <c r="DJ213" s="197">
        <f>2247.9+35447.3</f>
        <v>37695.200000000004</v>
      </c>
      <c r="DK213" s="198">
        <f>1725+8232.5</f>
        <v>9957.5</v>
      </c>
      <c r="DL213" s="198">
        <f>1498.6+8836.6</f>
        <v>10335.200000000001</v>
      </c>
      <c r="DM213" s="198">
        <v>3080.3</v>
      </c>
      <c r="DN213" s="198">
        <f>8585.3-DM213</f>
        <v>5504.9999999999991</v>
      </c>
      <c r="DO213" s="198"/>
      <c r="DP213" s="198">
        <f t="shared" ref="DP213:DP221" si="15">DJ213-SUM(DK213:DN213)</f>
        <v>8817.2000000000044</v>
      </c>
      <c r="DQ213" s="197"/>
      <c r="DR213" s="198"/>
      <c r="DS213" s="198"/>
      <c r="DT213" s="198"/>
      <c r="DU213" s="198"/>
      <c r="DV213" s="198"/>
      <c r="DW213" s="198"/>
      <c r="DX213" s="197">
        <v>64499.825770000003</v>
      </c>
      <c r="DY213" s="198"/>
      <c r="DZ213" s="198">
        <v>47933.063110000003</v>
      </c>
      <c r="EA213" s="198">
        <v>8272.9880799999992</v>
      </c>
      <c r="EB213" s="198">
        <v>7008.6772799999999</v>
      </c>
      <c r="EC213" s="198"/>
      <c r="ED213" s="198">
        <v>1285.0972899999999</v>
      </c>
      <c r="EE213" s="197"/>
      <c r="EF213" s="198"/>
      <c r="EG213" s="198"/>
      <c r="EH213" s="198"/>
      <c r="EI213" s="198"/>
      <c r="EJ213" s="198"/>
      <c r="EK213" s="198"/>
      <c r="EL213" s="197">
        <v>1130404.6929299999</v>
      </c>
      <c r="EM213" s="198">
        <v>399549.09481999994</v>
      </c>
      <c r="EN213" s="198">
        <v>47179.446449000003</v>
      </c>
      <c r="EO213" s="198">
        <v>131117.84962699999</v>
      </c>
      <c r="EP213" s="198">
        <v>190869.012908</v>
      </c>
      <c r="EQ213" s="198"/>
      <c r="ER213" s="198">
        <v>361596.44117299997</v>
      </c>
      <c r="ES213" s="197">
        <v>19741.055825750002</v>
      </c>
      <c r="ET213" s="198">
        <v>2294.6628883200001</v>
      </c>
      <c r="EU213" s="198">
        <v>5371.5506824399999</v>
      </c>
      <c r="EV213" s="198">
        <v>2543.9382902799998</v>
      </c>
      <c r="EW213" s="198">
        <v>5255.2850082499999</v>
      </c>
      <c r="EX213" s="198"/>
      <c r="EY213" s="198">
        <f t="shared" si="6"/>
        <v>4275.6189564600036</v>
      </c>
      <c r="EZ213" s="197"/>
      <c r="FA213" s="198"/>
      <c r="FB213" s="198"/>
      <c r="FC213" s="198"/>
      <c r="FD213" s="198"/>
      <c r="FE213" s="198"/>
      <c r="FF213" s="198"/>
      <c r="FG213" s="197">
        <v>8868121.3736649994</v>
      </c>
      <c r="FH213" s="198">
        <v>1034159.6913240001</v>
      </c>
      <c r="FI213" s="198">
        <v>2441811.7862910004</v>
      </c>
      <c r="FJ213" s="198"/>
      <c r="FK213" s="198">
        <v>696122.20645900001</v>
      </c>
      <c r="FL213" s="198"/>
      <c r="FM213" s="198">
        <f>FG213-SUM(FH213:FK213)</f>
        <v>4696027.6895909989</v>
      </c>
      <c r="FN213" s="197">
        <v>37410.735999999997</v>
      </c>
      <c r="FO213" s="198">
        <v>9810.2309999999998</v>
      </c>
      <c r="FP213" s="198">
        <v>5070.5600000000004</v>
      </c>
      <c r="FQ213" s="198">
        <v>5362.0550000000003</v>
      </c>
      <c r="FR213" s="198">
        <v>5142.6850000000004</v>
      </c>
      <c r="FS213" s="198"/>
      <c r="FT213" s="199">
        <f t="shared" si="7"/>
        <v>12025.204999999994</v>
      </c>
      <c r="FU213" s="197"/>
      <c r="FV213" s="198"/>
      <c r="FW213" s="198"/>
      <c r="FX213" s="198"/>
      <c r="FY213" s="198"/>
      <c r="FZ213" s="198"/>
      <c r="GA213" s="199"/>
      <c r="GB213" s="197">
        <v>1387.45</v>
      </c>
      <c r="GC213" s="198"/>
      <c r="GD213" s="198"/>
      <c r="GE213" s="198"/>
      <c r="GF213" s="198"/>
      <c r="GG213" s="198"/>
      <c r="GH213" s="199"/>
      <c r="GI213" s="197">
        <v>808.74199999999996</v>
      </c>
      <c r="GJ213" s="198"/>
      <c r="GK213" s="198"/>
      <c r="GL213" s="198"/>
      <c r="GM213" s="198"/>
      <c r="GN213" s="198"/>
      <c r="GO213" s="199"/>
      <c r="GP213" s="197">
        <v>1928.76</v>
      </c>
      <c r="GQ213" s="198"/>
      <c r="GR213" s="198"/>
      <c r="GS213" s="198"/>
      <c r="GT213" s="198"/>
      <c r="GU213" s="198"/>
      <c r="GV213" s="199"/>
      <c r="GW213" s="197"/>
      <c r="GX213" s="198"/>
      <c r="GY213" s="198"/>
      <c r="GZ213" s="198"/>
      <c r="HA213" s="198"/>
      <c r="HB213" s="198"/>
      <c r="HC213" s="199"/>
      <c r="HD213" s="197"/>
      <c r="HE213" s="198"/>
      <c r="HF213" s="198"/>
      <c r="HG213" s="198"/>
      <c r="HH213" s="198"/>
      <c r="HI213" s="198"/>
      <c r="HJ213" s="199"/>
      <c r="HK213" s="197"/>
      <c r="HL213" s="198"/>
      <c r="HM213" s="198"/>
      <c r="HN213" s="198"/>
      <c r="HO213" s="198"/>
      <c r="HP213" s="198"/>
      <c r="HQ213" s="198"/>
      <c r="HR213" s="197">
        <v>24976.738000000001</v>
      </c>
      <c r="HT213" s="198">
        <v>17104.802</v>
      </c>
      <c r="HU213" s="198">
        <v>631.83900000000006</v>
      </c>
      <c r="HV213" s="198">
        <v>3191.509</v>
      </c>
      <c r="HW213" s="198">
        <v>916.16700000000003</v>
      </c>
      <c r="HX213" s="198">
        <v>3132.4209999999998</v>
      </c>
    </row>
    <row r="214" spans="1:233">
      <c r="A214" s="185" t="s">
        <v>493</v>
      </c>
      <c r="B214" s="197">
        <v>1929.681</v>
      </c>
      <c r="C214" s="198"/>
      <c r="D214" s="198"/>
      <c r="E214" s="198"/>
      <c r="F214" s="198"/>
      <c r="G214" s="198"/>
      <c r="H214" s="199"/>
      <c r="I214" s="197">
        <v>70900.5</v>
      </c>
      <c r="J214" s="198"/>
      <c r="K214" s="198"/>
      <c r="L214" s="198">
        <v>8755.9</v>
      </c>
      <c r="M214" s="198">
        <v>5219.8</v>
      </c>
      <c r="N214" s="198"/>
      <c r="O214" s="199">
        <f>[3]arg!$G80</f>
        <v>31362.000000000004</v>
      </c>
      <c r="P214" s="198">
        <v>4986.0829999999996</v>
      </c>
      <c r="Q214" s="198">
        <v>55.067999999999998</v>
      </c>
      <c r="R214" s="198">
        <v>580.96399999999994</v>
      </c>
      <c r="S214" s="198">
        <v>288.70699999999999</v>
      </c>
      <c r="T214" s="198">
        <v>3205.9189999999999</v>
      </c>
      <c r="U214" s="198"/>
      <c r="V214" s="199">
        <f t="shared" si="13"/>
        <v>855.42499999999973</v>
      </c>
      <c r="W214" s="198">
        <v>3539.3870000000002</v>
      </c>
      <c r="X214" s="198">
        <v>117.48</v>
      </c>
      <c r="Y214" s="198">
        <v>806.67600000000004</v>
      </c>
      <c r="Z214" s="198">
        <v>263.13600000000002</v>
      </c>
      <c r="AA214" s="198">
        <v>1572.7570000000001</v>
      </c>
      <c r="AB214" s="198"/>
      <c r="AC214" s="199">
        <f t="shared" si="14"/>
        <v>779.33800000000019</v>
      </c>
      <c r="AD214" s="198"/>
      <c r="AE214" s="198">
        <v>18.562999999999999</v>
      </c>
      <c r="AF214" s="198">
        <v>238.40800000000002</v>
      </c>
      <c r="AG214" s="198">
        <v>417.476</v>
      </c>
      <c r="AH214" s="198">
        <v>205.79400000000001</v>
      </c>
      <c r="AI214" s="198"/>
      <c r="AJ214" s="198"/>
      <c r="AK214" s="197"/>
      <c r="AL214" s="198"/>
      <c r="AM214" s="198"/>
      <c r="AN214" s="198"/>
      <c r="AO214" s="198"/>
      <c r="AP214" s="198"/>
      <c r="AQ214" s="199"/>
      <c r="AR214" s="198">
        <v>533929.54910959001</v>
      </c>
      <c r="AS214" s="198">
        <v>128740.72405513001</v>
      </c>
      <c r="AT214" s="198">
        <v>58022.418514309997</v>
      </c>
      <c r="AU214" s="198">
        <v>26538.49371096</v>
      </c>
      <c r="AV214" s="198">
        <v>158915.28415467002</v>
      </c>
      <c r="AW214" s="198"/>
      <c r="AX214" s="198">
        <v>161712.62867452001</v>
      </c>
      <c r="AY214" s="197">
        <v>40760515.176899999</v>
      </c>
      <c r="AZ214" s="198"/>
      <c r="BA214" s="198">
        <v>27966469.417800002</v>
      </c>
      <c r="BB214" s="198">
        <v>8057434.3408000004</v>
      </c>
      <c r="BC214" s="198">
        <v>4736611.4177000001</v>
      </c>
      <c r="BD214" s="198"/>
      <c r="BE214" s="198"/>
      <c r="BF214" s="197">
        <v>67026982.479999989</v>
      </c>
      <c r="BG214" s="198"/>
      <c r="BH214" s="198">
        <v>44325863.849999987</v>
      </c>
      <c r="BI214" s="198">
        <v>7188131.8999999994</v>
      </c>
      <c r="BJ214" s="198">
        <v>14490296.750000002</v>
      </c>
      <c r="BK214" s="198">
        <v>1022689.98</v>
      </c>
      <c r="BL214" s="198"/>
      <c r="BM214" s="197">
        <v>2974772.66</v>
      </c>
      <c r="BN214" s="198">
        <v>210210.48199999999</v>
      </c>
      <c r="BO214" s="198">
        <v>402711.58100000001</v>
      </c>
      <c r="BP214" s="198">
        <v>543890.34199999995</v>
      </c>
      <c r="BQ214" s="198">
        <v>945202.78099999996</v>
      </c>
      <c r="BR214" s="198"/>
      <c r="BS214" s="198">
        <f t="shared" si="2"/>
        <v>872757.47400000039</v>
      </c>
      <c r="BT214" s="197"/>
      <c r="BU214" s="198"/>
      <c r="BV214" s="198"/>
      <c r="BW214" s="198"/>
      <c r="BX214" s="198"/>
      <c r="BY214" s="198"/>
      <c r="BZ214" s="198"/>
      <c r="CA214" s="197">
        <v>508.98099999999999</v>
      </c>
      <c r="CB214" s="198"/>
      <c r="CC214" s="198"/>
      <c r="CD214" s="198"/>
      <c r="CE214" s="198"/>
      <c r="CF214" s="198"/>
      <c r="CG214" s="198"/>
      <c r="CH214" s="197"/>
      <c r="CI214" s="198"/>
      <c r="CJ214" s="198">
        <v>3394417.4659899995</v>
      </c>
      <c r="CK214" s="198"/>
      <c r="CL214" s="198">
        <v>1817263.8013700002</v>
      </c>
      <c r="CM214" s="198">
        <v>482024</v>
      </c>
      <c r="CN214" s="198"/>
      <c r="CO214" s="197">
        <v>6660.9987399999991</v>
      </c>
      <c r="CP214" s="198">
        <v>703.10173999999995</v>
      </c>
      <c r="CQ214" s="198">
        <v>1126.69397</v>
      </c>
      <c r="CR214" s="198">
        <v>1589.73206</v>
      </c>
      <c r="CS214" s="198">
        <v>1268.52711</v>
      </c>
      <c r="CT214" s="198"/>
      <c r="CU214" s="198">
        <v>1972.9438599999994</v>
      </c>
      <c r="CV214" s="197">
        <v>1157.7760000000001</v>
      </c>
      <c r="CW214" s="198"/>
      <c r="CX214" s="198"/>
      <c r="CY214" s="198"/>
      <c r="CZ214" s="198"/>
      <c r="DA214" s="198"/>
      <c r="DB214" s="198"/>
      <c r="DC214" s="197">
        <v>38134.154176999997</v>
      </c>
      <c r="DD214" s="198"/>
      <c r="DE214" s="198"/>
      <c r="DF214" s="198"/>
      <c r="DG214" s="198"/>
      <c r="DH214" s="198"/>
      <c r="DI214" s="198"/>
      <c r="DJ214" s="197">
        <f>2305.3+36140.8</f>
        <v>38446.100000000006</v>
      </c>
      <c r="DK214" s="198">
        <f>1665.5+8447.9</f>
        <v>10113.4</v>
      </c>
      <c r="DL214" s="198">
        <f>1494.2+8987.6</f>
        <v>10481.800000000001</v>
      </c>
      <c r="DM214" s="198">
        <v>3122.2</v>
      </c>
      <c r="DN214" s="198">
        <f>8780.2-DM214</f>
        <v>5658.0000000000009</v>
      </c>
      <c r="DO214" s="198"/>
      <c r="DP214" s="198">
        <f t="shared" si="15"/>
        <v>9070.7000000000044</v>
      </c>
      <c r="DQ214" s="197"/>
      <c r="DR214" s="198"/>
      <c r="DS214" s="198"/>
      <c r="DT214" s="198"/>
      <c r="DU214" s="198"/>
      <c r="DV214" s="198"/>
      <c r="DW214" s="198"/>
      <c r="DX214" s="197">
        <v>64575.316039999998</v>
      </c>
      <c r="DY214" s="198"/>
      <c r="DZ214" s="198">
        <v>47873.243499999997</v>
      </c>
      <c r="EA214" s="198">
        <v>8298.6276099999995</v>
      </c>
      <c r="EB214" s="198">
        <v>7111.1002900000003</v>
      </c>
      <c r="EC214" s="198"/>
      <c r="ED214" s="198">
        <v>1292.34465</v>
      </c>
      <c r="EE214" s="197"/>
      <c r="EF214" s="198"/>
      <c r="EG214" s="198"/>
      <c r="EH214" s="198"/>
      <c r="EI214" s="198"/>
      <c r="EJ214" s="198"/>
      <c r="EK214" s="198"/>
      <c r="EL214" s="197">
        <v>1109661.7781600005</v>
      </c>
      <c r="EM214" s="198">
        <v>402864.52543099999</v>
      </c>
      <c r="EN214" s="198">
        <v>47165.716464999998</v>
      </c>
      <c r="EO214" s="198">
        <v>134750.552494</v>
      </c>
      <c r="EP214" s="198">
        <v>196854.11545200003</v>
      </c>
      <c r="EQ214" s="198"/>
      <c r="ER214" s="198">
        <v>327947.41511399992</v>
      </c>
      <c r="ES214" s="197">
        <v>20298.379363870001</v>
      </c>
      <c r="ET214" s="198">
        <v>2258.27462728</v>
      </c>
      <c r="EU214" s="198">
        <v>5398.9562479300002</v>
      </c>
      <c r="EV214" s="198">
        <v>2634.0753386699998</v>
      </c>
      <c r="EW214" s="198">
        <v>5725.0254943300006</v>
      </c>
      <c r="EX214" s="198"/>
      <c r="EY214" s="198">
        <f t="shared" si="6"/>
        <v>4282.0476556600006</v>
      </c>
      <c r="EZ214" s="197"/>
      <c r="FA214" s="198"/>
      <c r="FB214" s="198"/>
      <c r="FC214" s="198"/>
      <c r="FD214" s="198"/>
      <c r="FE214" s="198"/>
      <c r="FF214" s="198"/>
      <c r="FG214" s="197"/>
      <c r="FH214" s="198"/>
      <c r="FI214" s="198"/>
      <c r="FJ214" s="198"/>
      <c r="FK214" s="198"/>
      <c r="FL214" s="198"/>
      <c r="FM214" s="198"/>
      <c r="FN214" s="197">
        <v>38338.347999999998</v>
      </c>
      <c r="FO214" s="198">
        <v>9828.9740000000002</v>
      </c>
      <c r="FP214" s="198">
        <v>5301.3490000000002</v>
      </c>
      <c r="FQ214" s="198">
        <v>5429.0330000000004</v>
      </c>
      <c r="FR214" s="198">
        <v>5290.058</v>
      </c>
      <c r="FS214" s="198"/>
      <c r="FT214" s="199">
        <f t="shared" si="7"/>
        <v>12488.933999999997</v>
      </c>
      <c r="FU214" s="197"/>
      <c r="FV214" s="198"/>
      <c r="FW214" s="198"/>
      <c r="FX214" s="198"/>
      <c r="FY214" s="198"/>
      <c r="FZ214" s="198"/>
      <c r="GA214" s="199"/>
      <c r="GB214" s="197">
        <v>1377.9590000000001</v>
      </c>
      <c r="GC214" s="198"/>
      <c r="GD214" s="198"/>
      <c r="GE214" s="198"/>
      <c r="GF214" s="198"/>
      <c r="GG214" s="198"/>
      <c r="GH214" s="199"/>
      <c r="GI214" s="197">
        <v>820.46699999999998</v>
      </c>
      <c r="GJ214" s="198"/>
      <c r="GK214" s="198"/>
      <c r="GL214" s="198"/>
      <c r="GM214" s="198"/>
      <c r="GN214" s="198"/>
      <c r="GO214" s="199"/>
      <c r="GP214" s="197">
        <v>1938.9280000000001</v>
      </c>
      <c r="GQ214" s="198"/>
      <c r="GR214" s="198"/>
      <c r="GS214" s="198"/>
      <c r="GT214" s="198"/>
      <c r="GU214" s="198"/>
      <c r="GV214" s="199"/>
      <c r="GW214" s="197"/>
      <c r="GX214" s="198"/>
      <c r="GY214" s="198"/>
      <c r="GZ214" s="198"/>
      <c r="HA214" s="198"/>
      <c r="HB214" s="198"/>
      <c r="HC214" s="199"/>
      <c r="HD214" s="197"/>
      <c r="HE214" s="198"/>
      <c r="HF214" s="198"/>
      <c r="HG214" s="198"/>
      <c r="HH214" s="198"/>
      <c r="HI214" s="198"/>
      <c r="HJ214" s="199"/>
      <c r="HK214" s="197"/>
      <c r="HL214" s="198"/>
      <c r="HM214" s="198"/>
      <c r="HN214" s="198"/>
      <c r="HO214" s="198"/>
      <c r="HP214" s="198"/>
      <c r="HQ214" s="198"/>
      <c r="HR214" s="197">
        <v>25786.697</v>
      </c>
      <c r="HT214" s="198">
        <v>17281.233</v>
      </c>
      <c r="HU214" s="198">
        <v>687.87400000000002</v>
      </c>
      <c r="HV214" s="198">
        <v>3422.7260000000001</v>
      </c>
      <c r="HW214" s="198">
        <v>1015.183</v>
      </c>
      <c r="HX214" s="198">
        <v>3379.681</v>
      </c>
    </row>
    <row r="215" spans="1:233">
      <c r="A215" s="185" t="s">
        <v>494</v>
      </c>
      <c r="B215" s="197">
        <v>1937.9680000000001</v>
      </c>
      <c r="C215" s="198">
        <v>57.834000000000003</v>
      </c>
      <c r="D215" s="198">
        <v>318.63</v>
      </c>
      <c r="E215" s="198">
        <v>509.565</v>
      </c>
      <c r="F215" s="198">
        <v>373.87299999999999</v>
      </c>
      <c r="G215" s="198"/>
      <c r="H215" s="199">
        <v>678.06600000000003</v>
      </c>
      <c r="I215" s="197">
        <v>71370.2</v>
      </c>
      <c r="J215" s="198"/>
      <c r="K215" s="198"/>
      <c r="L215" s="198">
        <v>8774.7999999999993</v>
      </c>
      <c r="M215" s="198">
        <v>5286.5</v>
      </c>
      <c r="N215" s="198"/>
      <c r="O215" s="199">
        <f>[3]arg!$G81</f>
        <v>33108.199999999997</v>
      </c>
      <c r="P215" s="198">
        <v>4982.2759999999998</v>
      </c>
      <c r="Q215" s="198">
        <v>54.488999999999997</v>
      </c>
      <c r="R215" s="198">
        <v>531.35599999999999</v>
      </c>
      <c r="S215" s="198">
        <v>290.68200000000002</v>
      </c>
      <c r="T215" s="198">
        <v>3239.0520000000001</v>
      </c>
      <c r="U215" s="198"/>
      <c r="V215" s="199">
        <f t="shared" si="13"/>
        <v>866.69700000000057</v>
      </c>
      <c r="W215" s="198">
        <v>3630.1860000000001</v>
      </c>
      <c r="X215" s="198">
        <v>108.65</v>
      </c>
      <c r="Y215" s="198">
        <v>850.50900000000001</v>
      </c>
      <c r="Z215" s="198">
        <v>282.38799999999998</v>
      </c>
      <c r="AA215" s="198">
        <v>1613.0640000000001</v>
      </c>
      <c r="AB215" s="198"/>
      <c r="AC215" s="199">
        <f t="shared" si="14"/>
        <v>775.57500000000005</v>
      </c>
      <c r="AD215" s="198">
        <f>[1]datos!$S347</f>
        <v>1424.2</v>
      </c>
      <c r="AE215" s="198">
        <v>20.141999999999999</v>
      </c>
      <c r="AF215" s="198">
        <v>228.91299999999998</v>
      </c>
      <c r="AG215" s="198">
        <v>418.80799999999999</v>
      </c>
      <c r="AH215" s="198">
        <v>211.49299999999999</v>
      </c>
      <c r="AI215" s="198">
        <f>[1]datos!$U347</f>
        <v>239.07599999999999</v>
      </c>
      <c r="AJ215" s="198">
        <f>AD215-AE215-AF215-AG215-AH215-AI215</f>
        <v>305.76800000000003</v>
      </c>
      <c r="AK215" s="197">
        <v>26516.634299999998</v>
      </c>
      <c r="AL215" s="198"/>
      <c r="AM215" s="198">
        <v>15099.424199999999</v>
      </c>
      <c r="AN215" s="198">
        <v>5672.6000999999997</v>
      </c>
      <c r="AO215" s="198">
        <v>1820.4749999999997</v>
      </c>
      <c r="AP215" s="198">
        <v>3924.9440999999997</v>
      </c>
      <c r="AQ215" s="199"/>
      <c r="AR215" s="198">
        <v>541319.60778384004</v>
      </c>
      <c r="AS215" s="198">
        <v>129761.56605305</v>
      </c>
      <c r="AT215" s="198">
        <v>58649.374157309998</v>
      </c>
      <c r="AU215" s="198">
        <v>26881.58403776</v>
      </c>
      <c r="AV215" s="198">
        <v>162411.14089301004</v>
      </c>
      <c r="AW215" s="198"/>
      <c r="AX215" s="198">
        <v>163615.94264271003</v>
      </c>
      <c r="AY215" s="197">
        <v>41028194.871200003</v>
      </c>
      <c r="AZ215" s="198"/>
      <c r="BA215" s="198">
        <v>28017033.647700001</v>
      </c>
      <c r="BB215" s="198">
        <v>8214957.9612999987</v>
      </c>
      <c r="BC215" s="198">
        <v>4796203.2616999997</v>
      </c>
      <c r="BD215" s="198"/>
      <c r="BE215" s="198"/>
      <c r="BF215" s="197">
        <v>68382706.74000001</v>
      </c>
      <c r="BG215" s="198"/>
      <c r="BH215" s="198">
        <v>45255574.70000001</v>
      </c>
      <c r="BI215" s="198">
        <v>7210870.3400000008</v>
      </c>
      <c r="BJ215" s="198">
        <v>14853894.43</v>
      </c>
      <c r="BK215" s="198">
        <v>1062367.27</v>
      </c>
      <c r="BL215" s="198"/>
      <c r="BM215" s="197">
        <v>3040841.8530000001</v>
      </c>
      <c r="BN215" s="198">
        <v>208853.992</v>
      </c>
      <c r="BO215" s="198">
        <v>420992.99800000002</v>
      </c>
      <c r="BP215" s="198">
        <v>616095.54599999997</v>
      </c>
      <c r="BQ215" s="198">
        <v>916315.63699999999</v>
      </c>
      <c r="BR215" s="198"/>
      <c r="BS215" s="198">
        <f t="shared" si="2"/>
        <v>878583.68000000017</v>
      </c>
      <c r="BT215" s="197"/>
      <c r="BU215" s="198"/>
      <c r="BV215" s="198"/>
      <c r="BW215" s="198"/>
      <c r="BX215" s="198"/>
      <c r="BY215" s="198"/>
      <c r="BZ215" s="198"/>
      <c r="CA215" s="197">
        <v>506.59300000000002</v>
      </c>
      <c r="CB215" s="198">
        <v>20.710999999999999</v>
      </c>
      <c r="CC215" s="198">
        <v>98.816000000000003</v>
      </c>
      <c r="CD215" s="198">
        <v>170.374</v>
      </c>
      <c r="CE215" s="198">
        <v>97.003</v>
      </c>
      <c r="CF215" s="198"/>
      <c r="CG215" s="198">
        <f>CA215-CB215-CC215-CD215-CE215</f>
        <v>119.68900000000004</v>
      </c>
      <c r="CH215" s="197"/>
      <c r="CI215" s="198"/>
      <c r="CJ215" s="198">
        <v>3487262.9912999994</v>
      </c>
      <c r="CK215" s="198"/>
      <c r="CL215" s="198">
        <v>1843438.8418100001</v>
      </c>
      <c r="CM215" s="198">
        <v>496258</v>
      </c>
      <c r="CN215" s="198"/>
      <c r="CO215" s="197">
        <v>6628.2899499999994</v>
      </c>
      <c r="CP215" s="198">
        <v>670.15768000000003</v>
      </c>
      <c r="CQ215" s="198">
        <v>1094.06241</v>
      </c>
      <c r="CR215" s="198">
        <v>1603.9766299999999</v>
      </c>
      <c r="CS215" s="198">
        <v>1313.3421799999999</v>
      </c>
      <c r="CT215" s="198"/>
      <c r="CU215" s="198">
        <v>1946.7510499999999</v>
      </c>
      <c r="CV215" s="197">
        <v>1166.6369999999999</v>
      </c>
      <c r="CW215" s="198">
        <v>31.887</v>
      </c>
      <c r="CX215" s="198">
        <v>153.98699999999999</v>
      </c>
      <c r="CY215" s="198">
        <v>407.23</v>
      </c>
      <c r="CZ215" s="198">
        <v>290.53100000000001</v>
      </c>
      <c r="DA215" s="198"/>
      <c r="DB215" s="198">
        <f>CV215-CW215-CX215-CY215-CZ215</f>
        <v>283.00200000000001</v>
      </c>
      <c r="DC215" s="197">
        <v>39089.483243000002</v>
      </c>
      <c r="DD215" s="198"/>
      <c r="DE215" s="198"/>
      <c r="DF215" s="198"/>
      <c r="DG215" s="198"/>
      <c r="DH215" s="198"/>
      <c r="DI215" s="198"/>
      <c r="DJ215" s="197">
        <f>2427.3+36258.3</f>
        <v>38685.600000000006</v>
      </c>
      <c r="DK215" s="198">
        <f>1714.8+8543.7</f>
        <v>10258.5</v>
      </c>
      <c r="DL215" s="198">
        <f>1294.9+9565.1</f>
        <v>10860</v>
      </c>
      <c r="DM215" s="198">
        <v>2886.4</v>
      </c>
      <c r="DN215" s="198">
        <f>8732.7-DM215</f>
        <v>5846.3000000000011</v>
      </c>
      <c r="DO215" s="198"/>
      <c r="DP215" s="198">
        <f t="shared" si="15"/>
        <v>8834.4000000000015</v>
      </c>
      <c r="DQ215" s="197"/>
      <c r="DR215" s="198"/>
      <c r="DS215" s="198"/>
      <c r="DT215" s="198"/>
      <c r="DU215" s="198"/>
      <c r="DV215" s="198"/>
      <c r="DW215" s="198"/>
      <c r="DX215" s="197">
        <v>65214.0726</v>
      </c>
      <c r="DY215" s="198"/>
      <c r="DZ215" s="198">
        <v>48310.783819999997</v>
      </c>
      <c r="EA215" s="198">
        <v>8418.421699999999</v>
      </c>
      <c r="EB215" s="198">
        <v>7170.3140400000002</v>
      </c>
      <c r="EC215" s="198"/>
      <c r="ED215" s="198">
        <v>1314.5530200000001</v>
      </c>
      <c r="EE215" s="197">
        <v>125513.269</v>
      </c>
      <c r="EF215" s="198">
        <v>4748.4160000000002</v>
      </c>
      <c r="EG215" s="198">
        <v>24460.605</v>
      </c>
      <c r="EH215" s="198">
        <v>6432.46</v>
      </c>
      <c r="EI215" s="198">
        <v>35507.262999999999</v>
      </c>
      <c r="EJ215" s="198"/>
      <c r="EK215" s="198">
        <f>EE215-EF215-EG215-EH215-EI215</f>
        <v>54364.525000000001</v>
      </c>
      <c r="EL215" s="197">
        <v>1144503.049907</v>
      </c>
      <c r="EM215" s="198">
        <v>396172.29120799998</v>
      </c>
      <c r="EN215" s="198">
        <v>49156.751735999991</v>
      </c>
      <c r="EO215" s="198">
        <v>137439.13007200003</v>
      </c>
      <c r="EP215" s="198">
        <v>204526.692675</v>
      </c>
      <c r="EQ215" s="198"/>
      <c r="ER215" s="198">
        <v>357115.92084800004</v>
      </c>
      <c r="ES215" s="197">
        <v>20609.467226249999</v>
      </c>
      <c r="ET215" s="198">
        <v>2240.8516001399998</v>
      </c>
      <c r="EU215" s="198">
        <v>5487.6378755899996</v>
      </c>
      <c r="EV215" s="198">
        <v>2687.0301347300001</v>
      </c>
      <c r="EW215" s="198">
        <v>5873.8061246400002</v>
      </c>
      <c r="EX215" s="198"/>
      <c r="EY215" s="198">
        <f t="shared" si="6"/>
        <v>4320.1414911499987</v>
      </c>
      <c r="EZ215" s="197">
        <v>13861</v>
      </c>
      <c r="FA215" s="198">
        <v>643</v>
      </c>
      <c r="FB215" s="198">
        <v>3585</v>
      </c>
      <c r="FC215" s="198">
        <v>3899</v>
      </c>
      <c r="FD215" s="198">
        <v>2937</v>
      </c>
      <c r="FE215" s="198">
        <v>29</v>
      </c>
      <c r="FF215" s="198">
        <f>EZ215-FA215-FB215-FC215-FD215</f>
        <v>2797</v>
      </c>
      <c r="FG215" s="197"/>
      <c r="FH215" s="198"/>
      <c r="FI215" s="198"/>
      <c r="FJ215" s="198"/>
      <c r="FK215" s="198"/>
      <c r="FL215" s="198"/>
      <c r="FM215" s="198"/>
      <c r="FN215" s="197">
        <v>39068.220999999998</v>
      </c>
      <c r="FO215" s="198">
        <v>9998.3279999999995</v>
      </c>
      <c r="FP215" s="198">
        <v>5310.6660000000002</v>
      </c>
      <c r="FQ215" s="198">
        <v>5509.0420000000004</v>
      </c>
      <c r="FR215" s="198">
        <v>5418.9409999999998</v>
      </c>
      <c r="FS215" s="198"/>
      <c r="FT215" s="199">
        <f t="shared" si="7"/>
        <v>12831.243999999999</v>
      </c>
      <c r="FU215" s="197"/>
      <c r="FV215" s="198"/>
      <c r="FW215" s="198"/>
      <c r="FX215" s="198"/>
      <c r="FY215" s="198"/>
      <c r="FZ215" s="198"/>
      <c r="GA215" s="199"/>
      <c r="GB215" s="197">
        <v>1409.9469999999999</v>
      </c>
      <c r="GC215" s="198">
        <v>21.100999999999999</v>
      </c>
      <c r="GD215" s="198">
        <v>199.89</v>
      </c>
      <c r="GE215" s="198">
        <v>264.45999999999998</v>
      </c>
      <c r="GF215" s="198">
        <v>260.286</v>
      </c>
      <c r="GG215" s="198"/>
      <c r="GH215" s="199">
        <f>GB215-GC215-GD215-GE215-GF215</f>
        <v>664.21</v>
      </c>
      <c r="GI215" s="197">
        <v>840.55100000000004</v>
      </c>
      <c r="GJ215" s="198">
        <v>18.202999999999999</v>
      </c>
      <c r="GK215" s="198">
        <v>132.63399999999999</v>
      </c>
      <c r="GL215" s="198">
        <v>306.661</v>
      </c>
      <c r="GM215" s="198">
        <v>145.44900000000001</v>
      </c>
      <c r="GN215" s="198"/>
      <c r="GO215" s="199">
        <f>GI215-GJ215-GK215-GL215-GM215</f>
        <v>237.60400000000004</v>
      </c>
      <c r="GP215" s="197">
        <v>1961.337</v>
      </c>
      <c r="GQ215" s="198">
        <v>50.531999999999996</v>
      </c>
      <c r="GR215" s="198">
        <v>458.767</v>
      </c>
      <c r="GS215" s="198">
        <v>460.42700000000002</v>
      </c>
      <c r="GT215" s="198">
        <v>436.77499999999998</v>
      </c>
      <c r="GU215" s="198"/>
      <c r="GV215" s="199">
        <f>GP215-GQ215-GR215-GS215-GT215</f>
        <v>554.83600000000001</v>
      </c>
      <c r="GW215" s="197"/>
      <c r="GX215" s="198"/>
      <c r="GY215" s="198"/>
      <c r="GZ215" s="198"/>
      <c r="HA215" s="198"/>
      <c r="HB215" s="198"/>
      <c r="HC215" s="199"/>
      <c r="HD215" s="197">
        <f>'[2]t&amp;t'!W347</f>
        <v>24497.9</v>
      </c>
      <c r="HE215" s="198">
        <f>'[2]t&amp;t'!X347</f>
        <v>2133.4</v>
      </c>
      <c r="HF215" s="198">
        <f>'[2]t&amp;t'!Y347</f>
        <v>2158.7999999999997</v>
      </c>
      <c r="HG215" s="198">
        <f>'[2]t&amp;t'!Z347</f>
        <v>2618.3000000000002</v>
      </c>
      <c r="HH215" s="198">
        <f>'[2]t&amp;t'!AA347</f>
        <v>7788.0000000000009</v>
      </c>
      <c r="HI215" s="198"/>
      <c r="HJ215" s="199">
        <f>'[2]t&amp;t'!AC347</f>
        <v>9799.4000000000015</v>
      </c>
      <c r="HK215" s="197">
        <v>4087</v>
      </c>
      <c r="HL215" s="198">
        <v>889.11538849284557</v>
      </c>
      <c r="HM215" s="198">
        <v>318.37191803420626</v>
      </c>
      <c r="HN215" s="198">
        <v>51.307416289485552</v>
      </c>
      <c r="HO215" s="198">
        <v>1252.7502951026297</v>
      </c>
      <c r="HP215" s="198"/>
      <c r="HQ215" s="198">
        <f>HK215-HL215-HM215-HN215-HO215</f>
        <v>1575.4549820808331</v>
      </c>
      <c r="HR215" s="197">
        <v>27562.896000000001</v>
      </c>
      <c r="HT215" s="198">
        <v>18448.996999999999</v>
      </c>
      <c r="HU215" s="198">
        <v>783.93</v>
      </c>
      <c r="HV215" s="198">
        <v>3659.672</v>
      </c>
      <c r="HW215" s="198">
        <v>1023.054</v>
      </c>
      <c r="HX215" s="198">
        <v>3647.2429999999999</v>
      </c>
    </row>
    <row r="216" spans="1:233">
      <c r="A216" s="185" t="s">
        <v>495</v>
      </c>
      <c r="B216" s="197">
        <v>1955.9259999999999</v>
      </c>
      <c r="C216" s="198"/>
      <c r="D216" s="198"/>
      <c r="E216" s="198"/>
      <c r="F216" s="198"/>
      <c r="G216" s="198"/>
      <c r="H216" s="199"/>
      <c r="I216" s="197">
        <v>72482.3</v>
      </c>
      <c r="J216" s="198"/>
      <c r="K216" s="198"/>
      <c r="L216" s="198">
        <v>8734.6</v>
      </c>
      <c r="M216" s="198">
        <v>5518.3</v>
      </c>
      <c r="N216" s="198"/>
      <c r="O216" s="199">
        <f>[3]arg!$G82</f>
        <v>33911.199999999997</v>
      </c>
      <c r="P216" s="198">
        <v>4996.165</v>
      </c>
      <c r="Q216" s="198">
        <v>49.033999999999999</v>
      </c>
      <c r="R216" s="198">
        <v>502.86399999999998</v>
      </c>
      <c r="S216" s="198">
        <v>291.572</v>
      </c>
      <c r="T216" s="198">
        <v>3285.5120000000002</v>
      </c>
      <c r="U216" s="198"/>
      <c r="V216" s="199">
        <f t="shared" si="13"/>
        <v>867.18300000000045</v>
      </c>
      <c r="W216" s="198">
        <v>3647.7779999999998</v>
      </c>
      <c r="X216" s="198">
        <v>98.888000000000005</v>
      </c>
      <c r="Y216" s="198">
        <v>842.07900000000006</v>
      </c>
      <c r="Z216" s="198">
        <v>279.12400000000002</v>
      </c>
      <c r="AA216" s="198">
        <v>1643.7829999999999</v>
      </c>
      <c r="AB216" s="198"/>
      <c r="AC216" s="199">
        <f t="shared" si="14"/>
        <v>783.904</v>
      </c>
      <c r="AD216" s="198"/>
      <c r="AE216" s="198">
        <v>19.399000000000001</v>
      </c>
      <c r="AF216" s="198">
        <v>234.25699999999998</v>
      </c>
      <c r="AG216" s="198">
        <v>419.12900000000002</v>
      </c>
      <c r="AH216" s="198">
        <v>217.78200000000001</v>
      </c>
      <c r="AI216" s="198"/>
      <c r="AJ216" s="198"/>
      <c r="AK216" s="197"/>
      <c r="AL216" s="198"/>
      <c r="AM216" s="198"/>
      <c r="AN216" s="198"/>
      <c r="AO216" s="198"/>
      <c r="AP216" s="198"/>
      <c r="AQ216" s="199"/>
      <c r="AR216" s="198">
        <v>548819.28310449002</v>
      </c>
      <c r="AS216" s="198">
        <v>131841.21387546998</v>
      </c>
      <c r="AT216" s="198">
        <v>58924.506007860007</v>
      </c>
      <c r="AU216" s="198">
        <v>27165.140580339998</v>
      </c>
      <c r="AV216" s="198">
        <v>166048.78108644002</v>
      </c>
      <c r="AW216" s="198"/>
      <c r="AX216" s="198">
        <v>164839.64155438001</v>
      </c>
      <c r="AY216" s="197">
        <v>41125938.578299999</v>
      </c>
      <c r="AZ216" s="198"/>
      <c r="BA216" s="198">
        <v>27884979.454</v>
      </c>
      <c r="BB216" s="198">
        <v>8362963.8835999994</v>
      </c>
      <c r="BC216" s="198">
        <v>4877995.24</v>
      </c>
      <c r="BD216" s="198"/>
      <c r="BE216" s="198"/>
      <c r="BF216" s="197">
        <v>68830462.660000011</v>
      </c>
      <c r="BG216" s="198"/>
      <c r="BH216" s="198">
        <v>45208198.650000006</v>
      </c>
      <c r="BI216" s="198">
        <v>7229443.6400000006</v>
      </c>
      <c r="BJ216" s="198">
        <v>15297966.529999997</v>
      </c>
      <c r="BK216" s="198">
        <v>1094853.8400000001</v>
      </c>
      <c r="BL216" s="198"/>
      <c r="BM216" s="197">
        <v>3099163.068</v>
      </c>
      <c r="BN216" s="198">
        <v>207780.79399999999</v>
      </c>
      <c r="BO216" s="198">
        <v>420371.35</v>
      </c>
      <c r="BP216" s="198">
        <v>632302.19099999999</v>
      </c>
      <c r="BQ216" s="198">
        <v>928531.12699999998</v>
      </c>
      <c r="BR216" s="198"/>
      <c r="BS216" s="198">
        <f t="shared" si="2"/>
        <v>910177.60600000015</v>
      </c>
      <c r="BT216" s="197"/>
      <c r="BU216" s="198"/>
      <c r="BV216" s="198"/>
      <c r="BW216" s="198"/>
      <c r="BX216" s="198"/>
      <c r="BY216" s="198"/>
      <c r="BZ216" s="198"/>
      <c r="CA216" s="197">
        <v>509.07100000000003</v>
      </c>
      <c r="CB216" s="198"/>
      <c r="CC216" s="198"/>
      <c r="CD216" s="198"/>
      <c r="CE216" s="198"/>
      <c r="CF216" s="198"/>
      <c r="CG216" s="198"/>
      <c r="CH216" s="197"/>
      <c r="CI216" s="198"/>
      <c r="CJ216" s="198">
        <v>3527998.3591100001</v>
      </c>
      <c r="CK216" s="198"/>
      <c r="CL216" s="198">
        <v>1912275.9539600003</v>
      </c>
      <c r="CM216" s="198">
        <v>520647</v>
      </c>
      <c r="CN216" s="198"/>
      <c r="CO216" s="197">
        <v>6655.9487700000009</v>
      </c>
      <c r="CP216" s="198">
        <v>690.53614000000005</v>
      </c>
      <c r="CQ216" s="198">
        <v>1125.8688100000002</v>
      </c>
      <c r="CR216" s="198">
        <v>1614.9574399999999</v>
      </c>
      <c r="CS216" s="198">
        <v>1248.3456799999999</v>
      </c>
      <c r="CT216" s="198"/>
      <c r="CU216" s="198">
        <v>1976.2407000000003</v>
      </c>
      <c r="CV216" s="197">
        <v>1194.0029999999999</v>
      </c>
      <c r="CW216" s="198"/>
      <c r="CX216" s="198"/>
      <c r="CY216" s="198"/>
      <c r="CZ216" s="198"/>
      <c r="DA216" s="198"/>
      <c r="DB216" s="198"/>
      <c r="DC216" s="197">
        <v>39766.583382999997</v>
      </c>
      <c r="DD216" s="198"/>
      <c r="DE216" s="198"/>
      <c r="DF216" s="198"/>
      <c r="DG216" s="198"/>
      <c r="DH216" s="198"/>
      <c r="DI216" s="198"/>
      <c r="DJ216" s="197">
        <f>2960.8+36564.9</f>
        <v>39525.700000000004</v>
      </c>
      <c r="DK216" s="198">
        <f>1907.7+8561</f>
        <v>10468.700000000001</v>
      </c>
      <c r="DL216" s="198">
        <f>1332.4+9476.5</f>
        <v>10808.9</v>
      </c>
      <c r="DM216" s="198">
        <v>2943.9</v>
      </c>
      <c r="DN216" s="198">
        <f>8944.6-DM216</f>
        <v>6000.7000000000007</v>
      </c>
      <c r="DO216" s="198"/>
      <c r="DP216" s="198">
        <f t="shared" si="15"/>
        <v>9303.5000000000036</v>
      </c>
      <c r="DQ216" s="197"/>
      <c r="DR216" s="198"/>
      <c r="DS216" s="198"/>
      <c r="DT216" s="198"/>
      <c r="DU216" s="198"/>
      <c r="DV216" s="198"/>
      <c r="DW216" s="198"/>
      <c r="DX216" s="197">
        <v>65861.141759999999</v>
      </c>
      <c r="DY216" s="198"/>
      <c r="DZ216" s="198">
        <v>48682.979729999999</v>
      </c>
      <c r="EA216" s="198">
        <v>8577.6259300000002</v>
      </c>
      <c r="EB216" s="198">
        <v>7293.5400499999996</v>
      </c>
      <c r="EC216" s="198"/>
      <c r="ED216" s="198">
        <v>1306.99605</v>
      </c>
      <c r="EE216" s="197"/>
      <c r="EF216" s="198"/>
      <c r="EG216" s="198"/>
      <c r="EH216" s="198"/>
      <c r="EI216" s="198"/>
      <c r="EJ216" s="198"/>
      <c r="EK216" s="198"/>
      <c r="EL216" s="197">
        <v>1153521.2575109999</v>
      </c>
      <c r="EM216" s="198">
        <v>401462.29272999993</v>
      </c>
      <c r="EN216" s="198">
        <v>51144.459911000005</v>
      </c>
      <c r="EO216" s="198">
        <v>139943.24945099998</v>
      </c>
      <c r="EP216" s="198">
        <v>211574.27997000006</v>
      </c>
      <c r="EQ216" s="198"/>
      <c r="ER216" s="198">
        <v>349315.72766199993</v>
      </c>
      <c r="ES216" s="197">
        <v>21087.29560446</v>
      </c>
      <c r="ET216" s="198">
        <v>2298.0645424300001</v>
      </c>
      <c r="EU216" s="198">
        <v>5617.1902659899997</v>
      </c>
      <c r="EV216" s="198">
        <v>2761.9367662899999</v>
      </c>
      <c r="EW216" s="198">
        <v>6024.2899892400001</v>
      </c>
      <c r="EX216" s="198"/>
      <c r="EY216" s="198">
        <f t="shared" si="6"/>
        <v>4385.8140405099966</v>
      </c>
      <c r="EZ216" s="197"/>
      <c r="FA216" s="198"/>
      <c r="FB216" s="198"/>
      <c r="FC216" s="198"/>
      <c r="FD216" s="198"/>
      <c r="FE216" s="198"/>
      <c r="FF216" s="198"/>
      <c r="FG216" s="197"/>
      <c r="FH216" s="198"/>
      <c r="FI216" s="198"/>
      <c r="FJ216" s="198"/>
      <c r="FK216" s="198"/>
      <c r="FL216" s="198"/>
      <c r="FM216" s="198"/>
      <c r="FN216" s="197">
        <v>39489.002</v>
      </c>
      <c r="FO216" s="198">
        <v>10137.474</v>
      </c>
      <c r="FP216" s="198">
        <v>5500.1090000000004</v>
      </c>
      <c r="FQ216" s="198">
        <v>5628.5969999999998</v>
      </c>
      <c r="FR216" s="198">
        <v>5437.0950000000003</v>
      </c>
      <c r="FS216" s="198"/>
      <c r="FT216" s="199">
        <f t="shared" si="7"/>
        <v>12785.726999999999</v>
      </c>
      <c r="FU216" s="197"/>
      <c r="FV216" s="198"/>
      <c r="FW216" s="198"/>
      <c r="FX216" s="198"/>
      <c r="FY216" s="198"/>
      <c r="FZ216" s="198"/>
      <c r="GA216" s="199"/>
      <c r="GB216" s="197">
        <v>1444.817</v>
      </c>
      <c r="GC216" s="198"/>
      <c r="GD216" s="198"/>
      <c r="GE216" s="198"/>
      <c r="GF216" s="198"/>
      <c r="GG216" s="198"/>
      <c r="GH216" s="199"/>
      <c r="GI216" s="197">
        <v>840.44</v>
      </c>
      <c r="GJ216" s="198"/>
      <c r="GK216" s="198"/>
      <c r="GL216" s="198"/>
      <c r="GM216" s="198"/>
      <c r="GN216" s="198"/>
      <c r="GO216" s="199"/>
      <c r="GP216" s="197">
        <v>2005.963</v>
      </c>
      <c r="GQ216" s="198"/>
      <c r="GR216" s="198"/>
      <c r="GS216" s="198"/>
      <c r="GT216" s="198"/>
      <c r="GU216" s="198"/>
      <c r="GV216" s="199"/>
      <c r="GW216" s="197"/>
      <c r="GX216" s="198"/>
      <c r="GY216" s="198"/>
      <c r="GZ216" s="198"/>
      <c r="HA216" s="198"/>
      <c r="HB216" s="198"/>
      <c r="HC216" s="199"/>
      <c r="HD216" s="197"/>
      <c r="HE216" s="198"/>
      <c r="HF216" s="198"/>
      <c r="HG216" s="198"/>
      <c r="HH216" s="198"/>
      <c r="HI216" s="198"/>
      <c r="HJ216" s="199"/>
      <c r="HK216" s="197">
        <v>4044</v>
      </c>
      <c r="HL216" s="198">
        <v>891.8830229789952</v>
      </c>
      <c r="HM216" s="198">
        <v>304.40408031444758</v>
      </c>
      <c r="HN216" s="198">
        <v>51.713186738945474</v>
      </c>
      <c r="HO216" s="198">
        <v>1256.3166017212211</v>
      </c>
      <c r="HP216" s="198"/>
      <c r="HQ216" s="198">
        <f t="shared" ref="HQ216:HQ279" si="16">HK216-HL216-HM216-HN216-HO216</f>
        <v>1539.6831082463909</v>
      </c>
      <c r="HR216" s="197">
        <v>27818.901999999998</v>
      </c>
      <c r="HT216" s="198">
        <v>18366.798999999999</v>
      </c>
      <c r="HU216" s="198">
        <v>856.98699999999997</v>
      </c>
      <c r="HV216" s="198">
        <v>3882.5439999999999</v>
      </c>
      <c r="HW216" s="198">
        <v>1085.623</v>
      </c>
      <c r="HX216" s="198">
        <v>3626.9490000000001</v>
      </c>
    </row>
    <row r="217" spans="1:233">
      <c r="A217" s="185" t="s">
        <v>496</v>
      </c>
      <c r="B217" s="197">
        <v>1974.65</v>
      </c>
      <c r="C217" s="198"/>
      <c r="D217" s="198"/>
      <c r="E217" s="198"/>
      <c r="F217" s="198"/>
      <c r="G217" s="198"/>
      <c r="H217" s="199"/>
      <c r="I217" s="197">
        <v>72966.8</v>
      </c>
      <c r="J217" s="198"/>
      <c r="K217" s="198"/>
      <c r="L217" s="198">
        <v>8741</v>
      </c>
      <c r="M217" s="198">
        <v>5803.6</v>
      </c>
      <c r="N217" s="198"/>
      <c r="O217" s="199">
        <f>[3]arg!$G83</f>
        <v>35069.200000000004</v>
      </c>
      <c r="P217" s="198">
        <v>5109.442</v>
      </c>
      <c r="Q217" s="198">
        <v>54.06</v>
      </c>
      <c r="R217" s="198">
        <v>500.11</v>
      </c>
      <c r="S217" s="198">
        <v>302.49299999999999</v>
      </c>
      <c r="T217" s="198">
        <v>3355.3040000000001</v>
      </c>
      <c r="U217" s="198"/>
      <c r="V217" s="199">
        <f t="shared" si="13"/>
        <v>897.47499999999945</v>
      </c>
      <c r="W217" s="198">
        <v>3725.902</v>
      </c>
      <c r="X217" s="198">
        <v>111.35599999999999</v>
      </c>
      <c r="Y217" s="198">
        <v>848.60600000000011</v>
      </c>
      <c r="Z217" s="198">
        <v>277.68</v>
      </c>
      <c r="AA217" s="198">
        <v>1664.952</v>
      </c>
      <c r="AB217" s="198"/>
      <c r="AC217" s="199">
        <f t="shared" si="14"/>
        <v>823.30800000000022</v>
      </c>
      <c r="AD217" s="198"/>
      <c r="AE217" s="198">
        <v>18.513999999999999</v>
      </c>
      <c r="AF217" s="198">
        <v>238.61399999999998</v>
      </c>
      <c r="AG217" s="198">
        <v>428.541</v>
      </c>
      <c r="AH217" s="198">
        <v>228.261</v>
      </c>
      <c r="AI217" s="198"/>
      <c r="AJ217" s="198"/>
      <c r="AK217" s="197"/>
      <c r="AL217" s="198"/>
      <c r="AM217" s="198"/>
      <c r="AN217" s="198"/>
      <c r="AO217" s="198"/>
      <c r="AP217" s="198"/>
      <c r="AQ217" s="199"/>
      <c r="AR217" s="198">
        <v>557834.99069771997</v>
      </c>
      <c r="AS217" s="198">
        <v>132925.17618924001</v>
      </c>
      <c r="AT217" s="198">
        <v>59674.087532559999</v>
      </c>
      <c r="AU217" s="198">
        <v>27491.987446330004</v>
      </c>
      <c r="AV217" s="198">
        <v>171875.73776977</v>
      </c>
      <c r="AW217" s="198"/>
      <c r="AX217" s="198">
        <v>165868.00175981995</v>
      </c>
      <c r="AY217" s="197">
        <v>41685817.4652</v>
      </c>
      <c r="AZ217" s="198"/>
      <c r="BA217" s="198">
        <v>28139420.476199999</v>
      </c>
      <c r="BB217" s="198">
        <v>8566171.4224999994</v>
      </c>
      <c r="BC217" s="198">
        <v>4980225.5658999998</v>
      </c>
      <c r="BD217" s="198"/>
      <c r="BE217" s="198"/>
      <c r="BF217" s="197">
        <v>69056863.719999999</v>
      </c>
      <c r="BG217" s="198"/>
      <c r="BH217" s="198">
        <v>44916173.699999996</v>
      </c>
      <c r="BI217" s="198">
        <v>7248037.3600000013</v>
      </c>
      <c r="BJ217" s="198">
        <v>15761219.710000001</v>
      </c>
      <c r="BK217" s="198">
        <v>1131432.95</v>
      </c>
      <c r="BL217" s="198"/>
      <c r="BM217" s="197">
        <v>3188985.5469999998</v>
      </c>
      <c r="BN217" s="198">
        <v>208875.342</v>
      </c>
      <c r="BO217" s="198">
        <v>434089.24599999998</v>
      </c>
      <c r="BP217" s="198">
        <v>644309.99199999997</v>
      </c>
      <c r="BQ217" s="198">
        <v>952104.42200000002</v>
      </c>
      <c r="BR217" s="198"/>
      <c r="BS217" s="198">
        <f t="shared" si="2"/>
        <v>949606.54499999946</v>
      </c>
      <c r="BT217" s="197"/>
      <c r="BU217" s="198"/>
      <c r="BV217" s="198"/>
      <c r="BW217" s="198"/>
      <c r="BX217" s="198"/>
      <c r="BY217" s="198"/>
      <c r="BZ217" s="198"/>
      <c r="CA217" s="197">
        <v>515.30600000000004</v>
      </c>
      <c r="CB217" s="198"/>
      <c r="CC217" s="198"/>
      <c r="CD217" s="198"/>
      <c r="CE217" s="198"/>
      <c r="CF217" s="198"/>
      <c r="CG217" s="198"/>
      <c r="CH217" s="197"/>
      <c r="CI217" s="198"/>
      <c r="CJ217" s="198">
        <v>3565107.0803099992</v>
      </c>
      <c r="CK217" s="198"/>
      <c r="CL217" s="198">
        <v>1940509.3425499997</v>
      </c>
      <c r="CM217" s="198">
        <v>551577</v>
      </c>
      <c r="CN217" s="198"/>
      <c r="CO217" s="197">
        <v>6731.7852300000004</v>
      </c>
      <c r="CP217" s="198">
        <v>668.85218000000009</v>
      </c>
      <c r="CQ217" s="198">
        <v>1179.49524</v>
      </c>
      <c r="CR217" s="198">
        <v>1620.44083</v>
      </c>
      <c r="CS217" s="198">
        <v>1290.72991</v>
      </c>
      <c r="CT217" s="198"/>
      <c r="CU217" s="198">
        <v>1972.2670700000003</v>
      </c>
      <c r="CV217" s="197">
        <v>1202.0409999999999</v>
      </c>
      <c r="CW217" s="198"/>
      <c r="CX217" s="198"/>
      <c r="CY217" s="198"/>
      <c r="CZ217" s="198"/>
      <c r="DA217" s="198"/>
      <c r="DB217" s="198"/>
      <c r="DC217" s="197">
        <v>40357.314615000003</v>
      </c>
      <c r="DD217" s="198"/>
      <c r="DE217" s="198"/>
      <c r="DF217" s="198"/>
      <c r="DG217" s="198"/>
      <c r="DH217" s="198"/>
      <c r="DI217" s="198"/>
      <c r="DJ217" s="197">
        <f>3010.3+36250.4</f>
        <v>39260.700000000004</v>
      </c>
      <c r="DK217" s="198">
        <f>1912.4+8095.2</f>
        <v>10007.6</v>
      </c>
      <c r="DL217" s="198">
        <f>1382.3+9306.5</f>
        <v>10688.8</v>
      </c>
      <c r="DM217" s="198">
        <v>3223.1</v>
      </c>
      <c r="DN217" s="198">
        <f>9269.9-DM217</f>
        <v>6046.7999999999993</v>
      </c>
      <c r="DO217" s="198"/>
      <c r="DP217" s="198">
        <f t="shared" si="15"/>
        <v>9294.4000000000051</v>
      </c>
      <c r="DQ217" s="197"/>
      <c r="DR217" s="198"/>
      <c r="DS217" s="198"/>
      <c r="DT217" s="198"/>
      <c r="DU217" s="198"/>
      <c r="DV217" s="198"/>
      <c r="DW217" s="198"/>
      <c r="DX217" s="197">
        <v>66791.642370000001</v>
      </c>
      <c r="DY217" s="198"/>
      <c r="DZ217" s="198">
        <v>49246.593070000003</v>
      </c>
      <c r="EA217" s="198">
        <v>8785.3630599999997</v>
      </c>
      <c r="EB217" s="198">
        <v>7389.2956599999998</v>
      </c>
      <c r="EC217" s="198"/>
      <c r="ED217" s="198">
        <v>1370.39057</v>
      </c>
      <c r="EE217" s="197"/>
      <c r="EF217" s="198"/>
      <c r="EG217" s="198"/>
      <c r="EH217" s="198"/>
      <c r="EI217" s="198"/>
      <c r="EJ217" s="198"/>
      <c r="EK217" s="198"/>
      <c r="EL217" s="197">
        <v>1138646.8919740003</v>
      </c>
      <c r="EM217" s="198">
        <v>398451.08816599997</v>
      </c>
      <c r="EN217" s="198">
        <v>53398.309601000008</v>
      </c>
      <c r="EO217" s="198">
        <v>140565.75429100002</v>
      </c>
      <c r="EP217" s="198">
        <v>219674.86294599998</v>
      </c>
      <c r="EQ217" s="198"/>
      <c r="ER217" s="198">
        <v>326472.63063500001</v>
      </c>
      <c r="ES217" s="197">
        <v>21681.672859490001</v>
      </c>
      <c r="ET217" s="198">
        <v>2270.2100047200001</v>
      </c>
      <c r="EU217" s="198">
        <v>5745.6693362799997</v>
      </c>
      <c r="EV217" s="198">
        <v>2832.9888154700002</v>
      </c>
      <c r="EW217" s="198">
        <v>6179.5642143499999</v>
      </c>
      <c r="EX217" s="198"/>
      <c r="EY217" s="198">
        <f t="shared" si="6"/>
        <v>4653.2404886700015</v>
      </c>
      <c r="EZ217" s="197"/>
      <c r="FA217" s="198"/>
      <c r="FB217" s="198"/>
      <c r="FC217" s="198"/>
      <c r="FD217" s="198"/>
      <c r="FE217" s="198"/>
      <c r="FF217" s="198"/>
      <c r="FG217" s="197">
        <v>8556078.4703430012</v>
      </c>
      <c r="FH217" s="198">
        <v>975544.04438099999</v>
      </c>
      <c r="FI217" s="198">
        <v>2280923.7143569998</v>
      </c>
      <c r="FJ217" s="198"/>
      <c r="FK217" s="198">
        <v>678239.24789299991</v>
      </c>
      <c r="FL217" s="198"/>
      <c r="FM217" s="198">
        <f>FG217-SUM(FH217:FK217)</f>
        <v>4621371.4637120012</v>
      </c>
      <c r="FN217" s="197">
        <v>39570.862000000001</v>
      </c>
      <c r="FO217" s="198">
        <v>9555.7029999999995</v>
      </c>
      <c r="FP217" s="198">
        <v>5480.9260000000004</v>
      </c>
      <c r="FQ217" s="198">
        <v>5767.9880000000003</v>
      </c>
      <c r="FR217" s="198">
        <v>5616.4809999999998</v>
      </c>
      <c r="FS217" s="198"/>
      <c r="FT217" s="199">
        <f t="shared" si="7"/>
        <v>13149.763999999999</v>
      </c>
      <c r="FU217" s="197"/>
      <c r="FV217" s="198"/>
      <c r="FW217" s="198"/>
      <c r="FX217" s="198"/>
      <c r="FY217" s="198"/>
      <c r="FZ217" s="198"/>
      <c r="GA217" s="199"/>
      <c r="GB217" s="197">
        <v>1464.88</v>
      </c>
      <c r="GC217" s="198"/>
      <c r="GD217" s="198"/>
      <c r="GE217" s="198"/>
      <c r="GF217" s="198"/>
      <c r="GG217" s="198"/>
      <c r="GH217" s="199"/>
      <c r="GI217" s="197">
        <v>834.97</v>
      </c>
      <c r="GJ217" s="198"/>
      <c r="GK217" s="198"/>
      <c r="GL217" s="198"/>
      <c r="GM217" s="198"/>
      <c r="GN217" s="198"/>
      <c r="GO217" s="199"/>
      <c r="GP217" s="197">
        <v>2019.5640000000001</v>
      </c>
      <c r="GQ217" s="198"/>
      <c r="GR217" s="198"/>
      <c r="GS217" s="198"/>
      <c r="GT217" s="198"/>
      <c r="GU217" s="198"/>
      <c r="GV217" s="199"/>
      <c r="GW217" s="197"/>
      <c r="GX217" s="198"/>
      <c r="GY217" s="198"/>
      <c r="GZ217" s="198"/>
      <c r="HA217" s="198"/>
      <c r="HB217" s="198"/>
      <c r="HC217" s="199"/>
      <c r="HD217" s="197"/>
      <c r="HE217" s="198"/>
      <c r="HF217" s="198"/>
      <c r="HG217" s="198"/>
      <c r="HH217" s="198"/>
      <c r="HI217" s="198"/>
      <c r="HJ217" s="199"/>
      <c r="HK217" s="197">
        <v>4062</v>
      </c>
      <c r="HL217" s="198">
        <v>893.14308186273843</v>
      </c>
      <c r="HM217" s="198">
        <v>304.16669507045037</v>
      </c>
      <c r="HN217" s="198">
        <v>53.382562622620114</v>
      </c>
      <c r="HO217" s="198">
        <v>1267.835045215226</v>
      </c>
      <c r="HP217" s="198"/>
      <c r="HQ217" s="198">
        <f t="shared" si="16"/>
        <v>1543.4726152289647</v>
      </c>
      <c r="HR217" s="197">
        <v>28973.572</v>
      </c>
      <c r="HT217" s="198">
        <v>18997.735000000001</v>
      </c>
      <c r="HU217" s="198">
        <v>962.35199999999998</v>
      </c>
      <c r="HV217" s="198">
        <v>4199.2340000000004</v>
      </c>
      <c r="HW217" s="198">
        <v>1126.317</v>
      </c>
      <c r="HX217" s="198">
        <v>3687.9340000000002</v>
      </c>
    </row>
    <row r="218" spans="1:233">
      <c r="A218" s="185" t="s">
        <v>497</v>
      </c>
      <c r="B218" s="197">
        <v>2020.6410000000001</v>
      </c>
      <c r="C218" s="198">
        <v>52.482999999999997</v>
      </c>
      <c r="D218" s="198">
        <v>354.44200000000001</v>
      </c>
      <c r="E218" s="198">
        <v>537.19299999999998</v>
      </c>
      <c r="F218" s="198">
        <v>399.404</v>
      </c>
      <c r="G218" s="198"/>
      <c r="H218" s="199">
        <v>677.11900000000003</v>
      </c>
      <c r="I218" s="197">
        <v>73516.100000000006</v>
      </c>
      <c r="J218" s="198"/>
      <c r="K218" s="198"/>
      <c r="L218" s="198">
        <v>8696.6</v>
      </c>
      <c r="M218" s="198">
        <v>6192.7</v>
      </c>
      <c r="N218" s="198"/>
      <c r="O218" s="199">
        <f>[3]arg!$G84</f>
        <v>35773.600000000006</v>
      </c>
      <c r="P218" s="198">
        <v>5074.8180000000002</v>
      </c>
      <c r="Q218" s="198">
        <v>52.152000000000001</v>
      </c>
      <c r="R218" s="198">
        <v>486.85899999999998</v>
      </c>
      <c r="S218" s="198">
        <v>304.32799999999997</v>
      </c>
      <c r="T218" s="198">
        <v>3384.6550000000002</v>
      </c>
      <c r="U218" s="198"/>
      <c r="V218" s="199">
        <f t="shared" si="13"/>
        <v>846.82399999999916</v>
      </c>
      <c r="W218" s="198">
        <v>3788.8670000000002</v>
      </c>
      <c r="X218" s="198">
        <v>100.795</v>
      </c>
      <c r="Y218" s="198">
        <v>851.77700000000004</v>
      </c>
      <c r="Z218" s="198">
        <v>289.81</v>
      </c>
      <c r="AA218" s="198">
        <v>1698.203</v>
      </c>
      <c r="AB218" s="198"/>
      <c r="AC218" s="199">
        <f t="shared" si="14"/>
        <v>848.28200000000015</v>
      </c>
      <c r="AD218" s="198"/>
      <c r="AE218" s="198">
        <v>18.399999999999999</v>
      </c>
      <c r="AF218" s="198">
        <v>242.59700000000001</v>
      </c>
      <c r="AG218" s="198">
        <v>429.94899999999996</v>
      </c>
      <c r="AH218" s="198">
        <v>229.04400000000001</v>
      </c>
      <c r="AI218" s="198"/>
      <c r="AJ218" s="198"/>
      <c r="AK218" s="197">
        <v>26728.706249999996</v>
      </c>
      <c r="AL218" s="198"/>
      <c r="AM218" s="198">
        <v>14816.327499999998</v>
      </c>
      <c r="AN218" s="198">
        <v>5802.2712499999998</v>
      </c>
      <c r="AO218" s="198">
        <v>1934.62625</v>
      </c>
      <c r="AP218" s="198">
        <v>4175.4812499999998</v>
      </c>
      <c r="AQ218" s="199"/>
      <c r="AR218" s="198">
        <v>564357.09024025011</v>
      </c>
      <c r="AS218" s="198">
        <v>131210.06862079998</v>
      </c>
      <c r="AT218" s="198">
        <v>61083.544314529994</v>
      </c>
      <c r="AU218" s="198">
        <v>27804.945599850002</v>
      </c>
      <c r="AV218" s="198">
        <v>176348.10597602004</v>
      </c>
      <c r="AW218" s="198"/>
      <c r="AX218" s="198">
        <v>167910.42572905013</v>
      </c>
      <c r="AY218" s="197">
        <v>42525800.336099997</v>
      </c>
      <c r="AZ218" s="198"/>
      <c r="BA218" s="198">
        <v>28630062.4408</v>
      </c>
      <c r="BB218" s="198">
        <v>8795612.6319999993</v>
      </c>
      <c r="BC218" s="198">
        <v>5100125.2625000002</v>
      </c>
      <c r="BD218" s="198"/>
      <c r="BE218" s="198"/>
      <c r="BF218" s="197">
        <v>69899154.400000006</v>
      </c>
      <c r="BG218" s="198"/>
      <c r="BH218" s="198">
        <v>45588982.299999997</v>
      </c>
      <c r="BI218" s="198">
        <v>6824097.9100000001</v>
      </c>
      <c r="BJ218" s="198">
        <v>16315205.129999995</v>
      </c>
      <c r="BK218" s="198">
        <v>1170869.06</v>
      </c>
      <c r="BL218" s="198"/>
      <c r="BM218" s="197">
        <v>3280024.8089999999</v>
      </c>
      <c r="BN218" s="198">
        <v>214137.16899999999</v>
      </c>
      <c r="BO218" s="198">
        <v>448946.80499999999</v>
      </c>
      <c r="BP218" s="198">
        <v>660260.625</v>
      </c>
      <c r="BQ218" s="198">
        <v>987845.20900000003</v>
      </c>
      <c r="BR218" s="198"/>
      <c r="BS218" s="198">
        <f t="shared" si="2"/>
        <v>968835.0009999997</v>
      </c>
      <c r="BT218" s="197"/>
      <c r="BU218" s="198"/>
      <c r="BV218" s="198"/>
      <c r="BW218" s="198"/>
      <c r="BX218" s="198"/>
      <c r="BY218" s="198"/>
      <c r="BZ218" s="198"/>
      <c r="CA218" s="197">
        <v>529.86900000000003</v>
      </c>
      <c r="CB218" s="198">
        <v>20.652000000000001</v>
      </c>
      <c r="CC218" s="198">
        <v>101.21899999999999</v>
      </c>
      <c r="CD218" s="198">
        <v>173.49299999999999</v>
      </c>
      <c r="CE218" s="198">
        <v>113.322</v>
      </c>
      <c r="CF218" s="198"/>
      <c r="CG218" s="198">
        <f>CA218-CB218-CC218-CD218-CE218</f>
        <v>121.18300000000005</v>
      </c>
      <c r="CH218" s="197"/>
      <c r="CI218" s="198"/>
      <c r="CJ218" s="198">
        <v>3651659.05277</v>
      </c>
      <c r="CK218" s="198"/>
      <c r="CL218" s="198">
        <v>2007772.9092000001</v>
      </c>
      <c r="CM218" s="198">
        <v>569418.91444999992</v>
      </c>
      <c r="CN218" s="198"/>
      <c r="CO218" s="197">
        <v>6841.4484900000007</v>
      </c>
      <c r="CP218" s="198">
        <v>657.52499999999998</v>
      </c>
      <c r="CQ218" s="198">
        <v>1219.5373999999999</v>
      </c>
      <c r="CR218" s="198">
        <v>1630.94956</v>
      </c>
      <c r="CS218" s="198">
        <v>1318.64059</v>
      </c>
      <c r="CT218" s="198"/>
      <c r="CU218" s="198">
        <v>2014.7959400000004</v>
      </c>
      <c r="CV218" s="197">
        <v>1213.18</v>
      </c>
      <c r="CW218" s="198">
        <v>33.262999999999998</v>
      </c>
      <c r="CX218" s="198">
        <v>165.99600000000001</v>
      </c>
      <c r="CY218" s="198">
        <v>420.202</v>
      </c>
      <c r="CZ218" s="198">
        <v>297.63099999999997</v>
      </c>
      <c r="DA218" s="198"/>
      <c r="DB218" s="198">
        <f>CV218-CW218-CX218-CY218-CZ218</f>
        <v>296.08800000000019</v>
      </c>
      <c r="DC218" s="197">
        <v>40981.305355999997</v>
      </c>
      <c r="DD218" s="198"/>
      <c r="DE218" s="198"/>
      <c r="DF218" s="198"/>
      <c r="DG218" s="198"/>
      <c r="DH218" s="198"/>
      <c r="DI218" s="198"/>
      <c r="DJ218" s="197">
        <f>2878.8+36127.1</f>
        <v>39005.9</v>
      </c>
      <c r="DK218" s="198">
        <f>1905.4+8112</f>
        <v>10017.4</v>
      </c>
      <c r="DL218" s="198">
        <f>1447.7+9054.1</f>
        <v>10501.800000000001</v>
      </c>
      <c r="DM218" s="198">
        <v>3190.3</v>
      </c>
      <c r="DN218" s="198">
        <f>9065-DM218</f>
        <v>5874.7</v>
      </c>
      <c r="DO218" s="198"/>
      <c r="DP218" s="198">
        <f t="shared" si="15"/>
        <v>9421.7000000000007</v>
      </c>
      <c r="DQ218" s="197"/>
      <c r="DR218" s="198"/>
      <c r="DS218" s="198"/>
      <c r="DT218" s="198"/>
      <c r="DU218" s="198"/>
      <c r="DV218" s="198"/>
      <c r="DW218" s="198"/>
      <c r="DX218" s="197">
        <v>67686.229400000011</v>
      </c>
      <c r="DY218" s="198"/>
      <c r="DZ218" s="198">
        <v>49913.031759999998</v>
      </c>
      <c r="EA218" s="198">
        <v>8883.7882499999996</v>
      </c>
      <c r="EB218" s="198">
        <v>7449.2079100000001</v>
      </c>
      <c r="EC218" s="198"/>
      <c r="ED218" s="198">
        <v>1440.2014899999999</v>
      </c>
      <c r="EE218" s="197">
        <v>124842.30499999999</v>
      </c>
      <c r="EF218" s="198">
        <v>4849.415</v>
      </c>
      <c r="EG218" s="198">
        <v>29004.124</v>
      </c>
      <c r="EH218" s="198">
        <v>5275.9809999999998</v>
      </c>
      <c r="EI218" s="198">
        <v>38913.930999999997</v>
      </c>
      <c r="EJ218" s="198"/>
      <c r="EK218" s="198">
        <f>EE218-EF218-EG218-EH218-EI218</f>
        <v>46798.854000000007</v>
      </c>
      <c r="EL218" s="197">
        <v>1110175.6518080002</v>
      </c>
      <c r="EM218" s="198">
        <v>394340.08405899996</v>
      </c>
      <c r="EN218" s="198">
        <v>57162.885403999993</v>
      </c>
      <c r="EO218" s="198">
        <v>146413.88903999998</v>
      </c>
      <c r="EP218" s="198">
        <v>227884.495421</v>
      </c>
      <c r="EQ218" s="198"/>
      <c r="ER218" s="198">
        <v>284291.15757099999</v>
      </c>
      <c r="ES218" s="197">
        <v>22495.609076280001</v>
      </c>
      <c r="ET218" s="198">
        <v>2270.50193029</v>
      </c>
      <c r="EU218" s="198">
        <v>5937.2974989300001</v>
      </c>
      <c r="EV218" s="198">
        <v>2885.4009922400001</v>
      </c>
      <c r="EW218" s="198">
        <v>6306.7275641199994</v>
      </c>
      <c r="EX218" s="198"/>
      <c r="EY218" s="198">
        <f t="shared" si="6"/>
        <v>5095.6810907000017</v>
      </c>
      <c r="EZ218" s="197">
        <v>14418</v>
      </c>
      <c r="FA218" s="198">
        <v>652</v>
      </c>
      <c r="FB218" s="198">
        <v>3847</v>
      </c>
      <c r="FC218" s="198">
        <v>4042</v>
      </c>
      <c r="FD218" s="198">
        <v>3042</v>
      </c>
      <c r="FE218" s="198">
        <v>33</v>
      </c>
      <c r="FF218" s="198">
        <f>EZ218-FA218-FB218-FC218-FD218</f>
        <v>2835</v>
      </c>
      <c r="FG218" s="197">
        <v>8680241.2082330007</v>
      </c>
      <c r="FH218" s="198">
        <v>1011064.4339840001</v>
      </c>
      <c r="FI218" s="198">
        <v>1891781</v>
      </c>
      <c r="FJ218" s="198"/>
      <c r="FK218" s="198">
        <v>699265.49077099992</v>
      </c>
      <c r="FL218" s="198"/>
      <c r="FM218" s="198">
        <f>FG218-SUM(FH218:FK218)</f>
        <v>5078130.2834780011</v>
      </c>
      <c r="FN218" s="197">
        <v>39917.243000000002</v>
      </c>
      <c r="FO218" s="198">
        <v>9207.0720000000001</v>
      </c>
      <c r="FP218" s="198">
        <v>5580.6670000000004</v>
      </c>
      <c r="FQ218" s="198">
        <v>5993.7</v>
      </c>
      <c r="FR218" s="198">
        <v>5774.5569999999998</v>
      </c>
      <c r="FS218" s="198"/>
      <c r="FT218" s="199">
        <f t="shared" si="7"/>
        <v>13361.246999999999</v>
      </c>
      <c r="FU218" s="197"/>
      <c r="FV218" s="198"/>
      <c r="FW218" s="198"/>
      <c r="FX218" s="198"/>
      <c r="FY218" s="198"/>
      <c r="FZ218" s="198"/>
      <c r="GA218" s="199"/>
      <c r="GB218" s="197">
        <v>1504.143</v>
      </c>
      <c r="GC218" s="198">
        <v>21.173999999999999</v>
      </c>
      <c r="GD218" s="198">
        <v>200.286</v>
      </c>
      <c r="GE218" s="198">
        <v>273.315</v>
      </c>
      <c r="GF218" s="198">
        <v>273.529</v>
      </c>
      <c r="GG218" s="198"/>
      <c r="GH218" s="199">
        <f>GB218-GC218-GD218-GE218-GF218</f>
        <v>735.83899999999994</v>
      </c>
      <c r="GI218" s="197">
        <v>858.96600000000001</v>
      </c>
      <c r="GJ218" s="198">
        <v>18.78</v>
      </c>
      <c r="GK218" s="198">
        <v>135.102</v>
      </c>
      <c r="GL218" s="198">
        <v>309.48500000000001</v>
      </c>
      <c r="GM218" s="198">
        <v>150.75200000000001</v>
      </c>
      <c r="GN218" s="198"/>
      <c r="GO218" s="199">
        <f>GI218-GJ218-GK218-GL218-GM218</f>
        <v>244.84700000000004</v>
      </c>
      <c r="GP218" s="197">
        <v>2055.145</v>
      </c>
      <c r="GQ218" s="198">
        <v>57.582999999999998</v>
      </c>
      <c r="GR218" s="198">
        <v>482.85599999999999</v>
      </c>
      <c r="GS218" s="198">
        <v>451.41300000000001</v>
      </c>
      <c r="GT218" s="198">
        <v>487.58199999999999</v>
      </c>
      <c r="GU218" s="198"/>
      <c r="GV218" s="199">
        <f>GP218-GQ218-GR218-GS218-GT218</f>
        <v>575.7109999999999</v>
      </c>
      <c r="GW218" s="197"/>
      <c r="GX218" s="198"/>
      <c r="GY218" s="198"/>
      <c r="GZ218" s="198"/>
      <c r="HA218" s="198"/>
      <c r="HB218" s="198"/>
      <c r="HC218" s="199"/>
      <c r="HD218" s="197">
        <f>'[2]t&amp;t'!W350</f>
        <v>25412.799999999999</v>
      </c>
      <c r="HE218" s="198">
        <f>'[2]t&amp;t'!X350</f>
        <v>2168.4</v>
      </c>
      <c r="HF218" s="198">
        <f>'[2]t&amp;t'!Y350</f>
        <v>2485.9</v>
      </c>
      <c r="HG218" s="198">
        <f>'[2]t&amp;t'!Z350</f>
        <v>3063.5</v>
      </c>
      <c r="HH218" s="198">
        <f>'[2]t&amp;t'!AA350</f>
        <v>7941.8</v>
      </c>
      <c r="HI218" s="198"/>
      <c r="HJ218" s="199">
        <f>'[2]t&amp;t'!AC350</f>
        <v>9753.1999999999989</v>
      </c>
      <c r="HK218" s="197">
        <v>4103</v>
      </c>
      <c r="HL218" s="198">
        <v>910.54475214253262</v>
      </c>
      <c r="HM218" s="198">
        <v>307.65877945105922</v>
      </c>
      <c r="HN218" s="198">
        <v>53.261536337056569</v>
      </c>
      <c r="HO218" s="198">
        <v>1289.5152574271233</v>
      </c>
      <c r="HP218" s="198"/>
      <c r="HQ218" s="198">
        <f t="shared" si="16"/>
        <v>1542.0196746422284</v>
      </c>
      <c r="HR218" s="197">
        <v>30686.435000000001</v>
      </c>
      <c r="HT218" s="198">
        <v>20017.07</v>
      </c>
      <c r="HU218" s="198">
        <v>1124.155</v>
      </c>
      <c r="HV218" s="198">
        <v>4514.6019999999999</v>
      </c>
      <c r="HW218" s="198">
        <v>1199.068</v>
      </c>
      <c r="HX218" s="198">
        <v>3831.54</v>
      </c>
    </row>
    <row r="219" spans="1:233">
      <c r="A219" s="185" t="s">
        <v>498</v>
      </c>
      <c r="B219" s="197">
        <v>2038.1990000000001</v>
      </c>
      <c r="C219" s="198"/>
      <c r="D219" s="198"/>
      <c r="E219" s="198"/>
      <c r="F219" s="198"/>
      <c r="G219" s="198"/>
      <c r="H219" s="199"/>
      <c r="I219" s="197">
        <v>75661.7</v>
      </c>
      <c r="J219" s="198"/>
      <c r="K219" s="198"/>
      <c r="L219" s="198">
        <v>8716.7000000000007</v>
      </c>
      <c r="M219" s="198">
        <v>6390.5</v>
      </c>
      <c r="N219" s="198"/>
      <c r="O219" s="199">
        <f>[3]arg!$G85</f>
        <v>37099.800000000003</v>
      </c>
      <c r="P219" s="198">
        <v>5158.0110000000004</v>
      </c>
      <c r="Q219" s="198">
        <v>49.271000000000001</v>
      </c>
      <c r="R219" s="198">
        <v>497.73500000000001</v>
      </c>
      <c r="S219" s="198">
        <v>301.50200000000001</v>
      </c>
      <c r="T219" s="198">
        <v>3419.5360000000001</v>
      </c>
      <c r="U219" s="198"/>
      <c r="V219" s="199">
        <f t="shared" si="13"/>
        <v>889.96700000000055</v>
      </c>
      <c r="W219" s="198">
        <v>3889.942</v>
      </c>
      <c r="X219" s="198">
        <v>107.44499999999999</v>
      </c>
      <c r="Y219" s="198">
        <v>895.80700000000002</v>
      </c>
      <c r="Z219" s="198">
        <v>305.34699999999998</v>
      </c>
      <c r="AA219" s="198">
        <v>1726.0519999999999</v>
      </c>
      <c r="AB219" s="198"/>
      <c r="AC219" s="199">
        <f t="shared" si="14"/>
        <v>855.29099999999994</v>
      </c>
      <c r="AD219" s="198"/>
      <c r="AE219" s="198">
        <v>18.515000000000001</v>
      </c>
      <c r="AF219" s="198">
        <v>241.93499999999997</v>
      </c>
      <c r="AG219" s="198">
        <v>435.61900000000003</v>
      </c>
      <c r="AH219" s="198">
        <v>236.93899999999999</v>
      </c>
      <c r="AI219" s="198"/>
      <c r="AJ219" s="198"/>
      <c r="AK219" s="197"/>
      <c r="AL219" s="198"/>
      <c r="AM219" s="198"/>
      <c r="AN219" s="198"/>
      <c r="AO219" s="198"/>
      <c r="AP219" s="198"/>
      <c r="AQ219" s="199"/>
      <c r="AR219" s="198">
        <v>575971.99575710006</v>
      </c>
      <c r="AS219" s="198">
        <v>133648.87056621001</v>
      </c>
      <c r="AT219" s="198">
        <v>62277.522642200012</v>
      </c>
      <c r="AU219" s="198">
        <v>28171.62107238</v>
      </c>
      <c r="AV219" s="198">
        <v>180722.59348933003</v>
      </c>
      <c r="AW219" s="198"/>
      <c r="AX219" s="198">
        <v>171151.38798698003</v>
      </c>
      <c r="AY219" s="197">
        <v>43201276.898500003</v>
      </c>
      <c r="AZ219" s="198"/>
      <c r="BA219" s="198">
        <v>29021278.685899999</v>
      </c>
      <c r="BB219" s="198">
        <v>8958703.2828000002</v>
      </c>
      <c r="BC219" s="198">
        <v>5221294.9289999995</v>
      </c>
      <c r="BD219" s="198"/>
      <c r="BE219" s="198"/>
      <c r="BF219" s="197">
        <v>70993692.419999972</v>
      </c>
      <c r="BG219" s="198"/>
      <c r="BH219" s="198">
        <v>46213557.279999986</v>
      </c>
      <c r="BI219" s="198">
        <v>6838955.5199999996</v>
      </c>
      <c r="BJ219" s="198">
        <v>16767863.35</v>
      </c>
      <c r="BK219" s="198">
        <v>1173316.27</v>
      </c>
      <c r="BL219" s="198"/>
      <c r="BM219" s="197">
        <v>3391454.307</v>
      </c>
      <c r="BN219" s="198">
        <v>223309.50599999999</v>
      </c>
      <c r="BO219" s="198">
        <v>437345.79300000001</v>
      </c>
      <c r="BP219" s="198">
        <v>845427.451</v>
      </c>
      <c r="BQ219" s="198">
        <v>832295.68599999999</v>
      </c>
      <c r="BR219" s="198"/>
      <c r="BS219" s="198">
        <f t="shared" si="2"/>
        <v>1053075.8710000003</v>
      </c>
      <c r="BT219" s="197"/>
      <c r="BU219" s="198"/>
      <c r="BV219" s="198"/>
      <c r="BW219" s="198"/>
      <c r="BX219" s="198"/>
      <c r="BY219" s="198"/>
      <c r="BZ219" s="198"/>
      <c r="CA219" s="197">
        <v>508.98700000000002</v>
      </c>
      <c r="CB219" s="198"/>
      <c r="CC219" s="198"/>
      <c r="CD219" s="198"/>
      <c r="CE219" s="198"/>
      <c r="CF219" s="198"/>
      <c r="CG219" s="198"/>
      <c r="CH219" s="197"/>
      <c r="CI219" s="198"/>
      <c r="CJ219" s="198">
        <v>3680630.6366399997</v>
      </c>
      <c r="CK219" s="198"/>
      <c r="CL219" s="198">
        <v>1999975.0861000002</v>
      </c>
      <c r="CM219" s="198">
        <v>622270.63501999993</v>
      </c>
      <c r="CN219" s="198"/>
      <c r="CO219" s="197">
        <v>6891.1986699999998</v>
      </c>
      <c r="CP219" s="198">
        <v>641.36617000000001</v>
      </c>
      <c r="CQ219" s="198">
        <v>1237.3258000000001</v>
      </c>
      <c r="CR219" s="198">
        <v>1644.3138000000001</v>
      </c>
      <c r="CS219" s="198">
        <v>1362.17912</v>
      </c>
      <c r="CT219" s="198"/>
      <c r="CU219" s="198">
        <v>2006.0137799999993</v>
      </c>
      <c r="CV219" s="197">
        <v>1221.721</v>
      </c>
      <c r="CW219" s="198"/>
      <c r="CX219" s="198"/>
      <c r="CY219" s="198"/>
      <c r="CZ219" s="198"/>
      <c r="DA219" s="198"/>
      <c r="DB219" s="198"/>
      <c r="DC219" s="197">
        <v>41880.418881999998</v>
      </c>
      <c r="DD219" s="198"/>
      <c r="DE219" s="198"/>
      <c r="DF219" s="198"/>
      <c r="DG219" s="198"/>
      <c r="DH219" s="198"/>
      <c r="DI219" s="198"/>
      <c r="DJ219" s="197">
        <f>2942.1+36300.1</f>
        <v>39242.199999999997</v>
      </c>
      <c r="DK219" s="198">
        <f>1910.8+8360.1</f>
        <v>10270.9</v>
      </c>
      <c r="DL219" s="198">
        <f>1364.8+8991.2</f>
        <v>10356</v>
      </c>
      <c r="DM219" s="198">
        <v>2987.7</v>
      </c>
      <c r="DN219" s="198">
        <f>9291.7-DM219</f>
        <v>6304.0000000000009</v>
      </c>
      <c r="DO219" s="198"/>
      <c r="DP219" s="198">
        <f t="shared" si="15"/>
        <v>9323.5999999999949</v>
      </c>
      <c r="DQ219" s="197"/>
      <c r="DR219" s="198"/>
      <c r="DS219" s="198"/>
      <c r="DT219" s="198"/>
      <c r="DU219" s="198"/>
      <c r="DV219" s="198"/>
      <c r="DW219" s="198"/>
      <c r="DX219" s="197">
        <v>69648.988169999997</v>
      </c>
      <c r="DY219" s="198"/>
      <c r="DZ219" s="198">
        <v>51385.142449999999</v>
      </c>
      <c r="EA219" s="198">
        <v>9063.0379600000015</v>
      </c>
      <c r="EB219" s="198">
        <v>7747.2048199999999</v>
      </c>
      <c r="EC219" s="198"/>
      <c r="ED219" s="198">
        <v>1453.60294</v>
      </c>
      <c r="EE219" s="197"/>
      <c r="EF219" s="198"/>
      <c r="EG219" s="198"/>
      <c r="EH219" s="198"/>
      <c r="EI219" s="198"/>
      <c r="EJ219" s="198"/>
      <c r="EK219" s="198"/>
      <c r="EL219" s="197">
        <v>1125711.2677469999</v>
      </c>
      <c r="EM219" s="198">
        <v>395994.50954100001</v>
      </c>
      <c r="EN219" s="198">
        <v>57835.532045999986</v>
      </c>
      <c r="EO219" s="198">
        <v>151224.06281200002</v>
      </c>
      <c r="EP219" s="198">
        <v>243405.79231600006</v>
      </c>
      <c r="EQ219" s="198"/>
      <c r="ER219" s="198">
        <v>277106.76420999999</v>
      </c>
      <c r="ES219" s="197">
        <v>22947.27623476</v>
      </c>
      <c r="ET219" s="198">
        <v>2317.5733232900002</v>
      </c>
      <c r="EU219" s="198">
        <v>6052.2116466500001</v>
      </c>
      <c r="EV219" s="198">
        <v>2980.6068142899999</v>
      </c>
      <c r="EW219" s="198">
        <v>6461.1061609900007</v>
      </c>
      <c r="EX219" s="198"/>
      <c r="EY219" s="198">
        <f t="shared" si="6"/>
        <v>5135.778289539996</v>
      </c>
      <c r="EZ219" s="197"/>
      <c r="FA219" s="198"/>
      <c r="FB219" s="198"/>
      <c r="FC219" s="198"/>
      <c r="FD219" s="198"/>
      <c r="FE219" s="198"/>
      <c r="FF219" s="198"/>
      <c r="FG219" s="197">
        <v>8892513.8955659978</v>
      </c>
      <c r="FH219" s="198">
        <v>1056186.1129370001</v>
      </c>
      <c r="FI219" s="198">
        <v>1965797.664687</v>
      </c>
      <c r="FJ219" s="198"/>
      <c r="FK219" s="198">
        <v>642262.33771799994</v>
      </c>
      <c r="FL219" s="198"/>
      <c r="FM219" s="198">
        <f>FG219-SUM(FH219:FK219)</f>
        <v>5228267.7802239982</v>
      </c>
      <c r="FN219" s="197">
        <v>40916.845999999998</v>
      </c>
      <c r="FO219" s="198">
        <v>9507.2489999999998</v>
      </c>
      <c r="FP219" s="198">
        <v>5729.6540000000005</v>
      </c>
      <c r="FQ219" s="198">
        <v>6166.1859999999997</v>
      </c>
      <c r="FR219" s="198">
        <v>5933.1120000000001</v>
      </c>
      <c r="FS219" s="198"/>
      <c r="FT219" s="199">
        <f t="shared" si="7"/>
        <v>13580.644999999997</v>
      </c>
      <c r="FU219" s="197"/>
      <c r="FV219" s="198"/>
      <c r="FW219" s="198"/>
      <c r="FX219" s="198"/>
      <c r="FY219" s="198"/>
      <c r="FZ219" s="198"/>
      <c r="GA219" s="199"/>
      <c r="GB219" s="197">
        <v>1522.4849999999999</v>
      </c>
      <c r="GC219" s="198"/>
      <c r="GD219" s="198"/>
      <c r="GE219" s="198"/>
      <c r="GF219" s="198"/>
      <c r="GG219" s="198"/>
      <c r="GH219" s="199"/>
      <c r="GI219" s="197">
        <v>872.79200000000003</v>
      </c>
      <c r="GJ219" s="198"/>
      <c r="GK219" s="198"/>
      <c r="GL219" s="198"/>
      <c r="GM219" s="198"/>
      <c r="GN219" s="198"/>
      <c r="GO219" s="199"/>
      <c r="GP219" s="197">
        <v>2090.442</v>
      </c>
      <c r="GQ219" s="198"/>
      <c r="GR219" s="198"/>
      <c r="GS219" s="198"/>
      <c r="GT219" s="198"/>
      <c r="GU219" s="198"/>
      <c r="GV219" s="199"/>
      <c r="GW219" s="197"/>
      <c r="GX219" s="198"/>
      <c r="GY219" s="198"/>
      <c r="GZ219" s="198"/>
      <c r="HA219" s="198"/>
      <c r="HB219" s="198"/>
      <c r="HC219" s="199"/>
      <c r="HD219" s="197"/>
      <c r="HE219" s="198"/>
      <c r="HF219" s="198"/>
      <c r="HG219" s="198"/>
      <c r="HH219" s="198"/>
      <c r="HI219" s="198"/>
      <c r="HJ219" s="199"/>
      <c r="HK219" s="197">
        <v>4184</v>
      </c>
      <c r="HL219" s="198">
        <v>936.19689038283934</v>
      </c>
      <c r="HM219" s="198">
        <v>306.99560673921627</v>
      </c>
      <c r="HN219" s="198">
        <v>54.291800891024337</v>
      </c>
      <c r="HO219" s="198">
        <v>1325.7326849584417</v>
      </c>
      <c r="HP219" s="198"/>
      <c r="HQ219" s="198">
        <f t="shared" si="16"/>
        <v>1560.7830170284785</v>
      </c>
      <c r="HR219" s="197">
        <v>32031.614000000001</v>
      </c>
      <c r="HT219" s="198">
        <v>20703.956999999999</v>
      </c>
      <c r="HU219" s="198">
        <v>1312.944</v>
      </c>
      <c r="HV219" s="198">
        <v>4836.1080000000002</v>
      </c>
      <c r="HW219" s="198">
        <v>1249.557</v>
      </c>
      <c r="HX219" s="198">
        <v>3929.0479999999998</v>
      </c>
    </row>
    <row r="220" spans="1:233">
      <c r="A220" s="185" t="s">
        <v>499</v>
      </c>
      <c r="B220" s="197">
        <v>2077.2649999999999</v>
      </c>
      <c r="C220" s="198"/>
      <c r="D220" s="198"/>
      <c r="E220" s="198"/>
      <c r="F220" s="198"/>
      <c r="G220" s="198"/>
      <c r="H220" s="199"/>
      <c r="I220" s="197">
        <v>77455.899999999994</v>
      </c>
      <c r="J220" s="198"/>
      <c r="K220" s="198"/>
      <c r="L220" s="198">
        <v>8816.7000000000007</v>
      </c>
      <c r="M220" s="198">
        <v>6698.9</v>
      </c>
      <c r="N220" s="198"/>
      <c r="O220" s="199">
        <f>[3]arg!$G86</f>
        <v>38707.200000000004</v>
      </c>
      <c r="P220" s="198">
        <v>5254.2089999999998</v>
      </c>
      <c r="Q220" s="198">
        <v>48.103000000000002</v>
      </c>
      <c r="R220" s="198">
        <v>498.14500000000004</v>
      </c>
      <c r="S220" s="198">
        <v>315.459</v>
      </c>
      <c r="T220" s="198">
        <v>3469.7159999999999</v>
      </c>
      <c r="U220" s="198"/>
      <c r="V220" s="199">
        <f t="shared" si="13"/>
        <v>922.7859999999996</v>
      </c>
      <c r="W220" s="198">
        <v>3979.232</v>
      </c>
      <c r="X220" s="198">
        <v>107.91200000000001</v>
      </c>
      <c r="Y220" s="198">
        <v>916.11500000000001</v>
      </c>
      <c r="Z220" s="198">
        <v>314.82100000000003</v>
      </c>
      <c r="AA220" s="198">
        <v>1768.65</v>
      </c>
      <c r="AB220" s="198"/>
      <c r="AC220" s="199">
        <f t="shared" si="14"/>
        <v>871.73399999999992</v>
      </c>
      <c r="AD220" s="198"/>
      <c r="AE220" s="198">
        <v>18.696999999999999</v>
      </c>
      <c r="AF220" s="198">
        <v>242.09299999999999</v>
      </c>
      <c r="AG220" s="198">
        <v>434.86700000000002</v>
      </c>
      <c r="AH220" s="198">
        <v>245.51</v>
      </c>
      <c r="AI220" s="198"/>
      <c r="AJ220" s="198"/>
      <c r="AK220" s="197"/>
      <c r="AL220" s="198"/>
      <c r="AM220" s="198"/>
      <c r="AN220" s="198"/>
      <c r="AO220" s="198"/>
      <c r="AP220" s="198"/>
      <c r="AQ220" s="199"/>
      <c r="AR220" s="198">
        <v>590126.17819372006</v>
      </c>
      <c r="AS220" s="198">
        <v>134467.20539097002</v>
      </c>
      <c r="AT220" s="198">
        <v>64017.487833479994</v>
      </c>
      <c r="AU220" s="198">
        <v>28589.364207369996</v>
      </c>
      <c r="AV220" s="198">
        <v>184923.43408829</v>
      </c>
      <c r="AW220" s="198"/>
      <c r="AX220" s="198">
        <v>178128.68667361009</v>
      </c>
      <c r="AY220" s="197">
        <v>44167619.167199999</v>
      </c>
      <c r="AZ220" s="198"/>
      <c r="BA220" s="198">
        <v>29690555.826499999</v>
      </c>
      <c r="BB220" s="198">
        <v>9112156.6516999993</v>
      </c>
      <c r="BC220" s="198">
        <v>5364906.6885000002</v>
      </c>
      <c r="BD220" s="198"/>
      <c r="BE220" s="198"/>
      <c r="BF220" s="197">
        <v>72238178.109999999</v>
      </c>
      <c r="BG220" s="198"/>
      <c r="BH220" s="198">
        <v>46775618.299999997</v>
      </c>
      <c r="BI220" s="198">
        <v>6865892.2999999998</v>
      </c>
      <c r="BJ220" s="198">
        <v>17358276.530000001</v>
      </c>
      <c r="BK220" s="198">
        <v>1238390.98</v>
      </c>
      <c r="BL220" s="198"/>
      <c r="BM220" s="197">
        <v>3516337.8689999999</v>
      </c>
      <c r="BN220" s="198">
        <v>227536.09099999999</v>
      </c>
      <c r="BO220" s="198">
        <v>477674.83799999999</v>
      </c>
      <c r="BP220" s="198">
        <v>936381.73699999996</v>
      </c>
      <c r="BQ220" s="198">
        <v>862617.53300000005</v>
      </c>
      <c r="BR220" s="198"/>
      <c r="BS220" s="198">
        <f t="shared" si="2"/>
        <v>1012127.6699999999</v>
      </c>
      <c r="BT220" s="197"/>
      <c r="BU220" s="198"/>
      <c r="BV220" s="198"/>
      <c r="BW220" s="198"/>
      <c r="BX220" s="198"/>
      <c r="BY220" s="198"/>
      <c r="BZ220" s="198"/>
      <c r="CA220" s="197">
        <v>526.80700000000002</v>
      </c>
      <c r="CB220" s="198"/>
      <c r="CC220" s="198"/>
      <c r="CD220" s="198"/>
      <c r="CE220" s="198"/>
      <c r="CF220" s="198"/>
      <c r="CG220" s="198"/>
      <c r="CH220" s="197"/>
      <c r="CI220" s="198"/>
      <c r="CJ220" s="198">
        <v>3710096.7809399995</v>
      </c>
      <c r="CK220" s="198"/>
      <c r="CL220" s="198">
        <v>2077959.3463399999</v>
      </c>
      <c r="CM220" s="198">
        <v>640730.25777999999</v>
      </c>
      <c r="CN220" s="198"/>
      <c r="CO220" s="197">
        <v>7051.8451100000011</v>
      </c>
      <c r="CP220" s="198">
        <v>654.80981000000008</v>
      </c>
      <c r="CQ220" s="198">
        <v>1258.6484499999999</v>
      </c>
      <c r="CR220" s="198">
        <v>1669.6774499999999</v>
      </c>
      <c r="CS220" s="198">
        <v>1399.6843000000001</v>
      </c>
      <c r="CT220" s="198"/>
      <c r="CU220" s="198">
        <v>2069.0251000000017</v>
      </c>
      <c r="CV220" s="197">
        <v>1237.992</v>
      </c>
      <c r="CW220" s="198"/>
      <c r="CX220" s="198"/>
      <c r="CY220" s="198"/>
      <c r="CZ220" s="198"/>
      <c r="DA220" s="198"/>
      <c r="DB220" s="198"/>
      <c r="DC220" s="197">
        <v>43443.781103000001</v>
      </c>
      <c r="DD220" s="198"/>
      <c r="DE220" s="198"/>
      <c r="DF220" s="198"/>
      <c r="DG220" s="198"/>
      <c r="DH220" s="198"/>
      <c r="DI220" s="198"/>
      <c r="DJ220" s="197">
        <f>2627+37108.4</f>
        <v>39735.4</v>
      </c>
      <c r="DK220" s="198">
        <f>1891.3+8297.6</f>
        <v>10188.9</v>
      </c>
      <c r="DL220" s="198">
        <f>1450.5+8894.2</f>
        <v>10344.700000000001</v>
      </c>
      <c r="DM220" s="198">
        <v>3210.5</v>
      </c>
      <c r="DN220" s="198">
        <f>9916.8-3210.5</f>
        <v>6706.2999999999993</v>
      </c>
      <c r="DO220" s="198"/>
      <c r="DP220" s="198">
        <f t="shared" si="15"/>
        <v>9285.0000000000036</v>
      </c>
      <c r="DQ220" s="197"/>
      <c r="DR220" s="198"/>
      <c r="DS220" s="198"/>
      <c r="DT220" s="198"/>
      <c r="DU220" s="198"/>
      <c r="DV220" s="198"/>
      <c r="DW220" s="198"/>
      <c r="DX220" s="197">
        <v>70798.115669999999</v>
      </c>
      <c r="DY220" s="198"/>
      <c r="DZ220" s="198">
        <v>51811.670899999997</v>
      </c>
      <c r="EA220" s="198">
        <v>9336.3982500000002</v>
      </c>
      <c r="EB220" s="198">
        <v>8180.03557</v>
      </c>
      <c r="EC220" s="198"/>
      <c r="ED220" s="198">
        <v>1470.0109499999999</v>
      </c>
      <c r="EE220" s="197"/>
      <c r="EF220" s="198"/>
      <c r="EG220" s="198"/>
      <c r="EH220" s="198"/>
      <c r="EI220" s="198"/>
      <c r="EJ220" s="198"/>
      <c r="EK220" s="198"/>
      <c r="EL220" s="197">
        <v>1139519.7087889998</v>
      </c>
      <c r="EM220" s="198">
        <v>404824.07486400002</v>
      </c>
      <c r="EN220" s="198">
        <v>56765.805954999989</v>
      </c>
      <c r="EO220" s="198">
        <v>156508.95606699999</v>
      </c>
      <c r="EP220" s="198">
        <v>253230.06674900002</v>
      </c>
      <c r="EQ220" s="198"/>
      <c r="ER220" s="198">
        <v>268103.15637699998</v>
      </c>
      <c r="ES220" s="197">
        <v>23769.159230869998</v>
      </c>
      <c r="ET220" s="198">
        <v>2369.2462664700001</v>
      </c>
      <c r="EU220" s="198">
        <v>6462.8969102999999</v>
      </c>
      <c r="EV220" s="198">
        <v>3062.1786550400002</v>
      </c>
      <c r="EW220" s="198">
        <v>6656.5155875800001</v>
      </c>
      <c r="EX220" s="198"/>
      <c r="EY220" s="198">
        <f t="shared" si="6"/>
        <v>5218.3218114799975</v>
      </c>
      <c r="EZ220" s="197">
        <v>14800</v>
      </c>
      <c r="FA220" s="198">
        <v>638</v>
      </c>
      <c r="FB220" s="198">
        <v>3980</v>
      </c>
      <c r="FC220" s="198">
        <v>4124</v>
      </c>
      <c r="FD220" s="198">
        <v>3143</v>
      </c>
      <c r="FE220" s="198">
        <v>32</v>
      </c>
      <c r="FF220" s="198">
        <f t="shared" ref="FF220:FF283" si="17">EZ220-FA220-FB220-FC220-FD220</f>
        <v>2915</v>
      </c>
      <c r="FG220" s="197"/>
      <c r="FH220" s="198"/>
      <c r="FI220" s="198"/>
      <c r="FJ220" s="198"/>
      <c r="FK220" s="198"/>
      <c r="FL220" s="198"/>
      <c r="FM220" s="198"/>
      <c r="FN220" s="197">
        <v>42565.228999999999</v>
      </c>
      <c r="FO220" s="198">
        <v>9788.1389999999992</v>
      </c>
      <c r="FP220" s="198">
        <v>6125.875</v>
      </c>
      <c r="FQ220" s="198">
        <v>6333.3440000000001</v>
      </c>
      <c r="FR220" s="198">
        <v>6103.5910000000003</v>
      </c>
      <c r="FS220" s="198"/>
      <c r="FT220" s="199">
        <f t="shared" si="7"/>
        <v>14214.279999999999</v>
      </c>
      <c r="FU220" s="197"/>
      <c r="FV220" s="198"/>
      <c r="FW220" s="198"/>
      <c r="FX220" s="198"/>
      <c r="FY220" s="198"/>
      <c r="FZ220" s="198"/>
      <c r="GA220" s="199"/>
      <c r="GB220" s="197">
        <v>1540.2619999999999</v>
      </c>
      <c r="GC220" s="198"/>
      <c r="GD220" s="198"/>
      <c r="GE220" s="198"/>
      <c r="GF220" s="198"/>
      <c r="GG220" s="198"/>
      <c r="GH220" s="199"/>
      <c r="GI220" s="197">
        <v>878.75599999999997</v>
      </c>
      <c r="GJ220" s="198"/>
      <c r="GK220" s="198"/>
      <c r="GL220" s="198"/>
      <c r="GM220" s="198"/>
      <c r="GN220" s="198"/>
      <c r="GO220" s="199"/>
      <c r="GP220" s="197">
        <v>2137.732</v>
      </c>
      <c r="GQ220" s="198"/>
      <c r="GR220" s="198"/>
      <c r="GS220" s="198"/>
      <c r="GT220" s="198"/>
      <c r="GU220" s="198"/>
      <c r="GV220" s="199"/>
      <c r="GW220" s="197"/>
      <c r="GX220" s="198"/>
      <c r="GY220" s="198"/>
      <c r="GZ220" s="198"/>
      <c r="HA220" s="198"/>
      <c r="HB220" s="198"/>
      <c r="HC220" s="199"/>
      <c r="HD220" s="197"/>
      <c r="HE220" s="198"/>
      <c r="HF220" s="198"/>
      <c r="HG220" s="198"/>
      <c r="HH220" s="198"/>
      <c r="HI220" s="198"/>
      <c r="HJ220" s="199"/>
      <c r="HK220" s="197">
        <v>4228</v>
      </c>
      <c r="HL220" s="198">
        <v>928.00462180844693</v>
      </c>
      <c r="HM220" s="198">
        <v>314.55633858761848</v>
      </c>
      <c r="HN220" s="198">
        <v>55.109657409481613</v>
      </c>
      <c r="HO220" s="198">
        <v>1338.3229681072205</v>
      </c>
      <c r="HP220" s="198"/>
      <c r="HQ220" s="198">
        <f t="shared" si="16"/>
        <v>1592.0064140872321</v>
      </c>
      <c r="HR220" s="197">
        <v>34405.616000000002</v>
      </c>
      <c r="HT220" s="198">
        <v>22184.944</v>
      </c>
      <c r="HU220" s="198">
        <v>1515.7090000000001</v>
      </c>
      <c r="HV220" s="198">
        <v>5202.7550000000001</v>
      </c>
      <c r="HW220" s="198">
        <v>1371.268</v>
      </c>
      <c r="HX220" s="198">
        <v>4130.9399999999996</v>
      </c>
    </row>
    <row r="221" spans="1:233">
      <c r="A221" s="202" t="s">
        <v>500</v>
      </c>
      <c r="B221" s="203">
        <v>2083.1280000000002</v>
      </c>
      <c r="C221" s="204">
        <v>56.811</v>
      </c>
      <c r="D221" s="204">
        <v>350.26900000000001</v>
      </c>
      <c r="E221" s="204">
        <v>562.303</v>
      </c>
      <c r="F221" s="204">
        <v>422.96100000000001</v>
      </c>
      <c r="G221" s="204"/>
      <c r="H221" s="205">
        <v>690.78399999999999</v>
      </c>
      <c r="I221" s="203">
        <v>79241.3</v>
      </c>
      <c r="J221" s="204"/>
      <c r="K221" s="204"/>
      <c r="L221" s="204">
        <v>8865.2999999999993</v>
      </c>
      <c r="M221" s="204">
        <v>7134.5</v>
      </c>
      <c r="N221" s="204"/>
      <c r="O221" s="205">
        <f>[3]arg!$G87</f>
        <v>39885.699999999997</v>
      </c>
      <c r="P221" s="204">
        <v>5342.6549999999997</v>
      </c>
      <c r="Q221" s="204">
        <v>47.372999999999998</v>
      </c>
      <c r="R221" s="204">
        <v>500.90199999999999</v>
      </c>
      <c r="S221" s="204">
        <v>312.76799999999997</v>
      </c>
      <c r="T221" s="204">
        <v>3525.779</v>
      </c>
      <c r="U221" s="204"/>
      <c r="V221" s="205">
        <f>P221-Q221-R221-S221-T221</f>
        <v>955.83300000000008</v>
      </c>
      <c r="W221" s="204">
        <v>4081.7890000000002</v>
      </c>
      <c r="X221" s="204">
        <v>111.155</v>
      </c>
      <c r="Y221" s="204">
        <v>926.06399999999996</v>
      </c>
      <c r="Z221" s="204">
        <v>316.10899999999998</v>
      </c>
      <c r="AA221" s="204">
        <v>1806.377</v>
      </c>
      <c r="AB221" s="204"/>
      <c r="AC221" s="205">
        <f t="shared" si="14"/>
        <v>922.08400000000029</v>
      </c>
      <c r="AD221" s="204"/>
      <c r="AE221" s="204">
        <v>19.155999999999999</v>
      </c>
      <c r="AF221" s="204">
        <v>234.88300000000001</v>
      </c>
      <c r="AG221" s="204">
        <v>438.22</v>
      </c>
      <c r="AH221" s="204">
        <v>259.03300000000002</v>
      </c>
      <c r="AI221" s="204"/>
      <c r="AJ221" s="204"/>
      <c r="AK221" s="203">
        <v>26771.200000000004</v>
      </c>
      <c r="AL221" s="204"/>
      <c r="AM221" s="204">
        <v>14470.399999999998</v>
      </c>
      <c r="AN221" s="204">
        <v>5963.9999999999991</v>
      </c>
      <c r="AO221" s="204">
        <v>2020</v>
      </c>
      <c r="AP221" s="204">
        <v>4316</v>
      </c>
      <c r="AQ221" s="205"/>
      <c r="AR221" s="204">
        <v>607023.29670635995</v>
      </c>
      <c r="AS221" s="204">
        <v>138947.28919280996</v>
      </c>
      <c r="AT221" s="204">
        <v>64514.356399310003</v>
      </c>
      <c r="AU221" s="204">
        <v>29080.642271379998</v>
      </c>
      <c r="AV221" s="204">
        <v>188783.82271711997</v>
      </c>
      <c r="AW221" s="204"/>
      <c r="AX221" s="204">
        <v>185697.18612574003</v>
      </c>
      <c r="AY221" s="203">
        <v>44833441.233499996</v>
      </c>
      <c r="AZ221" s="204"/>
      <c r="BA221" s="204">
        <v>30124085.627599999</v>
      </c>
      <c r="BB221" s="204">
        <v>9241099.3855000008</v>
      </c>
      <c r="BC221" s="204">
        <v>5468256.2198000001</v>
      </c>
      <c r="BD221" s="204"/>
      <c r="BE221" s="204"/>
      <c r="BF221" s="203">
        <v>73912992.199999988</v>
      </c>
      <c r="BG221" s="204"/>
      <c r="BH221" s="204">
        <v>47820184.639999993</v>
      </c>
      <c r="BI221" s="204">
        <v>6804200.1200000001</v>
      </c>
      <c r="BJ221" s="204">
        <v>18031572.880000003</v>
      </c>
      <c r="BK221" s="204">
        <v>1257034.56</v>
      </c>
      <c r="BL221" s="204"/>
      <c r="BM221" s="203">
        <v>3631832.4160000002</v>
      </c>
      <c r="BN221" s="204">
        <v>250097.03700000001</v>
      </c>
      <c r="BO221" s="204">
        <v>498058.641</v>
      </c>
      <c r="BP221" s="204">
        <v>953776.11400000006</v>
      </c>
      <c r="BQ221" s="204">
        <v>860906.527</v>
      </c>
      <c r="BR221" s="204"/>
      <c r="BS221" s="204">
        <f t="shared" si="2"/>
        <v>1068994.0970000001</v>
      </c>
      <c r="BT221" s="203"/>
      <c r="BU221" s="204"/>
      <c r="BV221" s="204"/>
      <c r="BW221" s="204"/>
      <c r="BX221" s="204"/>
      <c r="BY221" s="204"/>
      <c r="BZ221" s="204"/>
      <c r="CA221" s="203">
        <v>529.86500000000001</v>
      </c>
      <c r="CB221" s="204">
        <v>27.108000000000001</v>
      </c>
      <c r="CC221" s="204">
        <v>97.543000000000006</v>
      </c>
      <c r="CD221" s="204">
        <v>178.37799999999999</v>
      </c>
      <c r="CE221" s="204">
        <v>112.104</v>
      </c>
      <c r="CF221" s="204"/>
      <c r="CG221" s="204">
        <f>CA221-CB221-CC221-CD221-CE221</f>
        <v>114.73200000000001</v>
      </c>
      <c r="CH221" s="203">
        <v>7505776.1609100001</v>
      </c>
      <c r="CI221" s="204"/>
      <c r="CJ221" s="204">
        <v>3781397.2385200001</v>
      </c>
      <c r="CK221" s="204">
        <f>[4]créditos!$O50</f>
        <v>875359.03679000004</v>
      </c>
      <c r="CL221" s="204">
        <v>2189747.6278200001</v>
      </c>
      <c r="CM221" s="204">
        <v>659272.25777999999</v>
      </c>
      <c r="CN221" s="204"/>
      <c r="CO221" s="203">
        <v>7186.1040299999995</v>
      </c>
      <c r="CP221" s="204">
        <v>687.77326000000005</v>
      </c>
      <c r="CQ221" s="204">
        <v>1256.4430600000001</v>
      </c>
      <c r="CR221" s="204">
        <v>1682.94217</v>
      </c>
      <c r="CS221" s="204">
        <v>1441.93579</v>
      </c>
      <c r="CT221" s="204"/>
      <c r="CU221" s="204">
        <v>2117.0097499999993</v>
      </c>
      <c r="CV221" s="203">
        <v>1252.144</v>
      </c>
      <c r="CW221" s="204">
        <v>33.173000000000002</v>
      </c>
      <c r="CX221" s="204">
        <v>180.834</v>
      </c>
      <c r="CY221" s="204">
        <v>459.77</v>
      </c>
      <c r="CZ221" s="204">
        <v>302.13200000000001</v>
      </c>
      <c r="DA221" s="204"/>
      <c r="DB221" s="204">
        <f>CV221-CW221-CX221-CY221-CZ221</f>
        <v>276.23499999999996</v>
      </c>
      <c r="DC221" s="203">
        <v>44510.674295999997</v>
      </c>
      <c r="DD221" s="204"/>
      <c r="DE221" s="204"/>
      <c r="DF221" s="204"/>
      <c r="DG221" s="204"/>
      <c r="DH221" s="204"/>
      <c r="DI221" s="204"/>
      <c r="DJ221" s="203">
        <f>1572.1+37334.8</f>
        <v>38906.9</v>
      </c>
      <c r="DK221" s="204">
        <f>1098.1+8150</f>
        <v>9248.1</v>
      </c>
      <c r="DL221" s="204">
        <f>1400.1+9072.9</f>
        <v>10473</v>
      </c>
      <c r="DM221" s="204">
        <v>3008.5</v>
      </c>
      <c r="DN221" s="204">
        <f>10303-DM221</f>
        <v>7294.5</v>
      </c>
      <c r="DO221" s="204"/>
      <c r="DP221" s="204">
        <f t="shared" si="15"/>
        <v>8882.8000000000029</v>
      </c>
      <c r="DQ221" s="203"/>
      <c r="DR221" s="204"/>
      <c r="DS221" s="204"/>
      <c r="DT221" s="204"/>
      <c r="DU221" s="204"/>
      <c r="DV221" s="204"/>
      <c r="DW221" s="204"/>
      <c r="DX221" s="203">
        <v>72569.564540000007</v>
      </c>
      <c r="DY221" s="204"/>
      <c r="DZ221" s="204">
        <v>53448.031920000001</v>
      </c>
      <c r="EA221" s="204">
        <v>9448.5171399999999</v>
      </c>
      <c r="EB221" s="204">
        <v>8268.184870000001</v>
      </c>
      <c r="EC221" s="204"/>
      <c r="ED221" s="204">
        <v>1404.8306100000002</v>
      </c>
      <c r="EE221" s="203">
        <v>132095.30300000001</v>
      </c>
      <c r="EF221" s="204">
        <v>4678.0129999999999</v>
      </c>
      <c r="EG221" s="204">
        <v>31842.802</v>
      </c>
      <c r="EH221" s="204">
        <v>5512.3109999999997</v>
      </c>
      <c r="EI221" s="204">
        <v>41155.245999999999</v>
      </c>
      <c r="EJ221" s="204"/>
      <c r="EK221" s="204">
        <f>EE221-EF221-EG221-EH221-EI221</f>
        <v>48906.931000000011</v>
      </c>
      <c r="EL221" s="203">
        <v>1153215.036717</v>
      </c>
      <c r="EM221" s="204">
        <v>417537.74711699988</v>
      </c>
      <c r="EN221" s="204">
        <v>60058.941553000004</v>
      </c>
      <c r="EO221" s="204">
        <v>173288.99071400001</v>
      </c>
      <c r="EP221" s="204">
        <v>260032.78651400004</v>
      </c>
      <c r="EQ221" s="204"/>
      <c r="ER221" s="204">
        <v>242227.41791100003</v>
      </c>
      <c r="ES221" s="203">
        <v>24415.515280110001</v>
      </c>
      <c r="ET221" s="204">
        <v>2475.8021694399999</v>
      </c>
      <c r="EU221" s="204">
        <v>6831.5725955600001</v>
      </c>
      <c r="EV221" s="204">
        <v>3119.12600445</v>
      </c>
      <c r="EW221" s="204">
        <v>6804.1635212500005</v>
      </c>
      <c r="EX221" s="204"/>
      <c r="EY221" s="204">
        <f t="shared" si="6"/>
        <v>5184.8509894100007</v>
      </c>
      <c r="EZ221" s="203">
        <v>14685</v>
      </c>
      <c r="FA221" s="204">
        <v>631</v>
      </c>
      <c r="FB221" s="204">
        <v>3711</v>
      </c>
      <c r="FC221" s="204">
        <v>4218</v>
      </c>
      <c r="FD221" s="204">
        <v>3198</v>
      </c>
      <c r="FE221" s="204">
        <v>29</v>
      </c>
      <c r="FF221" s="204">
        <f t="shared" si="17"/>
        <v>2927</v>
      </c>
      <c r="FG221" s="203">
        <v>9019388.6699379981</v>
      </c>
      <c r="FH221" s="204">
        <v>1163930.208781</v>
      </c>
      <c r="FI221" s="204">
        <v>2126934.4651219998</v>
      </c>
      <c r="FJ221" s="204"/>
      <c r="FK221" s="204">
        <v>763365.42509999999</v>
      </c>
      <c r="FL221" s="204"/>
      <c r="FM221" s="204">
        <f t="shared" ref="FM221:FM232" si="18">FG221-SUM(FH221:FK221)</f>
        <v>4965158.5709349979</v>
      </c>
      <c r="FN221" s="203">
        <v>43676.262000000002</v>
      </c>
      <c r="FO221" s="204">
        <v>10045.235000000001</v>
      </c>
      <c r="FP221" s="204">
        <v>6032.9719999999998</v>
      </c>
      <c r="FQ221" s="204">
        <v>6471.14</v>
      </c>
      <c r="FR221" s="204">
        <v>6277.7610000000004</v>
      </c>
      <c r="FS221" s="204"/>
      <c r="FT221" s="205">
        <f t="shared" si="7"/>
        <v>14849.154000000002</v>
      </c>
      <c r="FU221" s="203"/>
      <c r="FV221" s="204"/>
      <c r="FW221" s="204"/>
      <c r="FX221" s="204"/>
      <c r="FY221" s="204"/>
      <c r="FZ221" s="204"/>
      <c r="GA221" s="205"/>
      <c r="GB221" s="203">
        <v>1541.1030000000001</v>
      </c>
      <c r="GC221" s="204">
        <v>18.408999999999999</v>
      </c>
      <c r="GD221" s="204">
        <v>204.24700000000001</v>
      </c>
      <c r="GE221" s="204">
        <v>300.52600000000001</v>
      </c>
      <c r="GF221" s="204">
        <v>255.476</v>
      </c>
      <c r="GG221" s="204"/>
      <c r="GH221" s="205">
        <f>GB221-GC221-GD221-GE221-GF221</f>
        <v>762.44499999999982</v>
      </c>
      <c r="GI221" s="203">
        <v>887.346</v>
      </c>
      <c r="GJ221" s="204">
        <v>18.652000000000001</v>
      </c>
      <c r="GK221" s="204">
        <v>131.94499999999999</v>
      </c>
      <c r="GL221" s="204">
        <v>332.00200000000001</v>
      </c>
      <c r="GM221" s="204">
        <v>149.69499999999999</v>
      </c>
      <c r="GN221" s="204"/>
      <c r="GO221" s="205">
        <f>GI221-GJ221-GK221-GL221-GM221</f>
        <v>255.05200000000002</v>
      </c>
      <c r="GP221" s="203">
        <v>2174.58</v>
      </c>
      <c r="GQ221" s="204">
        <v>59.902999999999999</v>
      </c>
      <c r="GR221" s="204">
        <v>521.48599999999999</v>
      </c>
      <c r="GS221" s="204">
        <v>464.95</v>
      </c>
      <c r="GT221" s="204">
        <v>492.59500000000003</v>
      </c>
      <c r="GU221" s="204"/>
      <c r="GV221" s="205">
        <f>GP221-GQ221-GR221-GS221-GT221</f>
        <v>635.64600000000019</v>
      </c>
      <c r="GW221" s="203"/>
      <c r="GX221" s="204"/>
      <c r="GY221" s="204"/>
      <c r="GZ221" s="204"/>
      <c r="HA221" s="204"/>
      <c r="HB221" s="204"/>
      <c r="HC221" s="205"/>
      <c r="HD221" s="203">
        <f>'[2]t&amp;t'!W353</f>
        <v>28748.7</v>
      </c>
      <c r="HE221" s="204">
        <f>'[2]t&amp;t'!X353</f>
        <v>2020.2</v>
      </c>
      <c r="HF221" s="204">
        <f>'[2]t&amp;t'!Y353</f>
        <v>2542.2000000000003</v>
      </c>
      <c r="HG221" s="204">
        <f>'[2]t&amp;t'!Z353</f>
        <v>4450.8</v>
      </c>
      <c r="HH221" s="204">
        <f>'[2]t&amp;t'!AA353</f>
        <v>8585.9</v>
      </c>
      <c r="HI221" s="204"/>
      <c r="HJ221" s="205">
        <f>'[2]t&amp;t'!AC353</f>
        <v>11149.6</v>
      </c>
      <c r="HK221" s="203">
        <v>4212</v>
      </c>
      <c r="HL221" s="204">
        <v>948.33782825115554</v>
      </c>
      <c r="HM221" s="204">
        <v>311.66846358943963</v>
      </c>
      <c r="HN221" s="204">
        <v>49.865746819611189</v>
      </c>
      <c r="HO221" s="204">
        <v>1334.1477362791691</v>
      </c>
      <c r="HP221" s="204"/>
      <c r="HQ221" s="204">
        <f t="shared" si="16"/>
        <v>1567.9802250606242</v>
      </c>
      <c r="HR221" s="197">
        <v>39246.769999999997</v>
      </c>
      <c r="HS221" s="206"/>
      <c r="HT221" s="204">
        <v>25824.798999999999</v>
      </c>
      <c r="HU221" s="204">
        <v>1809.2270000000001</v>
      </c>
      <c r="HV221" s="204">
        <v>5754.8909999999996</v>
      </c>
      <c r="HW221" s="204">
        <v>1419.597</v>
      </c>
      <c r="HX221" s="204">
        <v>4438.2560000000003</v>
      </c>
      <c r="HY221" s="198"/>
    </row>
    <row r="222" spans="1:233">
      <c r="A222" s="185" t="s">
        <v>673</v>
      </c>
      <c r="B222" s="197">
        <v>2113.0169999999998</v>
      </c>
      <c r="C222" s="198"/>
      <c r="D222" s="198"/>
      <c r="E222" s="198"/>
      <c r="F222" s="198"/>
      <c r="G222" s="198"/>
      <c r="H222" s="199"/>
      <c r="I222" s="197">
        <v>80151.5</v>
      </c>
      <c r="J222" s="198"/>
      <c r="K222" s="198"/>
      <c r="L222" s="198">
        <v>8970</v>
      </c>
      <c r="M222" s="198">
        <v>7496.5</v>
      </c>
      <c r="N222" s="198"/>
      <c r="O222" s="199">
        <f>[3]arg!$G88</f>
        <v>40522.899999999994</v>
      </c>
      <c r="P222" s="198">
        <v>5273.7219999999998</v>
      </c>
      <c r="Q222" s="198">
        <v>48.08</v>
      </c>
      <c r="R222" s="198">
        <v>479.12</v>
      </c>
      <c r="S222" s="198">
        <v>338.017</v>
      </c>
      <c r="T222" s="198">
        <v>3507.116</v>
      </c>
      <c r="U222" s="198"/>
      <c r="V222" s="199">
        <f t="shared" ref="V222:V232" si="19">P222-Q222-R222-S222-T222</f>
        <v>901.38900000000012</v>
      </c>
      <c r="W222" s="198">
        <v>4125.6509999999998</v>
      </c>
      <c r="X222" s="198">
        <v>116.456</v>
      </c>
      <c r="Y222" s="198">
        <v>940.40599999999995</v>
      </c>
      <c r="Z222" s="198">
        <v>324.68700000000001</v>
      </c>
      <c r="AA222" s="198">
        <v>1828.8040000000001</v>
      </c>
      <c r="AB222" s="198"/>
      <c r="AC222" s="199">
        <f t="shared" si="14"/>
        <v>915.29799999999977</v>
      </c>
      <c r="AD222" s="198"/>
      <c r="AE222" s="198">
        <v>19.151</v>
      </c>
      <c r="AF222" s="198">
        <v>237.00399999999999</v>
      </c>
      <c r="AG222" s="198">
        <v>442.33500000000004</v>
      </c>
      <c r="AH222" s="198">
        <v>255.49100000000001</v>
      </c>
      <c r="AI222" s="198"/>
      <c r="AJ222" s="198"/>
      <c r="AK222" s="197"/>
      <c r="AL222" s="198"/>
      <c r="AM222" s="198"/>
      <c r="AN222" s="198"/>
      <c r="AO222" s="198"/>
      <c r="AP222" s="198"/>
      <c r="AQ222" s="199"/>
      <c r="AR222" s="198">
        <v>608728.85375369003</v>
      </c>
      <c r="AS222" s="198">
        <v>136489.05975451</v>
      </c>
      <c r="AT222" s="198">
        <v>64274.204195839993</v>
      </c>
      <c r="AU222" s="198">
        <v>29766.31715662</v>
      </c>
      <c r="AV222" s="198">
        <v>192829.01624087003</v>
      </c>
      <c r="AW222" s="198"/>
      <c r="AX222" s="198">
        <v>185370.25640585003</v>
      </c>
      <c r="AY222" s="197">
        <v>45238778.013800003</v>
      </c>
      <c r="AZ222" s="198"/>
      <c r="BA222" s="198">
        <v>30350287.785999998</v>
      </c>
      <c r="BB222" s="198">
        <v>9317487.7048000004</v>
      </c>
      <c r="BC222" s="198">
        <v>5571002.5224000001</v>
      </c>
      <c r="BD222" s="198"/>
      <c r="BE222" s="198"/>
      <c r="BF222" s="197">
        <v>75038253.889999986</v>
      </c>
      <c r="BG222" s="198"/>
      <c r="BH222" s="198">
        <v>48493160.269999996</v>
      </c>
      <c r="BI222" s="198">
        <v>6828830.5099999998</v>
      </c>
      <c r="BJ222" s="198">
        <v>18443116.469999999</v>
      </c>
      <c r="BK222" s="198">
        <v>1273146.6399999999</v>
      </c>
      <c r="BL222" s="198"/>
      <c r="BM222" s="197">
        <v>3682315.7110000001</v>
      </c>
      <c r="BN222" s="198">
        <v>253644.05900000001</v>
      </c>
      <c r="BO222" s="198">
        <v>496559.32</v>
      </c>
      <c r="BP222" s="198">
        <v>968693.18200000003</v>
      </c>
      <c r="BQ222" s="198">
        <v>871921.24100000004</v>
      </c>
      <c r="BR222" s="198"/>
      <c r="BS222" s="198">
        <f t="shared" si="2"/>
        <v>1091497.909</v>
      </c>
      <c r="BT222" s="197"/>
      <c r="BU222" s="198"/>
      <c r="BV222" s="198"/>
      <c r="BW222" s="198"/>
      <c r="BX222" s="198"/>
      <c r="BY222" s="198"/>
      <c r="BZ222" s="198"/>
      <c r="CA222" s="197">
        <v>541.79200000000003</v>
      </c>
      <c r="CB222" s="198"/>
      <c r="CC222" s="198"/>
      <c r="CD222" s="198"/>
      <c r="CE222" s="198"/>
      <c r="CF222" s="198"/>
      <c r="CG222" s="198"/>
      <c r="CH222" s="197"/>
      <c r="CI222" s="198"/>
      <c r="CJ222" s="198">
        <v>3742639.37115</v>
      </c>
      <c r="CK222" s="198"/>
      <c r="CL222" s="198">
        <v>2220186.6419999995</v>
      </c>
      <c r="CM222" s="198">
        <v>664012.12457999995</v>
      </c>
      <c r="CN222" s="198"/>
      <c r="CO222" s="197">
        <v>7285.0173800000011</v>
      </c>
      <c r="CP222" s="198">
        <v>717.99635999999998</v>
      </c>
      <c r="CQ222" s="198">
        <v>1269.3640399999999</v>
      </c>
      <c r="CR222" s="198">
        <v>1701.0517299999999</v>
      </c>
      <c r="CS222" s="198">
        <v>1470.9128899999998</v>
      </c>
      <c r="CT222" s="198"/>
      <c r="CU222" s="198">
        <v>2125.6923600000014</v>
      </c>
      <c r="CV222" s="197">
        <v>1263.864</v>
      </c>
      <c r="CW222" s="198"/>
      <c r="CX222" s="198"/>
      <c r="CY222" s="198"/>
      <c r="CZ222" s="198"/>
      <c r="DA222" s="198"/>
      <c r="DB222" s="198"/>
      <c r="DC222" s="197">
        <v>44497.298347999997</v>
      </c>
      <c r="DD222" s="198"/>
      <c r="DE222" s="198"/>
      <c r="DF222" s="198"/>
      <c r="DG222" s="198"/>
      <c r="DH222" s="198"/>
      <c r="DI222" s="198"/>
      <c r="DJ222" s="197">
        <f>2237.2+37995.2</f>
        <v>40232.399999999994</v>
      </c>
      <c r="DK222" s="198">
        <f>1748.5+8956.9</f>
        <v>10705.4</v>
      </c>
      <c r="DL222" s="198">
        <f>1367.9+8592.8</f>
        <v>9960.6999999999989</v>
      </c>
      <c r="DM222" s="198">
        <v>3024.6</v>
      </c>
      <c r="DN222" s="198">
        <f>10283.8-DM222</f>
        <v>7259.1999999999989</v>
      </c>
      <c r="DO222" s="198"/>
      <c r="DP222" s="198">
        <f>DJ222-SUM(DK222:DN222)</f>
        <v>9282.5</v>
      </c>
      <c r="DQ222" s="197"/>
      <c r="DR222" s="198"/>
      <c r="DS222" s="198"/>
      <c r="DT222" s="198"/>
      <c r="DU222" s="198"/>
      <c r="DV222" s="198"/>
      <c r="DW222" s="198"/>
      <c r="DX222" s="197">
        <v>73617.242060000004</v>
      </c>
      <c r="DY222" s="198"/>
      <c r="DZ222" s="198">
        <v>53973.249000000003</v>
      </c>
      <c r="EA222" s="198">
        <v>9749.7380900000007</v>
      </c>
      <c r="EB222" s="198">
        <v>8453.9698900000003</v>
      </c>
      <c r="EC222" s="198"/>
      <c r="ED222" s="198">
        <v>1440.2850700000001</v>
      </c>
      <c r="EE222" s="197"/>
      <c r="EF222" s="198"/>
      <c r="EG222" s="198"/>
      <c r="EH222" s="198"/>
      <c r="EI222" s="198"/>
      <c r="EJ222" s="198"/>
      <c r="EK222" s="198"/>
      <c r="EL222" s="197">
        <v>1161184.9983920003</v>
      </c>
      <c r="EM222" s="198">
        <v>415032.61743400001</v>
      </c>
      <c r="EN222" s="198">
        <v>61085.954983000003</v>
      </c>
      <c r="EO222" s="198">
        <v>179340.64145900001</v>
      </c>
      <c r="EP222" s="198">
        <v>264569.75058199995</v>
      </c>
      <c r="EQ222" s="198"/>
      <c r="ER222" s="198">
        <v>241053.753666</v>
      </c>
      <c r="ES222" s="197">
        <v>24842.5172007</v>
      </c>
      <c r="ET222" s="198">
        <v>2462.1447664500001</v>
      </c>
      <c r="EU222" s="198">
        <v>6929.07749358</v>
      </c>
      <c r="EV222" s="198">
        <v>3183.9074769200001</v>
      </c>
      <c r="EW222" s="198">
        <v>6933.90941079</v>
      </c>
      <c r="EX222" s="198"/>
      <c r="EY222" s="198">
        <f t="shared" si="6"/>
        <v>5333.4780529599993</v>
      </c>
      <c r="EZ222" s="197">
        <v>14849</v>
      </c>
      <c r="FA222" s="198">
        <v>640</v>
      </c>
      <c r="FB222" s="198">
        <v>3746</v>
      </c>
      <c r="FC222" s="198">
        <v>4307</v>
      </c>
      <c r="FD222" s="198">
        <v>3218</v>
      </c>
      <c r="FE222" s="198">
        <v>19</v>
      </c>
      <c r="FF222" s="198">
        <f t="shared" si="17"/>
        <v>2938</v>
      </c>
      <c r="FG222" s="197">
        <v>9070872.9401909988</v>
      </c>
      <c r="FH222" s="198">
        <v>1175414.6532049999</v>
      </c>
      <c r="FI222" s="198">
        <v>2084480.4125559998</v>
      </c>
      <c r="FJ222" s="198"/>
      <c r="FK222" s="198">
        <v>780318.70052199997</v>
      </c>
      <c r="FL222" s="198"/>
      <c r="FM222" s="198">
        <f t="shared" si="18"/>
        <v>5030659.1739079989</v>
      </c>
      <c r="FN222" s="197">
        <v>42113.769</v>
      </c>
      <c r="FO222" s="198">
        <v>9411.4959999999992</v>
      </c>
      <c r="FP222" s="198">
        <v>5637.2719999999999</v>
      </c>
      <c r="FQ222" s="198">
        <v>6353.52</v>
      </c>
      <c r="FR222" s="198">
        <v>6328.1409999999996</v>
      </c>
      <c r="FS222" s="198"/>
      <c r="FT222" s="199">
        <f t="shared" si="7"/>
        <v>14383.34</v>
      </c>
      <c r="FU222" s="197"/>
      <c r="FV222" s="198"/>
      <c r="FW222" s="198"/>
      <c r="FX222" s="198"/>
      <c r="FY222" s="198"/>
      <c r="FZ222" s="198"/>
      <c r="GA222" s="199"/>
      <c r="GB222" s="197">
        <v>1550.0429999999999</v>
      </c>
      <c r="GC222" s="198"/>
      <c r="GD222" s="198"/>
      <c r="GE222" s="198"/>
      <c r="GF222" s="198"/>
      <c r="GG222" s="198"/>
      <c r="GH222" s="199"/>
      <c r="GI222" s="197">
        <v>885.16</v>
      </c>
      <c r="GJ222" s="198"/>
      <c r="GK222" s="198"/>
      <c r="GL222" s="198"/>
      <c r="GM222" s="198"/>
      <c r="GN222" s="198"/>
      <c r="GO222" s="199"/>
      <c r="GP222" s="197">
        <v>2189.7449999999999</v>
      </c>
      <c r="GQ222" s="198"/>
      <c r="GR222" s="198"/>
      <c r="GS222" s="198"/>
      <c r="GT222" s="198"/>
      <c r="GU222" s="198"/>
      <c r="GV222" s="199"/>
      <c r="GW222" s="197">
        <f>[2]sur!P6</f>
        <v>1186.4000000000001</v>
      </c>
      <c r="GX222" s="198">
        <f>[2]sur!Q6</f>
        <v>93.1</v>
      </c>
      <c r="GY222" s="198">
        <f>[2]sur!R6</f>
        <v>319</v>
      </c>
      <c r="GZ222" s="198">
        <f>[2]sur!S6</f>
        <v>142.69999999999999</v>
      </c>
      <c r="HA222" s="198"/>
      <c r="HB222" s="198"/>
      <c r="HC222" s="199">
        <f>[2]sur!V6</f>
        <v>631.6</v>
      </c>
      <c r="HD222" s="197"/>
      <c r="HE222" s="198"/>
      <c r="HF222" s="198"/>
      <c r="HG222" s="198"/>
      <c r="HH222" s="198"/>
      <c r="HI222" s="198"/>
      <c r="HJ222" s="199"/>
      <c r="HK222" s="197">
        <v>4190</v>
      </c>
      <c r="HL222" s="198">
        <v>942.49160906631744</v>
      </c>
      <c r="HM222" s="198">
        <v>307.1785185362985</v>
      </c>
      <c r="HN222" s="198">
        <v>50.308111249368068</v>
      </c>
      <c r="HO222" s="198">
        <v>1345.9026746356335</v>
      </c>
      <c r="HP222" s="198"/>
      <c r="HQ222" s="198">
        <f t="shared" si="16"/>
        <v>1544.1190865123822</v>
      </c>
      <c r="HR222" s="197">
        <v>38003.478000000003</v>
      </c>
      <c r="HT222" s="198">
        <v>24051.168000000001</v>
      </c>
      <c r="HU222" s="198">
        <v>1889.6669999999999</v>
      </c>
      <c r="HV222" s="198">
        <v>6020.16</v>
      </c>
      <c r="HW222" s="198">
        <v>1453.8440000000001</v>
      </c>
      <c r="HX222" s="198">
        <v>4588.6390000000001</v>
      </c>
    </row>
    <row r="223" spans="1:233">
      <c r="A223" s="185" t="s">
        <v>490</v>
      </c>
      <c r="B223" s="197">
        <v>2134.788</v>
      </c>
      <c r="C223" s="198"/>
      <c r="D223" s="198"/>
      <c r="E223" s="198"/>
      <c r="F223" s="198"/>
      <c r="G223" s="198"/>
      <c r="H223" s="199"/>
      <c r="I223" s="197">
        <v>81521.8</v>
      </c>
      <c r="J223" s="198"/>
      <c r="K223" s="198"/>
      <c r="L223" s="198">
        <v>9015.4</v>
      </c>
      <c r="M223" s="198">
        <v>7681.1</v>
      </c>
      <c r="N223" s="198"/>
      <c r="O223" s="199">
        <f>[3]arg!$G89</f>
        <v>41882.800000000003</v>
      </c>
      <c r="P223" s="198">
        <v>5357.9250000000002</v>
      </c>
      <c r="Q223" s="198">
        <v>46.040999999999997</v>
      </c>
      <c r="R223" s="198">
        <v>480.98700000000002</v>
      </c>
      <c r="S223" s="198">
        <v>342.65600000000001</v>
      </c>
      <c r="T223" s="198">
        <v>3550.1590000000001</v>
      </c>
      <c r="U223" s="198"/>
      <c r="V223" s="199">
        <f t="shared" si="19"/>
        <v>938.08199999999988</v>
      </c>
      <c r="W223" s="198">
        <v>4174.1270000000004</v>
      </c>
      <c r="X223" s="198">
        <v>104.146</v>
      </c>
      <c r="Y223" s="198">
        <v>941.43299999999999</v>
      </c>
      <c r="Z223" s="198">
        <v>337.20800000000003</v>
      </c>
      <c r="AA223" s="198">
        <v>1852.423</v>
      </c>
      <c r="AB223" s="198"/>
      <c r="AC223" s="199">
        <f t="shared" si="14"/>
        <v>938.91700000000014</v>
      </c>
      <c r="AD223" s="198"/>
      <c r="AE223" s="198">
        <v>16.652999999999999</v>
      </c>
      <c r="AF223" s="198">
        <v>239.71800000000002</v>
      </c>
      <c r="AG223" s="198">
        <v>443.82400000000001</v>
      </c>
      <c r="AH223" s="198">
        <v>260.48899999999998</v>
      </c>
      <c r="AI223" s="198"/>
      <c r="AJ223" s="198"/>
      <c r="AK223" s="197"/>
      <c r="AL223" s="198"/>
      <c r="AM223" s="198"/>
      <c r="AN223" s="198"/>
      <c r="AO223" s="198"/>
      <c r="AP223" s="198"/>
      <c r="AQ223" s="199"/>
      <c r="AR223" s="198">
        <v>615672.55027502007</v>
      </c>
      <c r="AS223" s="198">
        <v>136791.10624927</v>
      </c>
      <c r="AT223" s="198">
        <v>65729.844870829984</v>
      </c>
      <c r="AU223" s="198">
        <v>29956.26180045</v>
      </c>
      <c r="AV223" s="198">
        <v>196192.88255525002</v>
      </c>
      <c r="AW223" s="198"/>
      <c r="AX223" s="198">
        <v>187002.45479922008</v>
      </c>
      <c r="AY223" s="197">
        <v>45625836.405299999</v>
      </c>
      <c r="AZ223" s="198"/>
      <c r="BA223" s="198">
        <v>30566186.546100002</v>
      </c>
      <c r="BB223" s="198">
        <v>9409748.7959000003</v>
      </c>
      <c r="BC223" s="198">
        <v>5649901.0625999998</v>
      </c>
      <c r="BD223" s="198"/>
      <c r="BE223" s="198"/>
      <c r="BF223" s="197">
        <v>76733476.390000001</v>
      </c>
      <c r="BG223" s="198"/>
      <c r="BH223" s="198">
        <v>49524273.330000006</v>
      </c>
      <c r="BI223" s="198">
        <v>6879851.7800000012</v>
      </c>
      <c r="BJ223" s="198">
        <v>19020562.639999997</v>
      </c>
      <c r="BK223" s="198">
        <v>1308788.6399999999</v>
      </c>
      <c r="BL223" s="198"/>
      <c r="BM223" s="197">
        <v>3747544.95</v>
      </c>
      <c r="BN223" s="198">
        <v>252819.402</v>
      </c>
      <c r="BO223" s="198">
        <v>512507.21899999998</v>
      </c>
      <c r="BP223" s="198">
        <v>986590.75099999993</v>
      </c>
      <c r="BQ223" s="198">
        <v>882776.74199999997</v>
      </c>
      <c r="BR223" s="198"/>
      <c r="BS223" s="198">
        <f t="shared" si="2"/>
        <v>1112850.8360000001</v>
      </c>
      <c r="BT223" s="197"/>
      <c r="BU223" s="198"/>
      <c r="BV223" s="198"/>
      <c r="BW223" s="198"/>
      <c r="BX223" s="198"/>
      <c r="BY223" s="198"/>
      <c r="BZ223" s="198"/>
      <c r="CA223" s="197">
        <v>550.98500000000001</v>
      </c>
      <c r="CB223" s="198"/>
      <c r="CC223" s="198"/>
      <c r="CD223" s="198"/>
      <c r="CE223" s="198"/>
      <c r="CF223" s="198"/>
      <c r="CG223" s="198"/>
      <c r="CH223" s="197"/>
      <c r="CI223" s="198"/>
      <c r="CJ223" s="198">
        <v>3792203.7484500008</v>
      </c>
      <c r="CK223" s="198"/>
      <c r="CL223" s="198">
        <v>2250228.43958</v>
      </c>
      <c r="CM223" s="198">
        <v>670263.50469999993</v>
      </c>
      <c r="CN223" s="198"/>
      <c r="CO223" s="197">
        <v>7353.5299299999997</v>
      </c>
      <c r="CP223" s="198">
        <v>735.59656000000007</v>
      </c>
      <c r="CQ223" s="198">
        <v>1264.4626499999999</v>
      </c>
      <c r="CR223" s="198">
        <v>1719.97902</v>
      </c>
      <c r="CS223" s="198">
        <v>1497.9114</v>
      </c>
      <c r="CT223" s="198"/>
      <c r="CU223" s="198">
        <v>2135.5802999999996</v>
      </c>
      <c r="CV223" s="197">
        <v>1268.134</v>
      </c>
      <c r="CW223" s="198"/>
      <c r="CX223" s="198"/>
      <c r="CY223" s="198"/>
      <c r="CZ223" s="198"/>
      <c r="DA223" s="198"/>
      <c r="DB223" s="198"/>
      <c r="DC223" s="197">
        <v>45958.418906999999</v>
      </c>
      <c r="DD223" s="198"/>
      <c r="DE223" s="198"/>
      <c r="DF223" s="198"/>
      <c r="DG223" s="198"/>
      <c r="DH223" s="198"/>
      <c r="DI223" s="198"/>
      <c r="DJ223" s="197">
        <f>2580.8+37431</f>
        <v>40011.800000000003</v>
      </c>
      <c r="DK223" s="198">
        <f>2047.5+8423.5</f>
        <v>10471</v>
      </c>
      <c r="DL223" s="198">
        <f>1341.9+8836.1</f>
        <v>10178</v>
      </c>
      <c r="DM223" s="198">
        <v>2825.7</v>
      </c>
      <c r="DN223" s="198">
        <f>10358.7-DM223</f>
        <v>7533.0000000000009</v>
      </c>
      <c r="DO223" s="198"/>
      <c r="DP223" s="198">
        <f>DJ223-SUM(DK223:DN223)</f>
        <v>9004.1000000000022</v>
      </c>
      <c r="DQ223" s="197"/>
      <c r="DR223" s="198"/>
      <c r="DS223" s="198"/>
      <c r="DT223" s="198"/>
      <c r="DU223" s="198"/>
      <c r="DV223" s="198"/>
      <c r="DW223" s="198"/>
      <c r="DX223" s="197">
        <v>73544.025260000009</v>
      </c>
      <c r="DY223" s="198"/>
      <c r="DZ223" s="198">
        <v>53643.99828</v>
      </c>
      <c r="EA223" s="198">
        <v>9930.7044000000005</v>
      </c>
      <c r="EB223" s="198">
        <v>8592.7727699999996</v>
      </c>
      <c r="EC223" s="198"/>
      <c r="ED223" s="198">
        <v>1376.54981</v>
      </c>
      <c r="EE223" s="197"/>
      <c r="EF223" s="198"/>
      <c r="EG223" s="198"/>
      <c r="EH223" s="198"/>
      <c r="EI223" s="198"/>
      <c r="EJ223" s="198"/>
      <c r="EK223" s="198"/>
      <c r="EL223" s="197">
        <v>1177731.9704149996</v>
      </c>
      <c r="EM223" s="198">
        <v>421050.99617299996</v>
      </c>
      <c r="EN223" s="198">
        <v>59451.121826000002</v>
      </c>
      <c r="EO223" s="198">
        <v>182442.04874500001</v>
      </c>
      <c r="EP223" s="198">
        <v>274965.558624</v>
      </c>
      <c r="EQ223" s="198"/>
      <c r="ER223" s="198">
        <v>239712.438539</v>
      </c>
      <c r="ES223" s="197">
        <v>25359.518267349998</v>
      </c>
      <c r="ET223" s="198">
        <v>2512.6157651899998</v>
      </c>
      <c r="EU223" s="198">
        <v>7198.1359116499998</v>
      </c>
      <c r="EV223" s="198">
        <v>3280.3301214899998</v>
      </c>
      <c r="EW223" s="198">
        <v>7080.1080162500002</v>
      </c>
      <c r="EX223" s="198"/>
      <c r="EY223" s="198">
        <f t="shared" si="6"/>
        <v>5288.3284527699998</v>
      </c>
      <c r="EZ223" s="197">
        <v>14951</v>
      </c>
      <c r="FA223" s="198">
        <v>640</v>
      </c>
      <c r="FB223" s="198">
        <v>3746</v>
      </c>
      <c r="FC223" s="198">
        <v>4334</v>
      </c>
      <c r="FD223" s="198">
        <v>3264</v>
      </c>
      <c r="FE223" s="198">
        <v>19</v>
      </c>
      <c r="FF223" s="198">
        <f t="shared" si="17"/>
        <v>2967</v>
      </c>
      <c r="FG223" s="197">
        <v>9073606.5368290003</v>
      </c>
      <c r="FH223" s="198">
        <v>1183680.6198100001</v>
      </c>
      <c r="FI223" s="198">
        <v>2067011.4689130001</v>
      </c>
      <c r="FJ223" s="198"/>
      <c r="FK223" s="198">
        <v>761419.00216499995</v>
      </c>
      <c r="FL223" s="198"/>
      <c r="FM223" s="198">
        <f t="shared" si="18"/>
        <v>5061495.4459410002</v>
      </c>
      <c r="FN223" s="197">
        <v>42633.243000000002</v>
      </c>
      <c r="FO223" s="198">
        <v>9528.2559999999994</v>
      </c>
      <c r="FP223" s="198">
        <v>5815.951</v>
      </c>
      <c r="FQ223" s="198">
        <v>6408.0569999999998</v>
      </c>
      <c r="FR223" s="198">
        <v>6447.866</v>
      </c>
      <c r="FS223" s="198"/>
      <c r="FT223" s="199">
        <f t="shared" si="7"/>
        <v>14433.113000000005</v>
      </c>
      <c r="FU223" s="197"/>
      <c r="FV223" s="198"/>
      <c r="FW223" s="198"/>
      <c r="FX223" s="198"/>
      <c r="FY223" s="198"/>
      <c r="FZ223" s="198"/>
      <c r="GA223" s="199"/>
      <c r="GB223" s="197">
        <v>1580.921</v>
      </c>
      <c r="GC223" s="198"/>
      <c r="GD223" s="198"/>
      <c r="GE223" s="198"/>
      <c r="GF223" s="198"/>
      <c r="GG223" s="198"/>
      <c r="GH223" s="199"/>
      <c r="GI223" s="197">
        <v>890.67600000000004</v>
      </c>
      <c r="GJ223" s="198"/>
      <c r="GK223" s="198"/>
      <c r="GL223" s="198"/>
      <c r="GM223" s="198"/>
      <c r="GN223" s="198"/>
      <c r="GO223" s="199"/>
      <c r="GP223" s="197">
        <v>2197.9319999999998</v>
      </c>
      <c r="GQ223" s="198"/>
      <c r="GR223" s="198"/>
      <c r="GS223" s="198"/>
      <c r="GT223" s="198"/>
      <c r="GU223" s="198"/>
      <c r="GV223" s="199"/>
      <c r="GW223" s="197">
        <f>[2]sur!P7</f>
        <v>1203.9000000000001</v>
      </c>
      <c r="GX223" s="198">
        <f>[2]sur!Q7</f>
        <v>95.1</v>
      </c>
      <c r="GY223" s="198">
        <f>[2]sur!R7</f>
        <v>317.8</v>
      </c>
      <c r="GZ223" s="198">
        <f>[2]sur!S7</f>
        <v>146</v>
      </c>
      <c r="HA223" s="198"/>
      <c r="HB223" s="198"/>
      <c r="HC223" s="199">
        <f>[2]sur!V7</f>
        <v>645</v>
      </c>
      <c r="HD223" s="197"/>
      <c r="HE223" s="198"/>
      <c r="HF223" s="198"/>
      <c r="HG223" s="198"/>
      <c r="HH223" s="198"/>
      <c r="HI223" s="198"/>
      <c r="HJ223" s="199"/>
      <c r="HK223" s="197">
        <v>4069</v>
      </c>
      <c r="HL223" s="198">
        <v>925.91570510309089</v>
      </c>
      <c r="HM223" s="198">
        <v>285.13953954299063</v>
      </c>
      <c r="HN223" s="198">
        <v>49.916281162281301</v>
      </c>
      <c r="HO223" s="198">
        <v>1273.6637914834014</v>
      </c>
      <c r="HP223" s="198"/>
      <c r="HQ223" s="198">
        <f t="shared" si="16"/>
        <v>1534.3646827082357</v>
      </c>
      <c r="HR223" s="197">
        <v>38432.887999999999</v>
      </c>
      <c r="HT223" s="198">
        <v>24006.07</v>
      </c>
      <c r="HU223" s="198">
        <v>2039.528</v>
      </c>
      <c r="HV223" s="198">
        <v>6298.2939999999999</v>
      </c>
      <c r="HW223" s="198">
        <v>1483.556</v>
      </c>
      <c r="HX223" s="198">
        <v>4605.4399999999996</v>
      </c>
    </row>
    <row r="224" spans="1:233">
      <c r="A224" s="185" t="s">
        <v>491</v>
      </c>
      <c r="B224" s="197">
        <v>2165.1709999999998</v>
      </c>
      <c r="C224" s="198">
        <v>57.487000000000002</v>
      </c>
      <c r="D224" s="198">
        <v>357.51400000000001</v>
      </c>
      <c r="E224" s="198">
        <v>594.11300000000006</v>
      </c>
      <c r="F224" s="198">
        <v>430.47800000000001</v>
      </c>
      <c r="G224" s="198"/>
      <c r="H224" s="199">
        <v>725.57899999999995</v>
      </c>
      <c r="I224" s="197">
        <v>80914.100000000006</v>
      </c>
      <c r="J224" s="198"/>
      <c r="K224" s="198"/>
      <c r="L224" s="198">
        <v>9008.7000000000007</v>
      </c>
      <c r="M224" s="198">
        <v>8108.2</v>
      </c>
      <c r="N224" s="198"/>
      <c r="O224" s="199">
        <f>[3]arg!$G90</f>
        <v>42145.200000000004</v>
      </c>
      <c r="P224" s="198">
        <v>5494.48</v>
      </c>
      <c r="Q224" s="198">
        <v>45.567999999999998</v>
      </c>
      <c r="R224" s="198">
        <v>483.14700000000005</v>
      </c>
      <c r="S224" s="198">
        <v>371.22500000000002</v>
      </c>
      <c r="T224" s="198">
        <v>3630.9749999999999</v>
      </c>
      <c r="U224" s="198"/>
      <c r="V224" s="199">
        <f t="shared" si="19"/>
        <v>963.56499999999915</v>
      </c>
      <c r="W224" s="198">
        <v>4240.473</v>
      </c>
      <c r="X224" s="198">
        <v>115.217</v>
      </c>
      <c r="Y224" s="198">
        <v>917.46100000000001</v>
      </c>
      <c r="Z224" s="198">
        <v>357.28800000000001</v>
      </c>
      <c r="AA224" s="198">
        <v>1877.0820000000001</v>
      </c>
      <c r="AB224" s="198"/>
      <c r="AC224" s="199">
        <f t="shared" si="14"/>
        <v>973.42499999999995</v>
      </c>
      <c r="AD224" s="198"/>
      <c r="AE224" s="198">
        <v>17.516999999999999</v>
      </c>
      <c r="AF224" s="198">
        <v>254.59900000000002</v>
      </c>
      <c r="AG224" s="198">
        <v>435.428</v>
      </c>
      <c r="AH224" s="198">
        <v>264.02999999999997</v>
      </c>
      <c r="AI224" s="198"/>
      <c r="AJ224" s="198"/>
      <c r="AK224" s="197">
        <v>26944</v>
      </c>
      <c r="AL224" s="198"/>
      <c r="AM224" s="198">
        <v>14228</v>
      </c>
      <c r="AN224" s="198">
        <v>6100.8</v>
      </c>
      <c r="AO224" s="198">
        <v>2122.4</v>
      </c>
      <c r="AP224" s="198">
        <v>4496</v>
      </c>
      <c r="AQ224" s="199"/>
      <c r="AR224" s="198">
        <v>625790.0451971601</v>
      </c>
      <c r="AS224" s="198">
        <v>138783.57164665</v>
      </c>
      <c r="AT224" s="198">
        <v>66661.223780140004</v>
      </c>
      <c r="AU224" s="198">
        <v>30709.588532319998</v>
      </c>
      <c r="AV224" s="198">
        <v>200241.25536837001</v>
      </c>
      <c r="AW224" s="198"/>
      <c r="AX224" s="198">
        <v>189394.40586968014</v>
      </c>
      <c r="AY224" s="197">
        <v>46609663.264700003</v>
      </c>
      <c r="AZ224" s="198"/>
      <c r="BA224" s="198">
        <v>31238182.692400001</v>
      </c>
      <c r="BB224" s="198">
        <v>9540068.3366999999</v>
      </c>
      <c r="BC224" s="198">
        <v>5831412.2348999996</v>
      </c>
      <c r="BD224" s="198"/>
      <c r="BE224" s="198"/>
      <c r="BF224" s="197">
        <v>77285374.720000029</v>
      </c>
      <c r="BG224" s="198"/>
      <c r="BH224" s="198">
        <v>49304394.990000017</v>
      </c>
      <c r="BI224" s="198">
        <v>6946476.419999999</v>
      </c>
      <c r="BJ224" s="198">
        <v>19681725.370000001</v>
      </c>
      <c r="BK224" s="198">
        <v>1352777.94</v>
      </c>
      <c r="BL224" s="198"/>
      <c r="BM224" s="197">
        <v>3850550.3530000001</v>
      </c>
      <c r="BN224" s="198">
        <v>262967.58399999997</v>
      </c>
      <c r="BO224" s="198">
        <v>536086.18000000005</v>
      </c>
      <c r="BP224" s="198">
        <v>1009646.5519999999</v>
      </c>
      <c r="BQ224" s="198">
        <v>898308.19700000004</v>
      </c>
      <c r="BR224" s="198"/>
      <c r="BS224" s="198">
        <f t="shared" si="2"/>
        <v>1143541.8400000003</v>
      </c>
      <c r="BT224" s="197"/>
      <c r="BU224" s="198"/>
      <c r="BV224" s="198"/>
      <c r="BW224" s="198"/>
      <c r="BX224" s="198"/>
      <c r="BY224" s="198"/>
      <c r="BZ224" s="198"/>
      <c r="CA224" s="197">
        <v>570.92700000000002</v>
      </c>
      <c r="CB224" s="198">
        <v>31.751000000000001</v>
      </c>
      <c r="CC224" s="198">
        <v>107.919</v>
      </c>
      <c r="CD224" s="198">
        <v>188.42699999999999</v>
      </c>
      <c r="CE224" s="198">
        <v>113.72199999999999</v>
      </c>
      <c r="CF224" s="198"/>
      <c r="CG224" s="198">
        <f>CA224-CB224-CC224-CD224-CE224</f>
        <v>129.10800000000006</v>
      </c>
      <c r="CH224" s="197"/>
      <c r="CI224" s="198"/>
      <c r="CJ224" s="198">
        <v>3821958.6516800006</v>
      </c>
      <c r="CK224" s="198"/>
      <c r="CL224" s="198">
        <v>2304588.3646399998</v>
      </c>
      <c r="CM224" s="198">
        <v>680602.00100000005</v>
      </c>
      <c r="CN224" s="198"/>
      <c r="CO224" s="197">
        <v>7402.8066700000008</v>
      </c>
      <c r="CP224" s="198">
        <v>723.47308999999996</v>
      </c>
      <c r="CQ224" s="198">
        <v>1272.2769800000001</v>
      </c>
      <c r="CR224" s="198">
        <v>1735.4257399999999</v>
      </c>
      <c r="CS224" s="198">
        <v>1524.7834599999999</v>
      </c>
      <c r="CT224" s="198"/>
      <c r="CU224" s="198">
        <v>2146.8474000000015</v>
      </c>
      <c r="CV224" s="197">
        <v>1283.904</v>
      </c>
      <c r="CW224" s="198">
        <v>31.914999999999999</v>
      </c>
      <c r="CX224" s="198">
        <v>206.346</v>
      </c>
      <c r="CY224" s="198">
        <v>467.334</v>
      </c>
      <c r="CZ224" s="198">
        <v>296.66800000000001</v>
      </c>
      <c r="DA224" s="198"/>
      <c r="DB224" s="198">
        <f>CV224-CW224-CX224-CY224-CZ224</f>
        <v>281.64099999999996</v>
      </c>
      <c r="DC224" s="197">
        <v>46926.911888000002</v>
      </c>
      <c r="DD224" s="198"/>
      <c r="DE224" s="198"/>
      <c r="DF224" s="198"/>
      <c r="DG224" s="198"/>
      <c r="DH224" s="198"/>
      <c r="DI224" s="198"/>
      <c r="DJ224" s="197">
        <f>2862+38154.2</f>
        <v>41016.199999999997</v>
      </c>
      <c r="DK224" s="198">
        <f>2202.9+8618</f>
        <v>10820.9</v>
      </c>
      <c r="DL224" s="198">
        <f>1523.1+8946</f>
        <v>10469.1</v>
      </c>
      <c r="DM224" s="198">
        <v>2849.4</v>
      </c>
      <c r="DN224" s="198">
        <f>10197.9-DM224</f>
        <v>7348.5</v>
      </c>
      <c r="DO224" s="198"/>
      <c r="DP224" s="198">
        <f>DJ224-SUM(DK224:DN224)</f>
        <v>9528.2999999999956</v>
      </c>
      <c r="DQ224" s="197"/>
      <c r="DR224" s="198"/>
      <c r="DS224" s="198"/>
      <c r="DT224" s="198"/>
      <c r="DU224" s="198"/>
      <c r="DV224" s="198"/>
      <c r="DW224" s="198"/>
      <c r="DX224" s="197">
        <v>75764.614400000006</v>
      </c>
      <c r="DY224" s="198"/>
      <c r="DZ224" s="198">
        <v>55227.887419999999</v>
      </c>
      <c r="EA224" s="198">
        <v>10158.488029999999</v>
      </c>
      <c r="EB224" s="198">
        <v>8973.6803</v>
      </c>
      <c r="EC224" s="198"/>
      <c r="ED224" s="198">
        <v>1404.5586499999999</v>
      </c>
      <c r="EE224" s="197">
        <v>131963.576</v>
      </c>
      <c r="EF224" s="198">
        <v>4878.2169999999996</v>
      </c>
      <c r="EG224" s="198">
        <v>30931.635999999999</v>
      </c>
      <c r="EH224" s="198">
        <v>5838.0169999999998</v>
      </c>
      <c r="EI224" s="198">
        <v>43628.98</v>
      </c>
      <c r="EJ224" s="198"/>
      <c r="EK224" s="199">
        <f>EE224-EF224-EG224-EH224-EI224</f>
        <v>46686.726000000002</v>
      </c>
      <c r="EL224" s="197">
        <v>1210113.8310500002</v>
      </c>
      <c r="EM224" s="198">
        <v>428860.28995299997</v>
      </c>
      <c r="EN224" s="198">
        <v>66145.364658999999</v>
      </c>
      <c r="EO224" s="198">
        <v>192360.58474699999</v>
      </c>
      <c r="EP224" s="198">
        <v>281963.79281699995</v>
      </c>
      <c r="EQ224" s="198"/>
      <c r="ER224" s="199">
        <v>240726.79910800001</v>
      </c>
      <c r="ES224" s="197">
        <v>26029.325140429992</v>
      </c>
      <c r="ET224" s="198">
        <v>2868.9329902899999</v>
      </c>
      <c r="EU224" s="198">
        <v>7248.3879190899997</v>
      </c>
      <c r="EV224" s="198">
        <v>3402.0980745799998</v>
      </c>
      <c r="EW224" s="198">
        <v>7241.43900648</v>
      </c>
      <c r="EX224" s="198"/>
      <c r="EY224" s="199">
        <f t="shared" si="6"/>
        <v>5268.4671499899914</v>
      </c>
      <c r="EZ224" s="198">
        <v>15053</v>
      </c>
      <c r="FA224" s="198">
        <v>637</v>
      </c>
      <c r="FB224" s="198">
        <v>3731</v>
      </c>
      <c r="FC224" s="198">
        <v>4368</v>
      </c>
      <c r="FD224" s="198">
        <v>3303</v>
      </c>
      <c r="FE224" s="198">
        <v>19</v>
      </c>
      <c r="FF224" s="198">
        <f t="shared" si="17"/>
        <v>3014</v>
      </c>
      <c r="FG224" s="197">
        <v>9040467.2091979999</v>
      </c>
      <c r="FH224" s="198">
        <v>1196616.8198599999</v>
      </c>
      <c r="FI224" s="198">
        <v>2058098.8833939999</v>
      </c>
      <c r="FJ224" s="198"/>
      <c r="FK224" s="198">
        <v>791327.15784800006</v>
      </c>
      <c r="FL224" s="198"/>
      <c r="FM224" s="198">
        <f t="shared" si="18"/>
        <v>4994424.348096</v>
      </c>
      <c r="FN224" s="197">
        <v>44644.144</v>
      </c>
      <c r="FO224" s="198">
        <v>10706.847</v>
      </c>
      <c r="FP224" s="198">
        <v>6136.3630000000003</v>
      </c>
      <c r="FQ224" s="198">
        <v>6602.79</v>
      </c>
      <c r="FR224" s="198">
        <v>6624.42</v>
      </c>
      <c r="FS224" s="198"/>
      <c r="FT224" s="199">
        <f t="shared" si="7"/>
        <v>14573.724000000002</v>
      </c>
      <c r="FU224" s="197"/>
      <c r="FV224" s="198"/>
      <c r="FW224" s="198"/>
      <c r="FX224" s="198"/>
      <c r="FY224" s="198"/>
      <c r="FZ224" s="198"/>
      <c r="GA224" s="199"/>
      <c r="GB224" s="197">
        <v>1627.98</v>
      </c>
      <c r="GC224" s="198">
        <v>21.962</v>
      </c>
      <c r="GD224" s="198">
        <v>204.63</v>
      </c>
      <c r="GE224" s="198">
        <v>310.04399999999998</v>
      </c>
      <c r="GF224" s="198">
        <v>258.358</v>
      </c>
      <c r="GG224" s="198"/>
      <c r="GH224" s="199">
        <f>GB224-GC224-GD224-GE224-GF224</f>
        <v>832.9860000000001</v>
      </c>
      <c r="GI224" s="197">
        <v>896.86300000000006</v>
      </c>
      <c r="GJ224" s="198">
        <v>16.777000000000001</v>
      </c>
      <c r="GK224" s="198">
        <v>131.74100000000001</v>
      </c>
      <c r="GL224" s="198">
        <v>337.28699999999998</v>
      </c>
      <c r="GM224" s="198">
        <v>151.85900000000001</v>
      </c>
      <c r="GN224" s="198"/>
      <c r="GO224" s="199">
        <f>GI224-GJ224-GK224-GL224-GM224</f>
        <v>259.19900000000007</v>
      </c>
      <c r="GP224" s="197">
        <v>2216.4299999999998</v>
      </c>
      <c r="GQ224" s="198">
        <v>63.106999999999999</v>
      </c>
      <c r="GR224" s="198">
        <v>527.88599999999997</v>
      </c>
      <c r="GS224" s="198">
        <v>465.32400000000001</v>
      </c>
      <c r="GT224" s="198">
        <v>488.851</v>
      </c>
      <c r="GU224" s="198"/>
      <c r="GV224" s="199">
        <f>GP224-GQ224-GR224-GS224-GT224</f>
        <v>671.26199999999983</v>
      </c>
      <c r="GW224" s="197">
        <f>[2]sur!P8</f>
        <v>1227.9000000000001</v>
      </c>
      <c r="GX224" s="198">
        <f>[2]sur!Q8</f>
        <v>99.1</v>
      </c>
      <c r="GY224" s="198">
        <f>[2]sur!R8</f>
        <v>325.70000000000005</v>
      </c>
      <c r="GZ224" s="198">
        <f>[2]sur!S8</f>
        <v>150.5</v>
      </c>
      <c r="HA224" s="198"/>
      <c r="HB224" s="198"/>
      <c r="HC224" s="199">
        <f>[2]sur!V8</f>
        <v>652.59999999999991</v>
      </c>
      <c r="HD224" s="197">
        <f>'[2]t&amp;t'!W356</f>
        <v>28911.9</v>
      </c>
      <c r="HE224" s="198">
        <f>'[2]t&amp;t'!X356</f>
        <v>2124.6</v>
      </c>
      <c r="HF224" s="198">
        <f>'[2]t&amp;t'!Y356</f>
        <v>2412.6</v>
      </c>
      <c r="HG224" s="198">
        <f>'[2]t&amp;t'!Z356</f>
        <v>4662.7</v>
      </c>
      <c r="HH224" s="198">
        <f>'[2]t&amp;t'!AA356</f>
        <v>8724.7000000000007</v>
      </c>
      <c r="HI224" s="198"/>
      <c r="HJ224" s="199">
        <f>'[2]t&amp;t'!AC356</f>
        <v>10987.3</v>
      </c>
      <c r="HK224" s="197">
        <v>4074</v>
      </c>
      <c r="HL224" s="198">
        <v>927.07970572874035</v>
      </c>
      <c r="HM224" s="198">
        <v>298.37950487565973</v>
      </c>
      <c r="HN224" s="198">
        <v>50.645153901884356</v>
      </c>
      <c r="HO224" s="198">
        <v>1303.2290775036054</v>
      </c>
      <c r="HP224" s="198"/>
      <c r="HQ224" s="198">
        <f t="shared" si="16"/>
        <v>1494.6665579901101</v>
      </c>
      <c r="HR224" s="197">
        <v>39666.629000000001</v>
      </c>
      <c r="HT224" s="198">
        <v>24457.652999999998</v>
      </c>
      <c r="HU224" s="198">
        <v>2241.942</v>
      </c>
      <c r="HV224" s="198">
        <v>6703.3770000000004</v>
      </c>
      <c r="HW224" s="198">
        <v>1547.6690000000001</v>
      </c>
      <c r="HX224" s="198">
        <v>4715.9880000000003</v>
      </c>
    </row>
    <row r="225" spans="1:233">
      <c r="A225" s="185" t="s">
        <v>492</v>
      </c>
      <c r="B225" s="197">
        <v>2181.0749999999998</v>
      </c>
      <c r="C225" s="198"/>
      <c r="D225" s="198"/>
      <c r="E225" s="198"/>
      <c r="F225" s="198"/>
      <c r="G225" s="198"/>
      <c r="H225" s="199"/>
      <c r="I225" s="197">
        <v>82180.800000000003</v>
      </c>
      <c r="J225" s="198"/>
      <c r="K225" s="198"/>
      <c r="L225" s="198">
        <v>9106.4</v>
      </c>
      <c r="M225" s="198">
        <v>8451.1</v>
      </c>
      <c r="N225" s="198"/>
      <c r="O225" s="199">
        <f>[3]arg!$G91</f>
        <v>43326.1</v>
      </c>
      <c r="P225" s="198">
        <v>5541.5259999999998</v>
      </c>
      <c r="Q225" s="198">
        <v>45.140999999999998</v>
      </c>
      <c r="R225" s="198">
        <v>475.43200000000002</v>
      </c>
      <c r="S225" s="198">
        <v>374.08499999999998</v>
      </c>
      <c r="T225" s="198">
        <v>3642.652</v>
      </c>
      <c r="U225" s="198"/>
      <c r="V225" s="199">
        <f t="shared" si="19"/>
        <v>1004.2160000000003</v>
      </c>
      <c r="W225" s="198">
        <v>4296.777</v>
      </c>
      <c r="X225" s="198">
        <v>106.143</v>
      </c>
      <c r="Y225" s="198">
        <v>917.35399999999993</v>
      </c>
      <c r="Z225" s="198">
        <v>372.75</v>
      </c>
      <c r="AA225" s="198">
        <v>1901.828</v>
      </c>
      <c r="AB225" s="198"/>
      <c r="AC225" s="199">
        <f t="shared" si="14"/>
        <v>998.70200000000023</v>
      </c>
      <c r="AD225" s="198"/>
      <c r="AE225" s="198">
        <v>17.579000000000001</v>
      </c>
      <c r="AF225" s="198">
        <v>250.51300000000001</v>
      </c>
      <c r="AG225" s="198">
        <v>446.18000000000006</v>
      </c>
      <c r="AH225" s="198">
        <v>263.053</v>
      </c>
      <c r="AI225" s="198"/>
      <c r="AJ225" s="198"/>
      <c r="AK225" s="197"/>
      <c r="AL225" s="198"/>
      <c r="AM225" s="198"/>
      <c r="AN225" s="198"/>
      <c r="AO225" s="198"/>
      <c r="AP225" s="198"/>
      <c r="AQ225" s="199"/>
      <c r="AR225" s="198">
        <v>637440.22619732004</v>
      </c>
      <c r="AS225" s="198">
        <v>141835.82177449999</v>
      </c>
      <c r="AT225" s="198">
        <v>67621.41786680001</v>
      </c>
      <c r="AU225" s="198">
        <v>31270.502259639998</v>
      </c>
      <c r="AV225" s="198">
        <v>204378.30705939</v>
      </c>
      <c r="AW225" s="198"/>
      <c r="AX225" s="198">
        <v>192334.17723699007</v>
      </c>
      <c r="AY225" s="197">
        <v>47398491.557400003</v>
      </c>
      <c r="AZ225" s="198"/>
      <c r="BA225" s="198">
        <v>31829161.8079</v>
      </c>
      <c r="BB225" s="198">
        <v>9634727.0273000002</v>
      </c>
      <c r="BC225" s="198">
        <v>5934602.7215</v>
      </c>
      <c r="BD225" s="198"/>
      <c r="BE225" s="198"/>
      <c r="BF225" s="197">
        <v>79939274.13000001</v>
      </c>
      <c r="BG225" s="198"/>
      <c r="BH225" s="198">
        <v>51064044.060000002</v>
      </c>
      <c r="BI225" s="198">
        <v>7110892.9800000004</v>
      </c>
      <c r="BJ225" s="198">
        <v>20368000.160000004</v>
      </c>
      <c r="BK225" s="198">
        <v>1396336.93</v>
      </c>
      <c r="BL225" s="198"/>
      <c r="BM225" s="197">
        <v>3915673.807</v>
      </c>
      <c r="BN225" s="198">
        <v>263277.587</v>
      </c>
      <c r="BO225" s="198">
        <v>551572.64500000002</v>
      </c>
      <c r="BP225" s="198">
        <v>1023192.356</v>
      </c>
      <c r="BQ225" s="198">
        <v>910640.13399999996</v>
      </c>
      <c r="BR225" s="198"/>
      <c r="BS225" s="198">
        <f t="shared" si="2"/>
        <v>1166991.085</v>
      </c>
      <c r="BT225" s="197"/>
      <c r="BU225" s="198"/>
      <c r="BV225" s="198"/>
      <c r="BW225" s="198"/>
      <c r="BX225" s="198"/>
      <c r="BY225" s="198"/>
      <c r="BZ225" s="198"/>
      <c r="CA225" s="197">
        <v>586.87199999999996</v>
      </c>
      <c r="CB225" s="198"/>
      <c r="CC225" s="198"/>
      <c r="CD225" s="198"/>
      <c r="CE225" s="198"/>
      <c r="CF225" s="198"/>
      <c r="CG225" s="198"/>
      <c r="CH225" s="197"/>
      <c r="CI225" s="198"/>
      <c r="CJ225" s="198">
        <v>3859952.7783100004</v>
      </c>
      <c r="CK225" s="198"/>
      <c r="CL225" s="198">
        <v>2328797.1555699999</v>
      </c>
      <c r="CM225" s="198">
        <v>688542.76049999997</v>
      </c>
      <c r="CN225" s="198"/>
      <c r="CO225" s="197">
        <v>7488.0431499999995</v>
      </c>
      <c r="CP225" s="198">
        <v>728.79629</v>
      </c>
      <c r="CQ225" s="198">
        <v>1275.54935</v>
      </c>
      <c r="CR225" s="198">
        <v>1751.02332</v>
      </c>
      <c r="CS225" s="198">
        <v>1564.2597900000001</v>
      </c>
      <c r="CT225" s="198"/>
      <c r="CU225" s="198">
        <v>2168.4143999999997</v>
      </c>
      <c r="CV225" s="197">
        <v>1294.626</v>
      </c>
      <c r="CW225" s="198"/>
      <c r="CX225" s="198"/>
      <c r="CY225" s="198"/>
      <c r="CZ225" s="198"/>
      <c r="DA225" s="198"/>
      <c r="DB225" s="198"/>
      <c r="DC225" s="197">
        <v>47773.512478999997</v>
      </c>
      <c r="DD225" s="198"/>
      <c r="DE225" s="198"/>
      <c r="DF225" s="198"/>
      <c r="DG225" s="198"/>
      <c r="DH225" s="198"/>
      <c r="DI225" s="198"/>
      <c r="DJ225" s="197">
        <f>3099.2+38385.4</f>
        <v>41484.6</v>
      </c>
      <c r="DK225" s="198">
        <f>2198.3+9251.3</f>
        <v>11449.599999999999</v>
      </c>
      <c r="DL225" s="198">
        <f>1632.5+8553.9</f>
        <v>10186.4</v>
      </c>
      <c r="DM225" s="198">
        <v>2855.7</v>
      </c>
      <c r="DN225" s="198">
        <f>10330.4-DM225</f>
        <v>7474.7</v>
      </c>
      <c r="DO225" s="198"/>
      <c r="DP225" s="198">
        <f t="shared" ref="DP225:DP244" si="20">DJ225-SUM(DK225:DN225)</f>
        <v>9518.1999999999971</v>
      </c>
      <c r="DQ225" s="197"/>
      <c r="DR225" s="198"/>
      <c r="DS225" s="198"/>
      <c r="DT225" s="198"/>
      <c r="DU225" s="198"/>
      <c r="DV225" s="198"/>
      <c r="DW225" s="198"/>
      <c r="DX225" s="197">
        <v>77317.886129999999</v>
      </c>
      <c r="DY225" s="198"/>
      <c r="DZ225" s="198">
        <v>56133.949110000001</v>
      </c>
      <c r="EA225" s="198">
        <v>10400.000480000001</v>
      </c>
      <c r="EB225" s="198">
        <v>9364.2743900000005</v>
      </c>
      <c r="EC225" s="198"/>
      <c r="ED225" s="198">
        <v>1419.6621399999999</v>
      </c>
      <c r="EE225" s="198"/>
      <c r="EF225" s="198"/>
      <c r="EG225" s="198"/>
      <c r="EH225" s="198"/>
      <c r="EI225" s="198"/>
      <c r="EJ225" s="198"/>
      <c r="EK225" s="199"/>
      <c r="EL225" s="198">
        <v>1237829.5799709996</v>
      </c>
      <c r="EM225" s="198">
        <v>440653.48948200006</v>
      </c>
      <c r="EN225" s="198">
        <v>67600.474799999996</v>
      </c>
      <c r="EO225" s="198">
        <v>199838.58657699998</v>
      </c>
      <c r="EP225" s="198">
        <v>294196.15612600005</v>
      </c>
      <c r="EQ225" s="198"/>
      <c r="ER225" s="199">
        <v>235439.10014599998</v>
      </c>
      <c r="ES225" s="198">
        <v>26501.486174919999</v>
      </c>
      <c r="ET225" s="198">
        <v>2942.84448901</v>
      </c>
      <c r="EU225" s="198">
        <v>7384.3557950000004</v>
      </c>
      <c r="EV225" s="198">
        <v>3493.8936064999998</v>
      </c>
      <c r="EW225" s="198">
        <v>7406.7760157100001</v>
      </c>
      <c r="EX225" s="198"/>
      <c r="EY225" s="199">
        <f t="shared" si="6"/>
        <v>5273.6162686999996</v>
      </c>
      <c r="EZ225" s="198">
        <v>15171</v>
      </c>
      <c r="FA225" s="198">
        <v>695</v>
      </c>
      <c r="FB225" s="198">
        <v>3740</v>
      </c>
      <c r="FC225" s="198">
        <v>4430</v>
      </c>
      <c r="FD225" s="198">
        <v>3317</v>
      </c>
      <c r="FE225" s="198">
        <v>16</v>
      </c>
      <c r="FF225" s="198">
        <f t="shared" si="17"/>
        <v>2989</v>
      </c>
      <c r="FG225" s="197">
        <v>9373151.2815749999</v>
      </c>
      <c r="FH225" s="198">
        <v>1166921.1360799999</v>
      </c>
      <c r="FI225" s="198">
        <v>2084895.1556870001</v>
      </c>
      <c r="FJ225" s="198"/>
      <c r="FK225" s="198">
        <v>823813.69367399986</v>
      </c>
      <c r="FL225" s="198"/>
      <c r="FM225" s="198">
        <f t="shared" si="18"/>
        <v>5297521.2961339997</v>
      </c>
      <c r="FN225" s="197">
        <v>44970.785000000003</v>
      </c>
      <c r="FO225" s="198">
        <v>10531.579</v>
      </c>
      <c r="FP225" s="198">
        <v>6166.5280000000002</v>
      </c>
      <c r="FQ225" s="198">
        <v>6576.86</v>
      </c>
      <c r="FR225" s="198">
        <v>6696.5140000000001</v>
      </c>
      <c r="FS225" s="198"/>
      <c r="FT225" s="199">
        <f t="shared" si="7"/>
        <v>14999.304000000004</v>
      </c>
      <c r="FU225" s="197"/>
      <c r="FV225" s="198"/>
      <c r="FW225" s="198"/>
      <c r="FX225" s="198"/>
      <c r="FY225" s="198"/>
      <c r="FZ225" s="198"/>
      <c r="GA225" s="199"/>
      <c r="GB225" s="197">
        <v>1655.202</v>
      </c>
      <c r="GC225" s="198"/>
      <c r="GD225" s="198"/>
      <c r="GE225" s="198"/>
      <c r="GF225" s="198"/>
      <c r="GG225" s="198"/>
      <c r="GH225" s="199"/>
      <c r="GI225" s="197">
        <v>907.10299999999995</v>
      </c>
      <c r="GJ225" s="198"/>
      <c r="GK225" s="198"/>
      <c r="GL225" s="198"/>
      <c r="GM225" s="198"/>
      <c r="GN225" s="198"/>
      <c r="GO225" s="199"/>
      <c r="GP225" s="197">
        <v>2249.92</v>
      </c>
      <c r="GQ225" s="198"/>
      <c r="GR225" s="198"/>
      <c r="GS225" s="198"/>
      <c r="GT225" s="198"/>
      <c r="GU225" s="198"/>
      <c r="GV225" s="199"/>
      <c r="GW225" s="197">
        <f>[2]sur!P9</f>
        <v>1306.0999999999999</v>
      </c>
      <c r="GX225" s="198">
        <f>[2]sur!Q9</f>
        <v>103.8</v>
      </c>
      <c r="GY225" s="198">
        <f>[2]sur!R9</f>
        <v>328.9</v>
      </c>
      <c r="GZ225" s="198">
        <f>[2]sur!S9</f>
        <v>155.6</v>
      </c>
      <c r="HA225" s="198"/>
      <c r="HB225" s="198"/>
      <c r="HC225" s="199">
        <f>[2]sur!V9</f>
        <v>717.8</v>
      </c>
      <c r="HD225" s="197"/>
      <c r="HE225" s="198"/>
      <c r="HF225" s="198"/>
      <c r="HG225" s="198"/>
      <c r="HH225" s="198"/>
      <c r="HI225" s="198"/>
      <c r="HJ225" s="199"/>
      <c r="HK225" s="197">
        <v>4132</v>
      </c>
      <c r="HL225" s="198">
        <v>945.10973297637008</v>
      </c>
      <c r="HM225" s="198">
        <v>307.91912782257123</v>
      </c>
      <c r="HN225" s="198">
        <v>52.083645007606847</v>
      </c>
      <c r="HO225" s="198">
        <v>1328.4482415550847</v>
      </c>
      <c r="HP225" s="198"/>
      <c r="HQ225" s="198">
        <f t="shared" si="16"/>
        <v>1498.4392526383672</v>
      </c>
      <c r="HR225" s="197">
        <v>40610.286</v>
      </c>
      <c r="HT225" s="198">
        <v>24746.775000000001</v>
      </c>
      <c r="HU225" s="198">
        <v>2383.2350000000001</v>
      </c>
      <c r="HV225" s="198">
        <v>7093.7889999999998</v>
      </c>
      <c r="HW225" s="198">
        <v>1602.203</v>
      </c>
      <c r="HX225" s="198">
        <v>4784.2839999999997</v>
      </c>
    </row>
    <row r="226" spans="1:233">
      <c r="A226" s="185" t="s">
        <v>493</v>
      </c>
      <c r="B226" s="197">
        <v>2211.6129999999998</v>
      </c>
      <c r="C226" s="198"/>
      <c r="D226" s="198"/>
      <c r="E226" s="198"/>
      <c r="F226" s="198"/>
      <c r="G226" s="198"/>
      <c r="H226" s="199"/>
      <c r="I226" s="197">
        <v>83519.899999999994</v>
      </c>
      <c r="J226" s="198"/>
      <c r="K226" s="198"/>
      <c r="L226" s="198">
        <v>9177.2999999999993</v>
      </c>
      <c r="M226" s="198">
        <v>8845</v>
      </c>
      <c r="N226" s="198"/>
      <c r="O226" s="199">
        <f>[3]arg!$G92</f>
        <v>45434</v>
      </c>
      <c r="P226" s="198">
        <v>5581.5410000000002</v>
      </c>
      <c r="Q226" s="198">
        <v>44.704999999999998</v>
      </c>
      <c r="R226" s="198">
        <v>482.51099999999997</v>
      </c>
      <c r="S226" s="198">
        <v>388.88600000000002</v>
      </c>
      <c r="T226" s="198">
        <v>3693.1239999999998</v>
      </c>
      <c r="U226" s="198"/>
      <c r="V226" s="199">
        <f t="shared" si="19"/>
        <v>972.31500000000051</v>
      </c>
      <c r="W226" s="198">
        <v>4322.3580000000002</v>
      </c>
      <c r="X226" s="198">
        <v>108.672</v>
      </c>
      <c r="Y226" s="198">
        <v>927.64700000000005</v>
      </c>
      <c r="Z226" s="198">
        <v>380.67200000000003</v>
      </c>
      <c r="AA226" s="198">
        <v>1930.0730000000001</v>
      </c>
      <c r="AB226" s="198"/>
      <c r="AC226" s="199">
        <f t="shared" si="14"/>
        <v>975.29400000000055</v>
      </c>
      <c r="AD226" s="198"/>
      <c r="AE226" s="198">
        <v>18.122</v>
      </c>
      <c r="AF226" s="198">
        <v>252.00099999999998</v>
      </c>
      <c r="AG226" s="198">
        <v>450.33299999999997</v>
      </c>
      <c r="AH226" s="198">
        <v>261.30500000000001</v>
      </c>
      <c r="AI226" s="198"/>
      <c r="AJ226" s="198"/>
      <c r="AK226" s="197"/>
      <c r="AL226" s="198"/>
      <c r="AM226" s="198"/>
      <c r="AN226" s="198"/>
      <c r="AO226" s="198"/>
      <c r="AP226" s="198"/>
      <c r="AQ226" s="199"/>
      <c r="AR226" s="198">
        <v>654128.90240507992</v>
      </c>
      <c r="AS226" s="198">
        <v>146703.48600181</v>
      </c>
      <c r="AT226" s="198">
        <v>68631.241197099996</v>
      </c>
      <c r="AU226" s="198">
        <v>31848.149358100003</v>
      </c>
      <c r="AV226" s="198">
        <v>210340.83376775007</v>
      </c>
      <c r="AW226" s="198"/>
      <c r="AX226" s="198">
        <v>196605.19208031986</v>
      </c>
      <c r="AY226" s="197">
        <v>47982837.703199998</v>
      </c>
      <c r="AZ226" s="198"/>
      <c r="BA226" s="198">
        <v>32176707.306200001</v>
      </c>
      <c r="BB226" s="198">
        <v>9795954.2672000006</v>
      </c>
      <c r="BC226" s="198">
        <v>6010176.1293000001</v>
      </c>
      <c r="BD226" s="198"/>
      <c r="BE226" s="198"/>
      <c r="BF226" s="197">
        <v>82786903.629999995</v>
      </c>
      <c r="BG226" s="198"/>
      <c r="BH226" s="198">
        <v>52844918.420000002</v>
      </c>
      <c r="BI226" s="198">
        <v>7389275.2299999995</v>
      </c>
      <c r="BJ226" s="198">
        <v>21168429.579999998</v>
      </c>
      <c r="BK226" s="198">
        <v>1384280.4</v>
      </c>
      <c r="BL226" s="198"/>
      <c r="BM226" s="197">
        <v>3994242.6460000002</v>
      </c>
      <c r="BN226" s="198">
        <v>256559.894</v>
      </c>
      <c r="BO226" s="198">
        <v>564947.95200000005</v>
      </c>
      <c r="BP226" s="198">
        <v>1047850.481</v>
      </c>
      <c r="BQ226" s="198">
        <v>912729.24899999995</v>
      </c>
      <c r="BR226" s="198"/>
      <c r="BS226" s="198">
        <f t="shared" si="2"/>
        <v>1212155.0700000003</v>
      </c>
      <c r="BT226" s="197"/>
      <c r="BU226" s="198"/>
      <c r="BV226" s="198"/>
      <c r="BW226" s="198"/>
      <c r="BX226" s="198"/>
      <c r="BY226" s="198"/>
      <c r="BZ226" s="198"/>
      <c r="CA226" s="197">
        <v>591.202</v>
      </c>
      <c r="CB226" s="198"/>
      <c r="CC226" s="198"/>
      <c r="CD226" s="198"/>
      <c r="CE226" s="198"/>
      <c r="CF226" s="198"/>
      <c r="CG226" s="198"/>
      <c r="CH226" s="197"/>
      <c r="CI226" s="198"/>
      <c r="CJ226" s="198">
        <v>3910476.8759700009</v>
      </c>
      <c r="CK226" s="198"/>
      <c r="CL226" s="198">
        <v>2391963.3632399999</v>
      </c>
      <c r="CM226" s="198">
        <v>712230.76</v>
      </c>
      <c r="CN226" s="198"/>
      <c r="CO226" s="197">
        <v>7515.55753</v>
      </c>
      <c r="CP226" s="198">
        <v>701.07470999999998</v>
      </c>
      <c r="CQ226" s="198">
        <v>1296.1345800000001</v>
      </c>
      <c r="CR226" s="198">
        <v>1770.1375700000001</v>
      </c>
      <c r="CS226" s="198">
        <v>1597.01234</v>
      </c>
      <c r="CT226" s="198"/>
      <c r="CU226" s="198">
        <v>2151.1983300000002</v>
      </c>
      <c r="CV226" s="197">
        <v>1301.5740000000001</v>
      </c>
      <c r="CW226" s="198"/>
      <c r="CX226" s="198"/>
      <c r="CY226" s="198"/>
      <c r="CZ226" s="198"/>
      <c r="DA226" s="198"/>
      <c r="DB226" s="198"/>
      <c r="DC226" s="197">
        <v>48462.052058000001</v>
      </c>
      <c r="DD226" s="198"/>
      <c r="DE226" s="198"/>
      <c r="DF226" s="198"/>
      <c r="DG226" s="198"/>
      <c r="DH226" s="198"/>
      <c r="DI226" s="198"/>
      <c r="DJ226" s="197">
        <f>38928.2+3137.7</f>
        <v>42065.899999999994</v>
      </c>
      <c r="DK226" s="198">
        <f>2368.1+9347.4</f>
        <v>11715.5</v>
      </c>
      <c r="DL226" s="198">
        <f>1755.3+8556.2</f>
        <v>10311.5</v>
      </c>
      <c r="DM226" s="198">
        <v>2850.8</v>
      </c>
      <c r="DN226" s="198">
        <f>10525.8-DM226</f>
        <v>7674.9999999999991</v>
      </c>
      <c r="DO226" s="198"/>
      <c r="DP226" s="198">
        <f t="shared" si="20"/>
        <v>9513.0999999999949</v>
      </c>
      <c r="DQ226" s="197"/>
      <c r="DR226" s="198"/>
      <c r="DS226" s="198"/>
      <c r="DT226" s="198"/>
      <c r="DU226" s="198"/>
      <c r="DV226" s="198"/>
      <c r="DW226" s="198"/>
      <c r="DX226" s="197">
        <v>78770.440629999997</v>
      </c>
      <c r="DY226" s="198"/>
      <c r="DZ226" s="198">
        <v>57206.401619999997</v>
      </c>
      <c r="EA226" s="198">
        <v>10575.212800000001</v>
      </c>
      <c r="EB226" s="198">
        <v>9544.6065099999996</v>
      </c>
      <c r="EC226" s="198"/>
      <c r="ED226" s="198">
        <v>1444.2196999999999</v>
      </c>
      <c r="EE226" s="198"/>
      <c r="EF226" s="198"/>
      <c r="EG226" s="198"/>
      <c r="EH226" s="198"/>
      <c r="EI226" s="198"/>
      <c r="EJ226" s="198"/>
      <c r="EK226" s="199"/>
      <c r="EL226" s="198">
        <v>1250824.628882</v>
      </c>
      <c r="EM226" s="198">
        <v>445286.34213800012</v>
      </c>
      <c r="EN226" s="198">
        <v>65582.001195000004</v>
      </c>
      <c r="EO226" s="198">
        <v>204320.90465600006</v>
      </c>
      <c r="EP226" s="198">
        <v>302983.17048000003</v>
      </c>
      <c r="EQ226" s="198"/>
      <c r="ER226" s="199">
        <v>232558.40848299998</v>
      </c>
      <c r="ES226" s="198">
        <v>27106.56004887</v>
      </c>
      <c r="ET226" s="198">
        <v>3095.5748278400001</v>
      </c>
      <c r="EU226" s="198">
        <v>7435.2673834099996</v>
      </c>
      <c r="EV226" s="198">
        <v>3575.80211336</v>
      </c>
      <c r="EW226" s="198">
        <v>7644.3192024300006</v>
      </c>
      <c r="EX226" s="198"/>
      <c r="EY226" s="199">
        <f t="shared" si="6"/>
        <v>5355.5965218300025</v>
      </c>
      <c r="EZ226" s="198">
        <v>15373</v>
      </c>
      <c r="FA226" s="198">
        <v>728</v>
      </c>
      <c r="FB226" s="198">
        <v>3787</v>
      </c>
      <c r="FC226" s="198">
        <v>4496</v>
      </c>
      <c r="FD226" s="198">
        <v>3358</v>
      </c>
      <c r="FE226" s="198">
        <v>16</v>
      </c>
      <c r="FF226" s="198">
        <f t="shared" si="17"/>
        <v>3004</v>
      </c>
      <c r="FG226" s="197">
        <v>9494833.1639590003</v>
      </c>
      <c r="FH226" s="198">
        <v>1209478.995992</v>
      </c>
      <c r="FI226" s="198">
        <v>2071651.4178849999</v>
      </c>
      <c r="FJ226" s="198"/>
      <c r="FK226" s="198">
        <v>846453.49332000001</v>
      </c>
      <c r="FL226" s="198"/>
      <c r="FM226" s="198">
        <f t="shared" si="18"/>
        <v>5367249.2567619998</v>
      </c>
      <c r="FN226" s="197">
        <v>45955.178</v>
      </c>
      <c r="FO226" s="198">
        <v>10651.356</v>
      </c>
      <c r="FP226" s="198">
        <v>6271.7079999999996</v>
      </c>
      <c r="FQ226" s="198">
        <v>6631.1570000000002</v>
      </c>
      <c r="FR226" s="198">
        <v>6896.3680000000004</v>
      </c>
      <c r="FS226" s="198"/>
      <c r="FT226" s="199">
        <f t="shared" si="7"/>
        <v>15504.589</v>
      </c>
      <c r="FU226" s="197"/>
      <c r="FV226" s="198"/>
      <c r="FW226" s="198"/>
      <c r="FX226" s="198"/>
      <c r="FY226" s="198"/>
      <c r="FZ226" s="198"/>
      <c r="GA226" s="199"/>
      <c r="GB226" s="197">
        <v>1666.511</v>
      </c>
      <c r="GC226" s="198"/>
      <c r="GD226" s="198"/>
      <c r="GE226" s="198"/>
      <c r="GF226" s="198"/>
      <c r="GG226" s="198"/>
      <c r="GH226" s="199"/>
      <c r="GI226" s="197">
        <v>907.83299999999997</v>
      </c>
      <c r="GJ226" s="198"/>
      <c r="GK226" s="198"/>
      <c r="GL226" s="198"/>
      <c r="GM226" s="198"/>
      <c r="GN226" s="198"/>
      <c r="GO226" s="199"/>
      <c r="GP226" s="197">
        <v>2271.3139999999999</v>
      </c>
      <c r="GQ226" s="198"/>
      <c r="GR226" s="198"/>
      <c r="GS226" s="198"/>
      <c r="GT226" s="198"/>
      <c r="GU226" s="198"/>
      <c r="GV226" s="199"/>
      <c r="GW226" s="197">
        <f>[2]sur!P10</f>
        <v>1322.6</v>
      </c>
      <c r="GX226" s="198">
        <f>[2]sur!Q10</f>
        <v>100.9</v>
      </c>
      <c r="GY226" s="198">
        <f>[2]sur!R10</f>
        <v>330</v>
      </c>
      <c r="GZ226" s="198">
        <f>[2]sur!S10</f>
        <v>160.6</v>
      </c>
      <c r="HA226" s="198"/>
      <c r="HB226" s="198"/>
      <c r="HC226" s="199">
        <f>[2]sur!V10</f>
        <v>731.1</v>
      </c>
      <c r="HD226" s="197"/>
      <c r="HE226" s="198"/>
      <c r="HF226" s="198"/>
      <c r="HG226" s="198"/>
      <c r="HH226" s="198"/>
      <c r="HI226" s="198"/>
      <c r="HJ226" s="199"/>
      <c r="HK226" s="197">
        <v>4163</v>
      </c>
      <c r="HL226" s="198">
        <v>952.93975166982125</v>
      </c>
      <c r="HM226" s="198">
        <v>328.08994304094983</v>
      </c>
      <c r="HN226" s="198">
        <v>51.392308075525634</v>
      </c>
      <c r="HO226" s="198">
        <v>1351.4231209744303</v>
      </c>
      <c r="HP226" s="198"/>
      <c r="HQ226" s="198">
        <f t="shared" si="16"/>
        <v>1479.1548762392727</v>
      </c>
      <c r="HR226" s="197">
        <v>42904.300999999999</v>
      </c>
      <c r="HT226" s="198">
        <v>25883.573</v>
      </c>
      <c r="HU226" s="198">
        <v>2611.7469999999998</v>
      </c>
      <c r="HV226" s="198">
        <v>7616.5559999999996</v>
      </c>
      <c r="HW226" s="198">
        <v>1676.83</v>
      </c>
      <c r="HX226" s="198">
        <v>5115.5950000000003</v>
      </c>
    </row>
    <row r="227" spans="1:233">
      <c r="A227" s="185" t="s">
        <v>494</v>
      </c>
      <c r="B227" s="197">
        <v>2237.9659999999999</v>
      </c>
      <c r="C227" s="198">
        <v>60.345999999999997</v>
      </c>
      <c r="D227" s="198">
        <v>366.71699999999998</v>
      </c>
      <c r="E227" s="198">
        <v>599.29300000000001</v>
      </c>
      <c r="F227" s="198">
        <v>441.98099999999999</v>
      </c>
      <c r="G227" s="198"/>
      <c r="H227" s="199">
        <v>769.62900000000002</v>
      </c>
      <c r="I227" s="197">
        <v>86686.3</v>
      </c>
      <c r="J227" s="198"/>
      <c r="K227" s="198"/>
      <c r="L227" s="198">
        <v>9310.9</v>
      </c>
      <c r="M227" s="198">
        <v>9380.1</v>
      </c>
      <c r="N227" s="198"/>
      <c r="O227" s="199">
        <f>[3]arg!$G93</f>
        <v>47149.5</v>
      </c>
      <c r="P227" s="198">
        <v>5658.1559999999999</v>
      </c>
      <c r="Q227" s="198">
        <v>49.777000000000001</v>
      </c>
      <c r="R227" s="198">
        <v>482.24400000000003</v>
      </c>
      <c r="S227" s="198">
        <v>398.339</v>
      </c>
      <c r="T227" s="198">
        <v>3760.7510000000002</v>
      </c>
      <c r="U227" s="198"/>
      <c r="V227" s="199">
        <f t="shared" si="19"/>
        <v>967.04500000000007</v>
      </c>
      <c r="W227" s="198">
        <v>4382.268</v>
      </c>
      <c r="X227" s="198">
        <v>108.20399999999999</v>
      </c>
      <c r="Y227" s="198">
        <v>941.01599999999996</v>
      </c>
      <c r="Z227" s="198">
        <v>402.69200000000001</v>
      </c>
      <c r="AA227" s="198">
        <v>1953.8710000000001</v>
      </c>
      <c r="AB227" s="198"/>
      <c r="AC227" s="199">
        <f t="shared" si="14"/>
        <v>976.48500000000013</v>
      </c>
      <c r="AD227" s="198"/>
      <c r="AE227" s="198">
        <v>18.486999999999998</v>
      </c>
      <c r="AF227" s="198">
        <v>252.83300000000003</v>
      </c>
      <c r="AG227" s="198">
        <v>454.96899999999999</v>
      </c>
      <c r="AH227" s="198">
        <v>269.351</v>
      </c>
      <c r="AI227" s="198"/>
      <c r="AJ227" s="198"/>
      <c r="AK227" s="197">
        <v>27521.1885</v>
      </c>
      <c r="AL227" s="198"/>
      <c r="AM227" s="198">
        <v>14423.779499999999</v>
      </c>
      <c r="AN227" s="198">
        <v>6234.5010000000011</v>
      </c>
      <c r="AO227" s="198">
        <v>2154.6525000000001</v>
      </c>
      <c r="AP227" s="198">
        <v>4709.0550000000003</v>
      </c>
      <c r="AQ227" s="199"/>
      <c r="AR227" s="198">
        <v>658510.06567163998</v>
      </c>
      <c r="AS227" s="198">
        <v>145110.99178886999</v>
      </c>
      <c r="AT227" s="198">
        <v>70311.662875599999</v>
      </c>
      <c r="AU227" s="198">
        <v>32565.995075780003</v>
      </c>
      <c r="AV227" s="198">
        <v>211929.97728195996</v>
      </c>
      <c r="AW227" s="198"/>
      <c r="AX227" s="198">
        <v>198591.43864943006</v>
      </c>
      <c r="AY227" s="197">
        <v>48873851.696595997</v>
      </c>
      <c r="AZ227" s="198"/>
      <c r="BA227" s="198">
        <v>32829800.964964002</v>
      </c>
      <c r="BB227" s="198">
        <v>9949015.5445130002</v>
      </c>
      <c r="BC227" s="198">
        <v>6095035.1871189997</v>
      </c>
      <c r="BD227" s="198"/>
      <c r="BE227" s="198"/>
      <c r="BF227" s="197">
        <v>85686479.190000013</v>
      </c>
      <c r="BG227" s="198"/>
      <c r="BH227" s="198">
        <v>54801212.57</v>
      </c>
      <c r="BI227" s="198">
        <v>7608178.9799999995</v>
      </c>
      <c r="BJ227" s="198">
        <v>21831266.780000001</v>
      </c>
      <c r="BK227" s="198">
        <v>1445820.86</v>
      </c>
      <c r="BL227" s="198"/>
      <c r="BM227" s="197">
        <v>4092865.8659999999</v>
      </c>
      <c r="BN227" s="198">
        <v>275086.272</v>
      </c>
      <c r="BO227" s="198">
        <v>572188.79700000002</v>
      </c>
      <c r="BP227" s="198">
        <v>1073313.905</v>
      </c>
      <c r="BQ227" s="198">
        <v>950711.58200000005</v>
      </c>
      <c r="BR227" s="198"/>
      <c r="BS227" s="198">
        <f t="shared" si="2"/>
        <v>1221565.31</v>
      </c>
      <c r="BT227" s="197"/>
      <c r="BU227" s="198"/>
      <c r="BV227" s="198"/>
      <c r="BW227" s="198"/>
      <c r="BX227" s="198"/>
      <c r="BY227" s="198"/>
      <c r="BZ227" s="198"/>
      <c r="CA227" s="197">
        <v>563.22900000000004</v>
      </c>
      <c r="CB227" s="198">
        <v>32.634999999999998</v>
      </c>
      <c r="CC227" s="198">
        <v>94.665999999999997</v>
      </c>
      <c r="CD227" s="198">
        <v>199.25899999999999</v>
      </c>
      <c r="CE227" s="198">
        <v>113.14100000000001</v>
      </c>
      <c r="CF227" s="198"/>
      <c r="CG227" s="198">
        <f>CA227-CB227-CC227-CD227-CE227</f>
        <v>123.52800000000006</v>
      </c>
      <c r="CH227" s="197"/>
      <c r="CI227" s="198"/>
      <c r="CJ227" s="198">
        <v>3972070.6707799998</v>
      </c>
      <c r="CK227" s="198"/>
      <c r="CL227" s="198">
        <v>2452557.7331500002</v>
      </c>
      <c r="CM227" s="198">
        <v>729243.76049999997</v>
      </c>
      <c r="CN227" s="198"/>
      <c r="CO227" s="197">
        <v>7548.1024700000007</v>
      </c>
      <c r="CP227" s="198">
        <v>680.24563000000001</v>
      </c>
      <c r="CQ227" s="198">
        <v>1317.6398300000001</v>
      </c>
      <c r="CR227" s="198">
        <v>1790.36924</v>
      </c>
      <c r="CS227" s="198">
        <v>1603.1137099999999</v>
      </c>
      <c r="CT227" s="198"/>
      <c r="CU227" s="198">
        <v>2156.7340600000007</v>
      </c>
      <c r="CV227" s="197">
        <v>1319.6030000000001</v>
      </c>
      <c r="CW227" s="198">
        <v>31.238</v>
      </c>
      <c r="CX227" s="198">
        <v>202.31700000000001</v>
      </c>
      <c r="CY227" s="198">
        <v>491.10899999999998</v>
      </c>
      <c r="CZ227" s="198">
        <v>295.36700000000002</v>
      </c>
      <c r="DA227" s="198"/>
      <c r="DB227" s="198">
        <f>CV227-CW227-CX227-CY227-CZ227</f>
        <v>299.57200000000006</v>
      </c>
      <c r="DC227" s="197">
        <v>49552.935037000003</v>
      </c>
      <c r="DD227" s="198"/>
      <c r="DE227" s="198"/>
      <c r="DF227" s="198"/>
      <c r="DG227" s="198"/>
      <c r="DH227" s="198"/>
      <c r="DI227" s="198"/>
      <c r="DJ227" s="197">
        <f>3509.8+40352.5</f>
        <v>43862.3</v>
      </c>
      <c r="DK227" s="198">
        <f>2770.4+10151.4</f>
        <v>12921.8</v>
      </c>
      <c r="DL227" s="198">
        <f>1801.5+9012.7</f>
        <v>10814.2</v>
      </c>
      <c r="DM227" s="198">
        <v>2897.8</v>
      </c>
      <c r="DN227" s="198">
        <f>10496.6-DM227</f>
        <v>7598.8</v>
      </c>
      <c r="DO227" s="198"/>
      <c r="DP227" s="198">
        <f t="shared" si="20"/>
        <v>9629.7000000000044</v>
      </c>
      <c r="DQ227" s="197"/>
      <c r="DR227" s="198"/>
      <c r="DS227" s="198"/>
      <c r="DT227" s="198"/>
      <c r="DU227" s="198"/>
      <c r="DV227" s="198"/>
      <c r="DW227" s="198"/>
      <c r="DX227" s="197">
        <v>80713.199890000004</v>
      </c>
      <c r="DY227" s="198"/>
      <c r="DZ227" s="198">
        <v>58633.876619999995</v>
      </c>
      <c r="EA227" s="198">
        <v>10706.148939999999</v>
      </c>
      <c r="EB227" s="198">
        <v>9912.8198300000004</v>
      </c>
      <c r="EC227" s="198"/>
      <c r="ED227" s="198">
        <v>1460.3544899999999</v>
      </c>
      <c r="EE227" s="198">
        <v>140265.266</v>
      </c>
      <c r="EF227" s="198">
        <v>5256.732</v>
      </c>
      <c r="EG227" s="198">
        <v>32453.312000000005</v>
      </c>
      <c r="EH227" s="198">
        <v>6761.8289999999997</v>
      </c>
      <c r="EI227" s="198">
        <v>46810.834999999999</v>
      </c>
      <c r="EJ227" s="198"/>
      <c r="EK227" s="199">
        <f>EE227-EF227-EG227-EH227-EI227</f>
        <v>48982.558000000012</v>
      </c>
      <c r="EL227" s="198">
        <v>1256518.5099490001</v>
      </c>
      <c r="EM227" s="198">
        <v>456027.17674099992</v>
      </c>
      <c r="EN227" s="198">
        <v>54788.506343000001</v>
      </c>
      <c r="EO227" s="198">
        <v>206591.68514500002</v>
      </c>
      <c r="EP227" s="198">
        <v>312806.391894</v>
      </c>
      <c r="EQ227" s="198"/>
      <c r="ER227" s="199">
        <v>226194.92036899997</v>
      </c>
      <c r="ES227" s="198">
        <v>27788.978738049998</v>
      </c>
      <c r="ET227" s="198">
        <v>3061.83919453</v>
      </c>
      <c r="EU227" s="198">
        <v>7679.22828648</v>
      </c>
      <c r="EV227" s="198">
        <v>3670.74710224</v>
      </c>
      <c r="EW227" s="198">
        <v>7941.0095548700001</v>
      </c>
      <c r="EX227" s="198"/>
      <c r="EY227" s="199">
        <f t="shared" si="6"/>
        <v>5436.1545999299988</v>
      </c>
      <c r="EZ227" s="198">
        <v>15703</v>
      </c>
      <c r="FA227" s="198">
        <v>761</v>
      </c>
      <c r="FB227" s="198">
        <v>3883</v>
      </c>
      <c r="FC227" s="198">
        <v>4513</v>
      </c>
      <c r="FD227" s="198">
        <v>3394</v>
      </c>
      <c r="FE227" s="198">
        <v>16</v>
      </c>
      <c r="FF227" s="198">
        <f t="shared" si="17"/>
        <v>3152</v>
      </c>
      <c r="FG227" s="197">
        <v>9448314.9899460003</v>
      </c>
      <c r="FH227" s="198">
        <v>1207560.0493069999</v>
      </c>
      <c r="FI227" s="198">
        <v>2111855.7348949998</v>
      </c>
      <c r="FJ227" s="198"/>
      <c r="FK227" s="198">
        <v>915922.019355</v>
      </c>
      <c r="FL227" s="198"/>
      <c r="FM227" s="198">
        <f t="shared" si="18"/>
        <v>5212977.1863890011</v>
      </c>
      <c r="FN227" s="197">
        <v>46692.470999999998</v>
      </c>
      <c r="FO227" s="198">
        <v>10841.414000000001</v>
      </c>
      <c r="FP227" s="198">
        <v>6367.04</v>
      </c>
      <c r="FQ227" s="198">
        <v>6662.7250000000004</v>
      </c>
      <c r="FR227" s="198">
        <v>7056.08</v>
      </c>
      <c r="FS227" s="198"/>
      <c r="FT227" s="199">
        <f t="shared" si="7"/>
        <v>15765.211999999992</v>
      </c>
      <c r="FU227" s="197">
        <v>212200.86540013994</v>
      </c>
      <c r="FV227" s="198">
        <v>19178.066579093556</v>
      </c>
      <c r="FW227" s="198">
        <v>32016.040221773081</v>
      </c>
      <c r="FX227" s="198">
        <v>38485.5075513786</v>
      </c>
      <c r="FY227" s="198">
        <v>50277.636073670117</v>
      </c>
      <c r="FZ227" s="198"/>
      <c r="GA227" s="199">
        <f>FU227-FV227-FW227-FX227-FY227</f>
        <v>72243.614974224591</v>
      </c>
      <c r="GB227" s="197">
        <v>1667.8420000000001</v>
      </c>
      <c r="GC227" s="198">
        <v>19.603999999999999</v>
      </c>
      <c r="GD227" s="198">
        <v>210.214</v>
      </c>
      <c r="GE227" s="198">
        <v>313.76799999999997</v>
      </c>
      <c r="GF227" s="198">
        <v>261.53500000000003</v>
      </c>
      <c r="GG227" s="198"/>
      <c r="GH227" s="199">
        <f>GB227-GC227-GD227-GE227-GF227</f>
        <v>862.721</v>
      </c>
      <c r="GI227" s="197">
        <v>910.79600000000005</v>
      </c>
      <c r="GJ227" s="198">
        <v>17.439</v>
      </c>
      <c r="GK227" s="198">
        <v>132.001</v>
      </c>
      <c r="GL227" s="198">
        <v>345.65600000000001</v>
      </c>
      <c r="GM227" s="198">
        <v>143.03700000000001</v>
      </c>
      <c r="GN227" s="198"/>
      <c r="GO227" s="199">
        <f>GI227-GJ227-GK227-GL227-GM227</f>
        <v>272.66300000000012</v>
      </c>
      <c r="GP227" s="197">
        <v>2338.348</v>
      </c>
      <c r="GQ227" s="198">
        <v>65.03</v>
      </c>
      <c r="GR227" s="198">
        <v>561.12900000000002</v>
      </c>
      <c r="GS227" s="198">
        <v>475.8</v>
      </c>
      <c r="GT227" s="198">
        <v>489.74299999999999</v>
      </c>
      <c r="GU227" s="198"/>
      <c r="GV227" s="199">
        <f>GP227-GQ227-GR227-GS227-GT227</f>
        <v>746.64599999999996</v>
      </c>
      <c r="GW227" s="197">
        <f>[2]sur!P11</f>
        <v>1351.2</v>
      </c>
      <c r="GX227" s="198">
        <f>[2]sur!Q11</f>
        <v>105.69999999999999</v>
      </c>
      <c r="GY227" s="198">
        <f>[2]sur!R11</f>
        <v>340.5</v>
      </c>
      <c r="GZ227" s="198">
        <f>[2]sur!S11</f>
        <v>164.4</v>
      </c>
      <c r="HA227" s="198"/>
      <c r="HB227" s="198"/>
      <c r="HC227" s="199">
        <f>[2]sur!V11</f>
        <v>740.60000000000014</v>
      </c>
      <c r="HD227" s="197">
        <f>'[2]t&amp;t'!W359</f>
        <v>30033.599999999999</v>
      </c>
      <c r="HE227" s="198">
        <f>'[2]t&amp;t'!X359</f>
        <v>2281.1</v>
      </c>
      <c r="HF227" s="198">
        <f>'[2]t&amp;t'!Y359</f>
        <v>2601.6</v>
      </c>
      <c r="HG227" s="198">
        <f>'[2]t&amp;t'!Z359</f>
        <v>4892.6000000000004</v>
      </c>
      <c r="HH227" s="198">
        <f>'[2]t&amp;t'!AA359</f>
        <v>8964.6999999999989</v>
      </c>
      <c r="HI227" s="198"/>
      <c r="HJ227" s="199">
        <f>'[2]t&amp;t'!AC359</f>
        <v>11293.6</v>
      </c>
      <c r="HK227" s="197">
        <v>4195</v>
      </c>
      <c r="HL227" s="198">
        <v>976.44111360815509</v>
      </c>
      <c r="HM227" s="198">
        <v>337.59012770623997</v>
      </c>
      <c r="HN227" s="198">
        <v>51.753328010061672</v>
      </c>
      <c r="HO227" s="198">
        <v>1349.924012910363</v>
      </c>
      <c r="HP227" s="198"/>
      <c r="HQ227" s="198">
        <f t="shared" si="16"/>
        <v>1479.2914177651803</v>
      </c>
      <c r="HR227" s="197">
        <v>46605.044999999998</v>
      </c>
      <c r="HT227" s="198">
        <v>27967.573</v>
      </c>
      <c r="HU227" s="198">
        <v>3081.1289999999999</v>
      </c>
      <c r="HV227" s="198">
        <v>8101.59</v>
      </c>
      <c r="HW227" s="198">
        <v>1817.3240000000001</v>
      </c>
      <c r="HX227" s="198">
        <v>5637.4290000000001</v>
      </c>
    </row>
    <row r="228" spans="1:233">
      <c r="A228" s="185" t="s">
        <v>495</v>
      </c>
      <c r="B228" s="197">
        <v>2226.808</v>
      </c>
      <c r="C228" s="198"/>
      <c r="D228" s="198"/>
      <c r="E228" s="198"/>
      <c r="F228" s="198"/>
      <c r="G228" s="198"/>
      <c r="H228" s="199"/>
      <c r="I228" s="197">
        <v>88196.5</v>
      </c>
      <c r="J228" s="198"/>
      <c r="K228" s="198"/>
      <c r="L228" s="198">
        <v>9512.7999999999993</v>
      </c>
      <c r="M228" s="198">
        <v>9841.6</v>
      </c>
      <c r="N228" s="198"/>
      <c r="O228" s="199">
        <f>[3]arg!$G94</f>
        <v>47792.2</v>
      </c>
      <c r="P228" s="198">
        <v>5752.45</v>
      </c>
      <c r="Q228" s="198">
        <v>43.814</v>
      </c>
      <c r="R228" s="198">
        <v>490.49799999999999</v>
      </c>
      <c r="S228" s="198">
        <v>397.53</v>
      </c>
      <c r="T228" s="198">
        <v>3784.8960000000002</v>
      </c>
      <c r="U228" s="198"/>
      <c r="V228" s="199">
        <f t="shared" si="19"/>
        <v>1035.712</v>
      </c>
      <c r="W228" s="198">
        <v>4413.6419999999998</v>
      </c>
      <c r="X228" s="198">
        <v>106.46299999999999</v>
      </c>
      <c r="Y228" s="198">
        <v>916.92900000000009</v>
      </c>
      <c r="Z228" s="198">
        <v>402.30500000000001</v>
      </c>
      <c r="AA228" s="198">
        <v>1984.645</v>
      </c>
      <c r="AB228" s="198"/>
      <c r="AC228" s="199">
        <f t="shared" si="14"/>
        <v>1003.3000000000002</v>
      </c>
      <c r="AD228" s="198"/>
      <c r="AE228" s="198">
        <v>19.015000000000001</v>
      </c>
      <c r="AF228" s="198">
        <v>258.14699999999999</v>
      </c>
      <c r="AG228" s="198">
        <v>459.52599999999995</v>
      </c>
      <c r="AH228" s="198">
        <v>274.68299999999999</v>
      </c>
      <c r="AI228" s="198"/>
      <c r="AJ228" s="198"/>
      <c r="AK228" s="197"/>
      <c r="AL228" s="198"/>
      <c r="AM228" s="198"/>
      <c r="AN228" s="198"/>
      <c r="AO228" s="198"/>
      <c r="AP228" s="198"/>
      <c r="AQ228" s="199"/>
      <c r="AR228" s="198">
        <v>669514.29140596988</v>
      </c>
      <c r="AS228" s="198">
        <v>147860.51555802999</v>
      </c>
      <c r="AT228" s="198">
        <v>71276.731767979989</v>
      </c>
      <c r="AU228" s="198">
        <v>33191.849665260001</v>
      </c>
      <c r="AV228" s="198">
        <v>216494.65629408995</v>
      </c>
      <c r="AW228" s="198"/>
      <c r="AX228" s="198">
        <v>200690.53812060997</v>
      </c>
      <c r="AY228" s="197">
        <v>49269281.5792</v>
      </c>
      <c r="AZ228" s="198"/>
      <c r="BA228" s="198">
        <v>32947173.3475</v>
      </c>
      <c r="BB228" s="198">
        <v>10134074.625700001</v>
      </c>
      <c r="BC228" s="198">
        <v>6188033.6052999999</v>
      </c>
      <c r="BD228" s="198"/>
      <c r="BE228" s="198"/>
      <c r="BF228" s="197">
        <v>87887043.960000008</v>
      </c>
      <c r="BG228" s="198"/>
      <c r="BH228" s="198">
        <v>56086608.499999993</v>
      </c>
      <c r="BI228" s="198">
        <v>7785201.7699999996</v>
      </c>
      <c r="BJ228" s="198">
        <v>22514011.260000005</v>
      </c>
      <c r="BK228" s="198">
        <v>1501222.43</v>
      </c>
      <c r="BL228" s="198"/>
      <c r="BM228" s="197">
        <v>4183179.2080000001</v>
      </c>
      <c r="BN228" s="198">
        <v>282032.80800000002</v>
      </c>
      <c r="BO228" s="198">
        <v>579697.23699999996</v>
      </c>
      <c r="BP228" s="198">
        <v>1098891.081</v>
      </c>
      <c r="BQ228" s="198">
        <v>962970.321</v>
      </c>
      <c r="BR228" s="198"/>
      <c r="BS228" s="198">
        <f t="shared" si="2"/>
        <v>1259587.7610000004</v>
      </c>
      <c r="BT228" s="197"/>
      <c r="BU228" s="198"/>
      <c r="BV228" s="198"/>
      <c r="BW228" s="198"/>
      <c r="BX228" s="198"/>
      <c r="BY228" s="198"/>
      <c r="BZ228" s="198"/>
      <c r="CA228" s="197">
        <v>572.79700000000003</v>
      </c>
      <c r="CB228" s="198"/>
      <c r="CC228" s="198"/>
      <c r="CD228" s="198"/>
      <c r="CE228" s="198"/>
      <c r="CF228" s="198"/>
      <c r="CG228" s="198"/>
      <c r="CH228" s="197"/>
      <c r="CI228" s="198"/>
      <c r="CJ228" s="198">
        <v>4037106.5804500002</v>
      </c>
      <c r="CK228" s="198"/>
      <c r="CL228" s="198">
        <v>2507976.03632</v>
      </c>
      <c r="CM228" s="198">
        <v>748122.73846999998</v>
      </c>
      <c r="CN228" s="198"/>
      <c r="CO228" s="197">
        <v>7605.6310800000001</v>
      </c>
      <c r="CP228" s="198">
        <v>679.58024</v>
      </c>
      <c r="CQ228" s="198">
        <v>1322.87942</v>
      </c>
      <c r="CR228" s="198">
        <v>1807.4311699999998</v>
      </c>
      <c r="CS228" s="198">
        <v>1609.9314299999999</v>
      </c>
      <c r="CT228" s="198"/>
      <c r="CU228" s="198">
        <v>2185.8088200000002</v>
      </c>
      <c r="CV228" s="197">
        <v>1337.818</v>
      </c>
      <c r="CW228" s="198"/>
      <c r="CX228" s="198"/>
      <c r="CY228" s="198"/>
      <c r="CZ228" s="198"/>
      <c r="DA228" s="198"/>
      <c r="DB228" s="198"/>
      <c r="DC228" s="197">
        <v>50484.332401</v>
      </c>
      <c r="DD228" s="198"/>
      <c r="DE228" s="198"/>
      <c r="DF228" s="198"/>
      <c r="DG228" s="198"/>
      <c r="DH228" s="198"/>
      <c r="DI228" s="198"/>
      <c r="DJ228" s="197">
        <f>3520.1+41043.3</f>
        <v>44563.4</v>
      </c>
      <c r="DK228" s="198">
        <f>2784.2+10432.4</f>
        <v>13216.599999999999</v>
      </c>
      <c r="DL228" s="198">
        <f>1783+9142.7</f>
        <v>10925.7</v>
      </c>
      <c r="DM228" s="198">
        <f>3000</f>
        <v>3000</v>
      </c>
      <c r="DN228" s="198">
        <f>10673.7-DM228</f>
        <v>7673.7000000000007</v>
      </c>
      <c r="DO228" s="198"/>
      <c r="DP228" s="198">
        <f t="shared" si="20"/>
        <v>9747.4000000000015</v>
      </c>
      <c r="DQ228" s="197"/>
      <c r="DR228" s="198"/>
      <c r="DS228" s="198"/>
      <c r="DT228" s="198"/>
      <c r="DU228" s="198"/>
      <c r="DV228" s="198"/>
      <c r="DW228" s="198"/>
      <c r="DX228" s="197">
        <v>81491.786739999996</v>
      </c>
      <c r="DY228" s="198"/>
      <c r="DZ228" s="198">
        <v>58789.466209999999</v>
      </c>
      <c r="EA228" s="198">
        <v>10918.135279999999</v>
      </c>
      <c r="EB228" s="198">
        <v>10280.65105</v>
      </c>
      <c r="EC228" s="198"/>
      <c r="ED228" s="198">
        <v>1503.5341799999999</v>
      </c>
      <c r="EE228" s="198"/>
      <c r="EF228" s="198"/>
      <c r="EG228" s="198"/>
      <c r="EH228" s="198"/>
      <c r="EI228" s="198"/>
      <c r="EJ228" s="198"/>
      <c r="EK228" s="199"/>
      <c r="EL228" s="198">
        <v>1268371.1759880001</v>
      </c>
      <c r="EM228" s="198">
        <v>459228.48303399992</v>
      </c>
      <c r="EN228" s="198">
        <v>48819.431450999997</v>
      </c>
      <c r="EO228" s="198">
        <v>212970.70148299998</v>
      </c>
      <c r="EP228" s="198">
        <v>322033.27987100004</v>
      </c>
      <c r="EQ228" s="198"/>
      <c r="ER228" s="199">
        <v>225228.15266299999</v>
      </c>
      <c r="ES228" s="198">
        <v>28566.885532740002</v>
      </c>
      <c r="ET228" s="198">
        <v>3038.4775164299999</v>
      </c>
      <c r="EU228" s="198">
        <v>7905.3562041900004</v>
      </c>
      <c r="EV228" s="198">
        <v>3761.9195061599999</v>
      </c>
      <c r="EW228" s="198">
        <v>8179.0049629999994</v>
      </c>
      <c r="EX228" s="198"/>
      <c r="EY228" s="199">
        <f t="shared" si="6"/>
        <v>5682.1273429600005</v>
      </c>
      <c r="EZ228" s="198">
        <v>16051</v>
      </c>
      <c r="FA228" s="198">
        <v>705</v>
      </c>
      <c r="FB228" s="198">
        <v>4031</v>
      </c>
      <c r="FC228" s="198">
        <v>4566</v>
      </c>
      <c r="FD228" s="198">
        <v>3438</v>
      </c>
      <c r="FE228" s="198">
        <v>38</v>
      </c>
      <c r="FF228" s="198">
        <f t="shared" si="17"/>
        <v>3311</v>
      </c>
      <c r="FG228" s="197">
        <v>9024772.1200489998</v>
      </c>
      <c r="FH228" s="198">
        <v>1160449.8193290001</v>
      </c>
      <c r="FI228" s="198">
        <v>1884038.8473670001</v>
      </c>
      <c r="FJ228" s="198"/>
      <c r="FK228" s="198">
        <v>839672.64815400005</v>
      </c>
      <c r="FL228" s="198"/>
      <c r="FM228" s="198">
        <f t="shared" si="18"/>
        <v>5140610.8051990001</v>
      </c>
      <c r="FN228" s="197">
        <v>46730.434999999998</v>
      </c>
      <c r="FO228" s="198">
        <v>10908.97</v>
      </c>
      <c r="FP228" s="198">
        <v>6519.9390000000003</v>
      </c>
      <c r="FQ228" s="198">
        <v>6677.02</v>
      </c>
      <c r="FR228" s="198">
        <v>7148.0330000000004</v>
      </c>
      <c r="FS228" s="198"/>
      <c r="FT228" s="199">
        <f t="shared" si="7"/>
        <v>15476.472999999998</v>
      </c>
      <c r="FU228" s="197"/>
      <c r="FV228" s="198"/>
      <c r="FW228" s="198"/>
      <c r="FX228" s="198"/>
      <c r="FY228" s="198"/>
      <c r="FZ228" s="198"/>
      <c r="GA228" s="199"/>
      <c r="GB228" s="197">
        <v>1691.7860000000001</v>
      </c>
      <c r="GC228" s="198"/>
      <c r="GD228" s="198"/>
      <c r="GE228" s="198"/>
      <c r="GF228" s="198"/>
      <c r="GG228" s="198"/>
      <c r="GH228" s="199"/>
      <c r="GI228" s="197">
        <v>914.94600000000003</v>
      </c>
      <c r="GJ228" s="198"/>
      <c r="GK228" s="198"/>
      <c r="GL228" s="198"/>
      <c r="GM228" s="198"/>
      <c r="GN228" s="198"/>
      <c r="GO228" s="199"/>
      <c r="GP228" s="197">
        <v>2424.3969999999999</v>
      </c>
      <c r="GQ228" s="198"/>
      <c r="GR228" s="198"/>
      <c r="GS228" s="198"/>
      <c r="GT228" s="198"/>
      <c r="GU228" s="198"/>
      <c r="GV228" s="199"/>
      <c r="GW228" s="197">
        <f>[2]sur!P12</f>
        <v>1367.1</v>
      </c>
      <c r="GX228" s="198">
        <f>[2]sur!Q12</f>
        <v>104.6</v>
      </c>
      <c r="GY228" s="198">
        <f>[2]sur!R12</f>
        <v>342.9</v>
      </c>
      <c r="GZ228" s="198">
        <f>[2]sur!S12</f>
        <v>167.89999999999998</v>
      </c>
      <c r="HA228" s="198"/>
      <c r="HB228" s="198"/>
      <c r="HC228" s="199">
        <f>[2]sur!V12</f>
        <v>751.7</v>
      </c>
      <c r="HD228" s="197"/>
      <c r="HE228" s="198"/>
      <c r="HF228" s="198"/>
      <c r="HG228" s="198"/>
      <c r="HH228" s="198"/>
      <c r="HI228" s="198"/>
      <c r="HJ228" s="199"/>
      <c r="HK228" s="197">
        <v>4195</v>
      </c>
      <c r="HL228" s="198">
        <v>993.60211902178787</v>
      </c>
      <c r="HM228" s="198">
        <v>331.38992656585327</v>
      </c>
      <c r="HN228" s="198">
        <v>55.156961249855598</v>
      </c>
      <c r="HO228" s="198">
        <v>1353.3918494379875</v>
      </c>
      <c r="HP228" s="198"/>
      <c r="HQ228" s="198">
        <f t="shared" si="16"/>
        <v>1461.4591437245156</v>
      </c>
      <c r="HR228" s="197">
        <v>47606.48</v>
      </c>
      <c r="HT228" s="198">
        <v>27638.61</v>
      </c>
      <c r="HU228" s="198">
        <v>3502.4540000000002</v>
      </c>
      <c r="HV228" s="198">
        <v>8707.2710000000006</v>
      </c>
      <c r="HW228" s="198">
        <v>1943.232</v>
      </c>
      <c r="HX228" s="198">
        <v>5814.9129999999996</v>
      </c>
    </row>
    <row r="229" spans="1:233">
      <c r="A229" s="185" t="s">
        <v>496</v>
      </c>
      <c r="B229" s="197">
        <v>2246.288</v>
      </c>
      <c r="C229" s="198"/>
      <c r="D229" s="198"/>
      <c r="E229" s="198"/>
      <c r="F229" s="198"/>
      <c r="G229" s="198"/>
      <c r="H229" s="199"/>
      <c r="I229" s="197">
        <v>89695.7</v>
      </c>
      <c r="J229" s="198"/>
      <c r="K229" s="198"/>
      <c r="L229" s="198">
        <v>9624.2999999999993</v>
      </c>
      <c r="M229" s="198">
        <v>10411.4</v>
      </c>
      <c r="N229" s="198"/>
      <c r="O229" s="199">
        <f>[3]arg!$G95</f>
        <v>49410.9</v>
      </c>
      <c r="P229" s="198">
        <v>5923.3729999999996</v>
      </c>
      <c r="Q229" s="198">
        <v>47.759</v>
      </c>
      <c r="R229" s="198">
        <v>521.21900000000005</v>
      </c>
      <c r="S229" s="198">
        <v>411.75799999999998</v>
      </c>
      <c r="T229" s="198">
        <v>3836.9940000000001</v>
      </c>
      <c r="U229" s="198"/>
      <c r="V229" s="199">
        <f t="shared" si="19"/>
        <v>1105.6429999999996</v>
      </c>
      <c r="W229" s="198">
        <v>4499.4740000000002</v>
      </c>
      <c r="X229" s="198">
        <v>115.867</v>
      </c>
      <c r="Y229" s="198">
        <v>946.04100000000005</v>
      </c>
      <c r="Z229" s="198">
        <v>439.30900000000003</v>
      </c>
      <c r="AA229" s="198">
        <v>2025.164</v>
      </c>
      <c r="AB229" s="198"/>
      <c r="AC229" s="199">
        <f t="shared" si="14"/>
        <v>973.09299999999962</v>
      </c>
      <c r="AD229" s="198"/>
      <c r="AE229" s="198">
        <v>19.074000000000002</v>
      </c>
      <c r="AF229" s="198">
        <v>264.12599999999998</v>
      </c>
      <c r="AG229" s="198">
        <v>461.5</v>
      </c>
      <c r="AH229" s="198">
        <v>286.25</v>
      </c>
      <c r="AI229" s="198"/>
      <c r="AJ229" s="198"/>
      <c r="AK229" s="197"/>
      <c r="AL229" s="198"/>
      <c r="AM229" s="198"/>
      <c r="AN229" s="198"/>
      <c r="AO229" s="198"/>
      <c r="AP229" s="198"/>
      <c r="AQ229" s="199"/>
      <c r="AR229" s="198">
        <v>674301.68590295012</v>
      </c>
      <c r="AS229" s="198">
        <v>148795.91107801002</v>
      </c>
      <c r="AT229" s="198">
        <v>72077.396645540008</v>
      </c>
      <c r="AU229" s="198">
        <v>33728.007386719997</v>
      </c>
      <c r="AV229" s="198">
        <v>221149.80576288997</v>
      </c>
      <c r="AW229" s="198"/>
      <c r="AX229" s="198">
        <v>198550.56502979016</v>
      </c>
      <c r="AY229" s="197">
        <v>50010345.500500001</v>
      </c>
      <c r="AZ229" s="198"/>
      <c r="BA229" s="198">
        <v>33323985.1556</v>
      </c>
      <c r="BB229" s="198">
        <v>10348575.854800001</v>
      </c>
      <c r="BC229" s="198">
        <v>6337784.4895000001</v>
      </c>
      <c r="BD229" s="198"/>
      <c r="BE229" s="198"/>
      <c r="BF229" s="197">
        <v>89777987.179999992</v>
      </c>
      <c r="BG229" s="198"/>
      <c r="BH229" s="198">
        <v>56888756.170000002</v>
      </c>
      <c r="BI229" s="198">
        <v>7998215.3699999992</v>
      </c>
      <c r="BJ229" s="198">
        <v>23347216.98</v>
      </c>
      <c r="BK229" s="198">
        <v>1543798.66</v>
      </c>
      <c r="BL229" s="198"/>
      <c r="BM229" s="197">
        <v>4271052.835</v>
      </c>
      <c r="BN229" s="198">
        <v>286963.45799999998</v>
      </c>
      <c r="BO229" s="198">
        <v>592079.79599999997</v>
      </c>
      <c r="BP229" s="198">
        <v>1119196.8050000002</v>
      </c>
      <c r="BQ229" s="198">
        <v>980602.05500000005</v>
      </c>
      <c r="BR229" s="198"/>
      <c r="BS229" s="198">
        <f t="shared" si="2"/>
        <v>1292210.7209999999</v>
      </c>
      <c r="BT229" s="197"/>
      <c r="BU229" s="198"/>
      <c r="BV229" s="198"/>
      <c r="BW229" s="198"/>
      <c r="BX229" s="198"/>
      <c r="BY229" s="198"/>
      <c r="BZ229" s="198"/>
      <c r="CA229" s="197">
        <v>590.15</v>
      </c>
      <c r="CB229" s="198"/>
      <c r="CC229" s="198"/>
      <c r="CD229" s="198"/>
      <c r="CE229" s="198"/>
      <c r="CF229" s="198"/>
      <c r="CG229" s="198"/>
      <c r="CH229" s="197"/>
      <c r="CI229" s="198"/>
      <c r="CJ229" s="198">
        <v>4107370.7048900002</v>
      </c>
      <c r="CK229" s="198"/>
      <c r="CL229" s="198">
        <v>2583555.3355199997</v>
      </c>
      <c r="CM229" s="198">
        <v>774220.34241000016</v>
      </c>
      <c r="CN229" s="198"/>
      <c r="CO229" s="197">
        <v>7667.7790300000006</v>
      </c>
      <c r="CP229" s="198">
        <v>703.13356999999996</v>
      </c>
      <c r="CQ229" s="198">
        <v>1285.34276</v>
      </c>
      <c r="CR229" s="198">
        <v>1822.0908300000001</v>
      </c>
      <c r="CS229" s="198">
        <v>1605.5664899999999</v>
      </c>
      <c r="CT229" s="198"/>
      <c r="CU229" s="198">
        <v>2251.6453799999999</v>
      </c>
      <c r="CV229" s="197">
        <v>1356.046</v>
      </c>
      <c r="CW229" s="198"/>
      <c r="CX229" s="198"/>
      <c r="CY229" s="198"/>
      <c r="CZ229" s="198"/>
      <c r="DA229" s="198"/>
      <c r="DB229" s="198"/>
      <c r="DC229" s="197">
        <v>51611.831699000002</v>
      </c>
      <c r="DD229" s="198"/>
      <c r="DE229" s="198"/>
      <c r="DF229" s="198"/>
      <c r="DG229" s="198"/>
      <c r="DH229" s="198"/>
      <c r="DI229" s="198"/>
      <c r="DJ229" s="197">
        <f>2796.9+40926.6</f>
        <v>43723.5</v>
      </c>
      <c r="DK229" s="198">
        <f>2143.9+10264.4</f>
        <v>12408.3</v>
      </c>
      <c r="DL229" s="198">
        <f>1882.5+9288.1</f>
        <v>11170.6</v>
      </c>
      <c r="DM229" s="198">
        <v>3044.4</v>
      </c>
      <c r="DN229" s="198">
        <f>10743-DM229</f>
        <v>7698.6</v>
      </c>
      <c r="DO229" s="198"/>
      <c r="DP229" s="198">
        <f t="shared" si="20"/>
        <v>9401.5999999999985</v>
      </c>
      <c r="DQ229" s="197"/>
      <c r="DR229" s="198"/>
      <c r="DS229" s="198"/>
      <c r="DT229" s="198"/>
      <c r="DU229" s="198"/>
      <c r="DV229" s="198"/>
      <c r="DW229" s="198"/>
      <c r="DX229" s="197">
        <v>82818.64598999999</v>
      </c>
      <c r="DY229" s="198"/>
      <c r="DZ229" s="198">
        <v>59573.194530000001</v>
      </c>
      <c r="EA229" s="198">
        <v>11179.3253</v>
      </c>
      <c r="EB229" s="198">
        <v>10714.022949999999</v>
      </c>
      <c r="EC229" s="198"/>
      <c r="ED229" s="198">
        <v>1352.10321</v>
      </c>
      <c r="EE229" s="198"/>
      <c r="EF229" s="198"/>
      <c r="EG229" s="198"/>
      <c r="EH229" s="198"/>
      <c r="EI229" s="198"/>
      <c r="EJ229" s="198"/>
      <c r="EK229" s="199"/>
      <c r="EL229" s="198">
        <v>1269771.5354909997</v>
      </c>
      <c r="EM229" s="198">
        <v>462252.15565000003</v>
      </c>
      <c r="EN229" s="198">
        <v>50636.63106</v>
      </c>
      <c r="EO229" s="198">
        <v>216144.80607099997</v>
      </c>
      <c r="EP229" s="198">
        <v>331576.12222399993</v>
      </c>
      <c r="EQ229" s="198"/>
      <c r="ER229" s="199">
        <v>209054.42141700001</v>
      </c>
      <c r="ES229" s="198">
        <v>29233.68583957</v>
      </c>
      <c r="ET229" s="198">
        <v>3038.4292360499999</v>
      </c>
      <c r="EU229" s="198">
        <v>7920.8663031699998</v>
      </c>
      <c r="EV229" s="198">
        <v>3843.1161081700002</v>
      </c>
      <c r="EW229" s="198">
        <v>8500.6880735800005</v>
      </c>
      <c r="EX229" s="198"/>
      <c r="EY229" s="199">
        <f t="shared" si="6"/>
        <v>5930.5861186000002</v>
      </c>
      <c r="EZ229" s="198">
        <v>16298</v>
      </c>
      <c r="FA229" s="198">
        <v>692</v>
      </c>
      <c r="FB229" s="198">
        <v>4093</v>
      </c>
      <c r="FC229" s="198">
        <v>4566</v>
      </c>
      <c r="FD229" s="198">
        <v>3528</v>
      </c>
      <c r="FE229" s="198">
        <v>39</v>
      </c>
      <c r="FF229" s="198">
        <f t="shared" si="17"/>
        <v>3419</v>
      </c>
      <c r="FG229" s="197">
        <v>8999104.1028779987</v>
      </c>
      <c r="FH229" s="198">
        <v>1103981.587819</v>
      </c>
      <c r="FI229" s="198">
        <v>1922521.9420989999</v>
      </c>
      <c r="FJ229" s="198"/>
      <c r="FK229" s="198">
        <v>844955.658085</v>
      </c>
      <c r="FL229" s="198"/>
      <c r="FM229" s="198">
        <f t="shared" si="18"/>
        <v>5127644.9148749989</v>
      </c>
      <c r="FN229" s="197">
        <v>46595.605000000003</v>
      </c>
      <c r="FO229" s="198">
        <v>10601.191000000001</v>
      </c>
      <c r="FP229" s="198">
        <v>6504.38</v>
      </c>
      <c r="FQ229" s="198">
        <v>6764.7290000000003</v>
      </c>
      <c r="FR229" s="198">
        <v>7354.4549999999999</v>
      </c>
      <c r="FS229" s="198"/>
      <c r="FT229" s="199">
        <f t="shared" si="7"/>
        <v>15370.850000000006</v>
      </c>
      <c r="FU229" s="197"/>
      <c r="FV229" s="198"/>
      <c r="FW229" s="198"/>
      <c r="FX229" s="198"/>
      <c r="FY229" s="198"/>
      <c r="FZ229" s="198"/>
      <c r="GA229" s="199"/>
      <c r="GB229" s="197">
        <v>1742.0519999999999</v>
      </c>
      <c r="GC229" s="198"/>
      <c r="GD229" s="198"/>
      <c r="GE229" s="198"/>
      <c r="GF229" s="198"/>
      <c r="GG229" s="198"/>
      <c r="GH229" s="199"/>
      <c r="GI229" s="197">
        <v>939.92200000000003</v>
      </c>
      <c r="GJ229" s="198"/>
      <c r="GK229" s="198"/>
      <c r="GL229" s="198"/>
      <c r="GM229" s="198"/>
      <c r="GN229" s="198"/>
      <c r="GO229" s="199"/>
      <c r="GP229" s="197">
        <v>2473.5390000000002</v>
      </c>
      <c r="GQ229" s="198"/>
      <c r="GR229" s="198"/>
      <c r="GS229" s="198"/>
      <c r="GT229" s="198"/>
      <c r="GU229" s="198"/>
      <c r="GV229" s="199"/>
      <c r="GW229" s="197">
        <f>[2]sur!P13</f>
        <v>1402.3000000000002</v>
      </c>
      <c r="GX229" s="198">
        <f>[2]sur!Q13</f>
        <v>107</v>
      </c>
      <c r="GY229" s="198">
        <f>[2]sur!R13</f>
        <v>342.7</v>
      </c>
      <c r="GZ229" s="198">
        <f>[2]sur!S13</f>
        <v>173</v>
      </c>
      <c r="HA229" s="198"/>
      <c r="HB229" s="198"/>
      <c r="HC229" s="199">
        <f>[2]sur!V13</f>
        <v>779.60000000000014</v>
      </c>
      <c r="HD229" s="197"/>
      <c r="HE229" s="198"/>
      <c r="HF229" s="198"/>
      <c r="HG229" s="198"/>
      <c r="HH229" s="198"/>
      <c r="HI229" s="198"/>
      <c r="HJ229" s="199"/>
      <c r="HK229" s="197">
        <v>4376</v>
      </c>
      <c r="HL229" s="198">
        <v>994.35323786842594</v>
      </c>
      <c r="HM229" s="198">
        <v>359.17552771422606</v>
      </c>
      <c r="HN229" s="198">
        <v>56.983681433063893</v>
      </c>
      <c r="HO229" s="198">
        <v>1425.8556164940248</v>
      </c>
      <c r="HP229" s="198"/>
      <c r="HQ229" s="198">
        <f t="shared" si="16"/>
        <v>1539.6319364902595</v>
      </c>
      <c r="HR229" s="197">
        <v>49574.955999999998</v>
      </c>
      <c r="HT229" s="198">
        <v>28327.384999999998</v>
      </c>
      <c r="HU229" s="198">
        <v>3857.0239999999999</v>
      </c>
      <c r="HV229" s="198">
        <v>9376.2469999999994</v>
      </c>
      <c r="HW229" s="198">
        <v>2037.9849999999999</v>
      </c>
      <c r="HX229" s="198">
        <v>5976.3149999999996</v>
      </c>
    </row>
    <row r="230" spans="1:233">
      <c r="A230" s="185" t="s">
        <v>497</v>
      </c>
      <c r="B230" s="197">
        <v>2296.0320000000002</v>
      </c>
      <c r="C230" s="198">
        <v>59.104999999999997</v>
      </c>
      <c r="D230" s="198">
        <v>379.18200000000002</v>
      </c>
      <c r="E230" s="198">
        <v>612.64599999999996</v>
      </c>
      <c r="F230" s="198">
        <v>466.84699999999998</v>
      </c>
      <c r="G230" s="198"/>
      <c r="H230" s="199">
        <v>778.25199999999995</v>
      </c>
      <c r="I230" s="197">
        <v>93648.9</v>
      </c>
      <c r="J230" s="198"/>
      <c r="K230" s="198"/>
      <c r="L230" s="198">
        <v>9750.7000000000007</v>
      </c>
      <c r="M230" s="198">
        <v>11031.1</v>
      </c>
      <c r="N230" s="198"/>
      <c r="O230" s="199">
        <f>[3]arg!$G96</f>
        <v>51023.900000000009</v>
      </c>
      <c r="P230" s="198">
        <v>5888.1059999999998</v>
      </c>
      <c r="Q230" s="198">
        <v>47.844999999999999</v>
      </c>
      <c r="R230" s="198">
        <v>527.61900000000003</v>
      </c>
      <c r="S230" s="198">
        <v>406.92</v>
      </c>
      <c r="T230" s="198">
        <v>3918.4989999999998</v>
      </c>
      <c r="U230" s="198"/>
      <c r="V230" s="199">
        <f t="shared" si="19"/>
        <v>987.22299999999996</v>
      </c>
      <c r="W230" s="198">
        <v>4469.4650000000001</v>
      </c>
      <c r="X230" s="198">
        <v>114.47</v>
      </c>
      <c r="Y230" s="198">
        <v>949.34399999999994</v>
      </c>
      <c r="Z230" s="198">
        <v>363.20800000000003</v>
      </c>
      <c r="AA230" s="198">
        <v>2047.37</v>
      </c>
      <c r="AB230" s="198"/>
      <c r="AC230" s="199">
        <f t="shared" si="14"/>
        <v>995.07299999999987</v>
      </c>
      <c r="AD230" s="198"/>
      <c r="AE230" s="198">
        <v>20.033000000000001</v>
      </c>
      <c r="AF230" s="198">
        <v>270.26899999999995</v>
      </c>
      <c r="AG230" s="198">
        <v>465.42700000000002</v>
      </c>
      <c r="AH230" s="198">
        <v>294.78300000000002</v>
      </c>
      <c r="AI230" s="198"/>
      <c r="AJ230" s="198"/>
      <c r="AK230" s="197">
        <v>28320.6885</v>
      </c>
      <c r="AL230" s="198"/>
      <c r="AM230" s="198">
        <v>14557.296</v>
      </c>
      <c r="AN230" s="198">
        <v>6433.5765000000001</v>
      </c>
      <c r="AO230" s="198">
        <v>2319.3495000000003</v>
      </c>
      <c r="AP230" s="198">
        <v>5010.4665000000005</v>
      </c>
      <c r="AQ230" s="199"/>
      <c r="AR230" s="198">
        <v>684392.05069717998</v>
      </c>
      <c r="AS230" s="198">
        <v>151035.05313629998</v>
      </c>
      <c r="AT230" s="198">
        <v>73427.799072230016</v>
      </c>
      <c r="AU230" s="198">
        <v>34105.35894138</v>
      </c>
      <c r="AV230" s="198">
        <v>222607.24681685999</v>
      </c>
      <c r="AW230" s="198"/>
      <c r="AX230" s="198">
        <v>203216.59273041005</v>
      </c>
      <c r="AY230" s="197">
        <v>50558436.482119992</v>
      </c>
      <c r="AZ230" s="198"/>
      <c r="BA230" s="198">
        <v>33625017.833978996</v>
      </c>
      <c r="BB230" s="198">
        <v>10481288.877211999</v>
      </c>
      <c r="BC230" s="198">
        <v>6452129.7709290003</v>
      </c>
      <c r="BD230" s="198"/>
      <c r="BE230" s="198"/>
      <c r="BF230" s="197">
        <v>92216829.39000003</v>
      </c>
      <c r="BG230" s="198"/>
      <c r="BH230" s="198">
        <v>58032276.700000018</v>
      </c>
      <c r="BI230" s="198">
        <v>8267254.6999999993</v>
      </c>
      <c r="BJ230" s="198">
        <v>24326650.810000002</v>
      </c>
      <c r="BK230" s="198">
        <v>1590647.18</v>
      </c>
      <c r="BL230" s="198"/>
      <c r="BM230" s="197">
        <v>4381949.7970000003</v>
      </c>
      <c r="BN230" s="198">
        <v>299627.14600000001</v>
      </c>
      <c r="BO230" s="198">
        <v>611163.01</v>
      </c>
      <c r="BP230" s="198">
        <v>1147522.5010000002</v>
      </c>
      <c r="BQ230" s="198">
        <v>1001224.974</v>
      </c>
      <c r="BR230" s="198"/>
      <c r="BS230" s="198">
        <f t="shared" si="2"/>
        <v>1322412.1660000002</v>
      </c>
      <c r="BT230" s="197"/>
      <c r="BU230" s="198"/>
      <c r="BV230" s="198"/>
      <c r="BW230" s="198"/>
      <c r="BX230" s="198"/>
      <c r="BY230" s="198"/>
      <c r="BZ230" s="198"/>
      <c r="CA230" s="197">
        <v>594.16300000000001</v>
      </c>
      <c r="CB230" s="198">
        <v>34.363999999999997</v>
      </c>
      <c r="CC230" s="198">
        <v>102.25</v>
      </c>
      <c r="CD230" s="198">
        <v>213.70500000000001</v>
      </c>
      <c r="CE230" s="198">
        <v>118.761</v>
      </c>
      <c r="CF230" s="198"/>
      <c r="CG230" s="198">
        <f>CA230-CB230-CC230-CD230-CE230</f>
        <v>125.08299999999997</v>
      </c>
      <c r="CH230" s="197"/>
      <c r="CI230" s="198"/>
      <c r="CJ230" s="198">
        <v>4187259.1817800002</v>
      </c>
      <c r="CK230" s="198"/>
      <c r="CL230" s="198">
        <v>2689813.2559700003</v>
      </c>
      <c r="CM230" s="198">
        <v>793634.20160999999</v>
      </c>
      <c r="CN230" s="198"/>
      <c r="CO230" s="197">
        <v>7735.4191200000005</v>
      </c>
      <c r="CP230" s="198">
        <v>729.7681</v>
      </c>
      <c r="CQ230" s="198">
        <v>1283.69192</v>
      </c>
      <c r="CR230" s="198">
        <v>1844.39327</v>
      </c>
      <c r="CS230" s="198">
        <v>1641.21558</v>
      </c>
      <c r="CT230" s="198"/>
      <c r="CU230" s="198">
        <v>2236.35025</v>
      </c>
      <c r="CV230" s="197">
        <v>1369.6320000000001</v>
      </c>
      <c r="CW230" s="198">
        <v>31.683</v>
      </c>
      <c r="CX230" s="198">
        <v>205.67500000000001</v>
      </c>
      <c r="CY230" s="198">
        <v>508.428</v>
      </c>
      <c r="CZ230" s="198">
        <v>310.54700000000003</v>
      </c>
      <c r="DA230" s="198"/>
      <c r="DB230" s="198">
        <f>CV230-CW230-CX230-CY230-CZ230</f>
        <v>313.29900000000009</v>
      </c>
      <c r="DC230" s="197">
        <v>52618.188044000002</v>
      </c>
      <c r="DD230" s="198"/>
      <c r="DE230" s="198"/>
      <c r="DF230" s="198"/>
      <c r="DG230" s="198"/>
      <c r="DH230" s="198"/>
      <c r="DI230" s="198"/>
      <c r="DJ230" s="197">
        <f>2594.4+40667.3</f>
        <v>43261.700000000004</v>
      </c>
      <c r="DK230" s="198">
        <f>2087.9+9946.3</f>
        <v>12034.199999999999</v>
      </c>
      <c r="DL230" s="198">
        <f>1804.8+9112.8</f>
        <v>10917.599999999999</v>
      </c>
      <c r="DM230" s="198">
        <v>3438.8</v>
      </c>
      <c r="DN230" s="198">
        <f>11187.5-DM230</f>
        <v>7748.7</v>
      </c>
      <c r="DO230" s="198"/>
      <c r="DP230" s="198">
        <f t="shared" si="20"/>
        <v>9122.4000000000087</v>
      </c>
      <c r="DQ230" s="197"/>
      <c r="DR230" s="198"/>
      <c r="DS230" s="198"/>
      <c r="DT230" s="198"/>
      <c r="DU230" s="198"/>
      <c r="DV230" s="198"/>
      <c r="DW230" s="198"/>
      <c r="DX230" s="197">
        <v>86440.62393999999</v>
      </c>
      <c r="DY230" s="198"/>
      <c r="DZ230" s="198">
        <v>61483.908320000002</v>
      </c>
      <c r="EA230" s="198">
        <v>12516.921329999999</v>
      </c>
      <c r="EB230" s="198">
        <v>11105.90847</v>
      </c>
      <c r="EC230" s="198"/>
      <c r="ED230" s="198">
        <v>1333.8858300000002</v>
      </c>
      <c r="EE230" s="198">
        <v>143400.215</v>
      </c>
      <c r="EF230" s="198">
        <v>7221.5010000000002</v>
      </c>
      <c r="EG230" s="198">
        <v>32716.059000000001</v>
      </c>
      <c r="EH230" s="198">
        <v>7105.0770000000002</v>
      </c>
      <c r="EI230" s="198">
        <v>51789.866000000002</v>
      </c>
      <c r="EJ230" s="198"/>
      <c r="EK230" s="199">
        <f>EE230-EF230-EG230-EH230-EI230</f>
        <v>44567.711999999992</v>
      </c>
      <c r="EL230" s="198">
        <v>1294146.8434550003</v>
      </c>
      <c r="EM230" s="198">
        <v>474795.06731199997</v>
      </c>
      <c r="EN230" s="198">
        <v>50336.603574000001</v>
      </c>
      <c r="EO230" s="198">
        <v>224142.126945</v>
      </c>
      <c r="EP230" s="198">
        <v>344337.2489619999</v>
      </c>
      <c r="EQ230" s="198"/>
      <c r="ER230" s="199">
        <v>200425.54996699997</v>
      </c>
      <c r="ES230" s="198">
        <v>29822.511087679999</v>
      </c>
      <c r="ET230" s="198">
        <v>3101.6703501100001</v>
      </c>
      <c r="EU230" s="198">
        <v>7975.6559220299996</v>
      </c>
      <c r="EV230" s="198">
        <v>3955.7749436200002</v>
      </c>
      <c r="EW230" s="198">
        <v>8801.4494511100002</v>
      </c>
      <c r="EX230" s="198"/>
      <c r="EY230" s="199">
        <f t="shared" si="6"/>
        <v>5987.9604208099972</v>
      </c>
      <c r="EZ230" s="198">
        <v>16697</v>
      </c>
      <c r="FA230" s="198">
        <v>689</v>
      </c>
      <c r="FB230" s="198">
        <v>4186</v>
      </c>
      <c r="FC230" s="198">
        <v>4679</v>
      </c>
      <c r="FD230" s="198">
        <v>3534</v>
      </c>
      <c r="FE230" s="198">
        <v>40</v>
      </c>
      <c r="FF230" s="198">
        <f t="shared" si="17"/>
        <v>3609</v>
      </c>
      <c r="FG230" s="197">
        <v>9088486.2232910004</v>
      </c>
      <c r="FH230" s="198">
        <v>1118527.432026</v>
      </c>
      <c r="FI230" s="198">
        <v>1966154</v>
      </c>
      <c r="FJ230" s="198"/>
      <c r="FK230" s="198">
        <v>798463.4292270001</v>
      </c>
      <c r="FL230" s="198"/>
      <c r="FM230" s="198">
        <f t="shared" si="18"/>
        <v>5205341.3620380005</v>
      </c>
      <c r="FN230" s="197">
        <v>47525.764000000003</v>
      </c>
      <c r="FO230" s="198">
        <v>10378.894</v>
      </c>
      <c r="FP230" s="198">
        <v>6895.2879999999996</v>
      </c>
      <c r="FQ230" s="198">
        <v>6830.0649999999996</v>
      </c>
      <c r="FR230" s="198">
        <v>7592.5240000000003</v>
      </c>
      <c r="FS230" s="198"/>
      <c r="FT230" s="199">
        <f t="shared" si="7"/>
        <v>15828.993000000002</v>
      </c>
      <c r="FU230" s="197">
        <v>222369.82469765973</v>
      </c>
      <c r="FV230" s="198">
        <v>17900.384321022037</v>
      </c>
      <c r="FW230" s="198">
        <v>38175.6032931304</v>
      </c>
      <c r="FX230" s="198">
        <v>42914.119935979201</v>
      </c>
      <c r="FY230" s="198">
        <v>54397.500572379678</v>
      </c>
      <c r="FZ230" s="198"/>
      <c r="GA230" s="199">
        <f>FU230-FV230-FW230-FX230-FY230</f>
        <v>68982.216575148399</v>
      </c>
      <c r="GB230" s="197">
        <v>1746.886</v>
      </c>
      <c r="GC230" s="198">
        <v>19.404</v>
      </c>
      <c r="GD230" s="198">
        <v>211.23699999999999</v>
      </c>
      <c r="GE230" s="198">
        <v>326.73500000000001</v>
      </c>
      <c r="GF230" s="198">
        <v>267.90899999999999</v>
      </c>
      <c r="GG230" s="198"/>
      <c r="GH230" s="199">
        <f>GB230-GC230-GD230-GE230-GF230</f>
        <v>921.60099999999977</v>
      </c>
      <c r="GI230" s="197">
        <v>951.27800000000002</v>
      </c>
      <c r="GJ230" s="198">
        <v>18.483000000000001</v>
      </c>
      <c r="GK230" s="198">
        <v>132.42699999999999</v>
      </c>
      <c r="GL230" s="198">
        <v>356.85500000000002</v>
      </c>
      <c r="GM230" s="198">
        <v>157.35900000000001</v>
      </c>
      <c r="GN230" s="198"/>
      <c r="GO230" s="199">
        <f>GI230-GJ230-GK230-GL230-GM230</f>
        <v>286.154</v>
      </c>
      <c r="GP230" s="197">
        <v>2520.489</v>
      </c>
      <c r="GQ230" s="198">
        <v>68.046999999999997</v>
      </c>
      <c r="GR230" s="198">
        <v>657.29600000000005</v>
      </c>
      <c r="GS230" s="198">
        <v>487.6</v>
      </c>
      <c r="GT230" s="198">
        <v>506.47800000000001</v>
      </c>
      <c r="GU230" s="198"/>
      <c r="GV230" s="199">
        <f>GP230-GQ230-GR230-GS230-GT230</f>
        <v>801.06799999999976</v>
      </c>
      <c r="GW230" s="197">
        <f>[2]sur!P14</f>
        <v>1433.6</v>
      </c>
      <c r="GX230" s="198">
        <f>[2]sur!Q14</f>
        <v>107.2</v>
      </c>
      <c r="GY230" s="198">
        <f>[2]sur!R14</f>
        <v>355.4</v>
      </c>
      <c r="GZ230" s="198">
        <f>[2]sur!S14</f>
        <v>176.7</v>
      </c>
      <c r="HA230" s="198"/>
      <c r="HB230" s="198"/>
      <c r="HC230" s="199">
        <f>[2]sur!V14</f>
        <v>794.3</v>
      </c>
      <c r="HD230" s="197">
        <f>'[2]t&amp;t'!W362</f>
        <v>31205.4</v>
      </c>
      <c r="HE230" s="198">
        <f>'[2]t&amp;t'!X362</f>
        <v>2447.1999999999998</v>
      </c>
      <c r="HF230" s="198">
        <f>'[2]t&amp;t'!Y362</f>
        <v>2847.8</v>
      </c>
      <c r="HG230" s="198">
        <f>'[2]t&amp;t'!Z362</f>
        <v>5339.9</v>
      </c>
      <c r="HH230" s="198">
        <f>'[2]t&amp;t'!AA362</f>
        <v>9396.9</v>
      </c>
      <c r="HI230" s="198"/>
      <c r="HJ230" s="199">
        <f>'[2]t&amp;t'!AC362</f>
        <v>11173.600000000002</v>
      </c>
      <c r="HK230" s="197">
        <v>4502</v>
      </c>
      <c r="HL230" s="198">
        <v>1007.6088883386702</v>
      </c>
      <c r="HM230" s="198">
        <v>359.13688411979723</v>
      </c>
      <c r="HN230" s="198">
        <v>58.307021422694859</v>
      </c>
      <c r="HO230" s="198">
        <v>1457.4816328973973</v>
      </c>
      <c r="HP230" s="198"/>
      <c r="HQ230" s="198">
        <f t="shared" si="16"/>
        <v>1619.4655732214403</v>
      </c>
      <c r="HR230" s="197">
        <v>53029.563999999998</v>
      </c>
      <c r="HT230" s="198">
        <v>30099.428</v>
      </c>
      <c r="HU230" s="198">
        <v>4242.42</v>
      </c>
      <c r="HV230" s="198">
        <v>10068.416999999999</v>
      </c>
      <c r="HW230" s="198">
        <v>2195.9859999999999</v>
      </c>
      <c r="HX230" s="198">
        <v>6423.3130000000001</v>
      </c>
    </row>
    <row r="231" spans="1:233">
      <c r="A231" s="185" t="s">
        <v>498</v>
      </c>
      <c r="B231" s="197">
        <v>2360.2739999999999</v>
      </c>
      <c r="C231" s="198"/>
      <c r="D231" s="198"/>
      <c r="E231" s="198"/>
      <c r="F231" s="198"/>
      <c r="G231" s="198"/>
      <c r="H231" s="199"/>
      <c r="I231" s="197">
        <v>96466.4</v>
      </c>
      <c r="J231" s="198"/>
      <c r="K231" s="198"/>
      <c r="L231" s="198">
        <v>10010.799999999999</v>
      </c>
      <c r="M231" s="198">
        <v>11741.3</v>
      </c>
      <c r="N231" s="198"/>
      <c r="O231" s="199">
        <f>[3]arg!$G97</f>
        <v>52627.7</v>
      </c>
      <c r="P231" s="198">
        <v>6006.3469999999998</v>
      </c>
      <c r="Q231" s="198">
        <v>48.735999999999997</v>
      </c>
      <c r="R231" s="198">
        <v>536.74099999999999</v>
      </c>
      <c r="S231" s="198">
        <v>404.57799999999997</v>
      </c>
      <c r="T231" s="198">
        <v>3963.8780000000002</v>
      </c>
      <c r="U231" s="198"/>
      <c r="V231" s="199">
        <f t="shared" si="19"/>
        <v>1052.4139999999993</v>
      </c>
      <c r="W231" s="198">
        <v>4540.143</v>
      </c>
      <c r="X231" s="198">
        <v>116.809</v>
      </c>
      <c r="Y231" s="198">
        <v>974.38400000000001</v>
      </c>
      <c r="Z231" s="198">
        <v>365.69600000000003</v>
      </c>
      <c r="AA231" s="198">
        <v>2077.9319999999998</v>
      </c>
      <c r="AB231" s="198"/>
      <c r="AC231" s="199">
        <f t="shared" si="14"/>
        <v>1005.3220000000001</v>
      </c>
      <c r="AD231" s="198"/>
      <c r="AE231" s="198">
        <v>21.38</v>
      </c>
      <c r="AF231" s="198">
        <v>267.72300000000001</v>
      </c>
      <c r="AG231" s="198">
        <v>465.66800000000001</v>
      </c>
      <c r="AH231" s="198">
        <v>303.89800000000002</v>
      </c>
      <c r="AI231" s="198"/>
      <c r="AJ231" s="198"/>
      <c r="AK231" s="197"/>
      <c r="AL231" s="198"/>
      <c r="AM231" s="198"/>
      <c r="AN231" s="198"/>
      <c r="AO231" s="198"/>
      <c r="AP231" s="198"/>
      <c r="AQ231" s="199"/>
      <c r="AR231" s="198">
        <v>697581.41692895</v>
      </c>
      <c r="AS231" s="198">
        <v>153543.29561141998</v>
      </c>
      <c r="AT231" s="198">
        <v>75473.37257028</v>
      </c>
      <c r="AU231" s="198">
        <v>34733.026329319997</v>
      </c>
      <c r="AV231" s="198">
        <v>228048.22001840005</v>
      </c>
      <c r="AW231" s="198"/>
      <c r="AX231" s="198">
        <v>205783.50239953003</v>
      </c>
      <c r="AY231" s="197">
        <v>50929300.853199005</v>
      </c>
      <c r="AZ231" s="198"/>
      <c r="BA231" s="198">
        <v>33778611.860038005</v>
      </c>
      <c r="BB231" s="198">
        <v>10583666.711352</v>
      </c>
      <c r="BC231" s="198">
        <v>6567022.2818090003</v>
      </c>
      <c r="BD231" s="198"/>
      <c r="BE231" s="198"/>
      <c r="BF231" s="197">
        <v>93940773.699999988</v>
      </c>
      <c r="BG231" s="198"/>
      <c r="BH231" s="198">
        <v>59494215.439999998</v>
      </c>
      <c r="BI231" s="198">
        <v>7724697.0899999999</v>
      </c>
      <c r="BJ231" s="198">
        <v>25088313.029999994</v>
      </c>
      <c r="BK231" s="198">
        <v>1633548.14</v>
      </c>
      <c r="BL231" s="198"/>
      <c r="BM231" s="197">
        <v>4390325.324</v>
      </c>
      <c r="BN231" s="198">
        <v>245005.91800000001</v>
      </c>
      <c r="BO231" s="198">
        <v>269110.31900000002</v>
      </c>
      <c r="BP231" s="198">
        <v>1052558.791</v>
      </c>
      <c r="BQ231" s="198">
        <v>1177494.2479999999</v>
      </c>
      <c r="BR231" s="198"/>
      <c r="BS231" s="198">
        <f t="shared" si="2"/>
        <v>1646156.0480000004</v>
      </c>
      <c r="BT231" s="197"/>
      <c r="BU231" s="198"/>
      <c r="BV231" s="198"/>
      <c r="BW231" s="198"/>
      <c r="BX231" s="198"/>
      <c r="BY231" s="198"/>
      <c r="BZ231" s="198"/>
      <c r="CA231" s="197">
        <v>600.37599999999998</v>
      </c>
      <c r="CB231" s="198"/>
      <c r="CC231" s="198"/>
      <c r="CD231" s="198"/>
      <c r="CE231" s="198"/>
      <c r="CF231" s="198"/>
      <c r="CG231" s="198"/>
      <c r="CH231" s="197"/>
      <c r="CI231" s="198"/>
      <c r="CJ231" s="198">
        <v>4214247.6054400001</v>
      </c>
      <c r="CK231" s="198"/>
      <c r="CL231" s="198">
        <v>2699892.3649900001</v>
      </c>
      <c r="CM231" s="198">
        <v>824674.24328000005</v>
      </c>
      <c r="CN231" s="198"/>
      <c r="CO231" s="197">
        <v>7833.1864700000006</v>
      </c>
      <c r="CP231" s="198">
        <v>742.62387000000001</v>
      </c>
      <c r="CQ231" s="198">
        <v>1287.3361499999999</v>
      </c>
      <c r="CR231" s="198">
        <v>1861.89166</v>
      </c>
      <c r="CS231" s="198">
        <v>1671.1902</v>
      </c>
      <c r="CT231" s="198"/>
      <c r="CU231" s="198">
        <v>2270.1445900000008</v>
      </c>
      <c r="CV231" s="197">
        <v>1377.17</v>
      </c>
      <c r="CW231" s="198"/>
      <c r="CX231" s="198"/>
      <c r="CY231" s="198"/>
      <c r="CZ231" s="198"/>
      <c r="DA231" s="198"/>
      <c r="DB231" s="198"/>
      <c r="DC231" s="197">
        <v>49409.854978000003</v>
      </c>
      <c r="DD231" s="198"/>
      <c r="DE231" s="198"/>
      <c r="DF231" s="198"/>
      <c r="DG231" s="198"/>
      <c r="DH231" s="198"/>
      <c r="DI231" s="198"/>
      <c r="DJ231" s="197">
        <f>2601.1+41694.9</f>
        <v>44296</v>
      </c>
      <c r="DK231" s="198">
        <f>2130.9+10398.5</f>
        <v>12529.4</v>
      </c>
      <c r="DL231" s="198">
        <f>1822.7+9317.1</f>
        <v>11139.800000000001</v>
      </c>
      <c r="DM231" s="198">
        <v>3488</v>
      </c>
      <c r="DN231" s="198">
        <f>11292.1-DM231</f>
        <v>7804.1</v>
      </c>
      <c r="DO231" s="198"/>
      <c r="DP231" s="198">
        <f t="shared" si="20"/>
        <v>9334.6999999999971</v>
      </c>
      <c r="DQ231" s="197"/>
      <c r="DR231" s="198"/>
      <c r="DS231" s="198"/>
      <c r="DT231" s="198"/>
      <c r="DU231" s="198"/>
      <c r="DV231" s="198"/>
      <c r="DW231" s="198"/>
      <c r="DX231" s="197">
        <v>87482.00301</v>
      </c>
      <c r="DY231" s="198"/>
      <c r="DZ231" s="198">
        <v>63015.470890000004</v>
      </c>
      <c r="EA231" s="198">
        <v>11616.238230000001</v>
      </c>
      <c r="EB231" s="198">
        <v>11513.032949999999</v>
      </c>
      <c r="EC231" s="198"/>
      <c r="ED231" s="198">
        <v>1337.2609299999999</v>
      </c>
      <c r="EE231" s="198"/>
      <c r="EF231" s="198"/>
      <c r="EG231" s="198"/>
      <c r="EH231" s="198"/>
      <c r="EI231" s="198"/>
      <c r="EJ231" s="198"/>
      <c r="EK231" s="199"/>
      <c r="EL231" s="198">
        <v>1314161.5786910001</v>
      </c>
      <c r="EM231" s="198">
        <v>490455.86259400001</v>
      </c>
      <c r="EN231" s="198">
        <v>51141.019727000006</v>
      </c>
      <c r="EO231" s="198">
        <v>227485.63402400003</v>
      </c>
      <c r="EP231" s="198">
        <v>356185.33155400003</v>
      </c>
      <c r="EQ231" s="198"/>
      <c r="ER231" s="199">
        <v>188783.69033099999</v>
      </c>
      <c r="ES231" s="198">
        <v>30707.462567310002</v>
      </c>
      <c r="ET231" s="198">
        <v>3107.0991707100002</v>
      </c>
      <c r="EU231" s="198">
        <v>8273.6902660300002</v>
      </c>
      <c r="EV231" s="198">
        <v>4078.24358063</v>
      </c>
      <c r="EW231" s="198">
        <v>9103.8817414500008</v>
      </c>
      <c r="EX231" s="198"/>
      <c r="EY231" s="199">
        <f t="shared" si="6"/>
        <v>6144.5478084900005</v>
      </c>
      <c r="EZ231" s="198">
        <v>16938</v>
      </c>
      <c r="FA231" s="198">
        <v>681</v>
      </c>
      <c r="FB231" s="198">
        <v>4278</v>
      </c>
      <c r="FC231" s="198">
        <v>4704</v>
      </c>
      <c r="FD231" s="198">
        <v>3598</v>
      </c>
      <c r="FE231" s="198">
        <v>40</v>
      </c>
      <c r="FF231" s="198">
        <f t="shared" si="17"/>
        <v>3677</v>
      </c>
      <c r="FG231" s="197">
        <v>9415931.0308699999</v>
      </c>
      <c r="FH231" s="198">
        <v>1155460.7022999998</v>
      </c>
      <c r="FI231" s="198">
        <v>2014691.016516</v>
      </c>
      <c r="FJ231" s="198"/>
      <c r="FK231" s="198">
        <v>824248.70540699991</v>
      </c>
      <c r="FL231" s="198"/>
      <c r="FM231" s="198">
        <f t="shared" si="18"/>
        <v>5421530.6066469997</v>
      </c>
      <c r="FN231" s="197">
        <v>47707.152999999998</v>
      </c>
      <c r="FO231" s="198">
        <v>10129.593999999999</v>
      </c>
      <c r="FP231" s="198">
        <v>7142.69</v>
      </c>
      <c r="FQ231" s="198">
        <v>6874.8270000000002</v>
      </c>
      <c r="FR231" s="198">
        <v>7816.8379999999997</v>
      </c>
      <c r="FS231" s="198"/>
      <c r="FT231" s="199">
        <f t="shared" si="7"/>
        <v>15743.203999999998</v>
      </c>
      <c r="FU231" s="197"/>
      <c r="FV231" s="198"/>
      <c r="FW231" s="198"/>
      <c r="FX231" s="198"/>
      <c r="FY231" s="198"/>
      <c r="FZ231" s="198"/>
      <c r="GA231" s="199"/>
      <c r="GB231" s="197">
        <v>1775.866</v>
      </c>
      <c r="GC231" s="198"/>
      <c r="GD231" s="198"/>
      <c r="GE231" s="198"/>
      <c r="GF231" s="198"/>
      <c r="GG231" s="198"/>
      <c r="GH231" s="199"/>
      <c r="GI231" s="197">
        <v>958.91</v>
      </c>
      <c r="GJ231" s="198"/>
      <c r="GK231" s="198"/>
      <c r="GL231" s="198"/>
      <c r="GM231" s="198"/>
      <c r="GN231" s="198"/>
      <c r="GO231" s="199"/>
      <c r="GP231" s="197">
        <v>2630.3049999999998</v>
      </c>
      <c r="GQ231" s="198"/>
      <c r="GR231" s="198"/>
      <c r="GS231" s="198"/>
      <c r="GT231" s="198"/>
      <c r="GU231" s="198"/>
      <c r="GV231" s="199"/>
      <c r="GW231" s="197">
        <f>[2]sur!P15</f>
        <v>1465.7</v>
      </c>
      <c r="GX231" s="198">
        <f>[2]sur!Q15</f>
        <v>111.1</v>
      </c>
      <c r="GY231" s="198">
        <f>[2]sur!R15</f>
        <v>366.59999999999997</v>
      </c>
      <c r="GZ231" s="198">
        <f>[2]sur!S15</f>
        <v>180.1</v>
      </c>
      <c r="HA231" s="198"/>
      <c r="HB231" s="198"/>
      <c r="HC231" s="199">
        <f>[2]sur!V15</f>
        <v>807.9</v>
      </c>
      <c r="HD231" s="197"/>
      <c r="HE231" s="198"/>
      <c r="HF231" s="198"/>
      <c r="HG231" s="198"/>
      <c r="HH231" s="198"/>
      <c r="HI231" s="198"/>
      <c r="HJ231" s="199"/>
      <c r="HK231" s="197">
        <v>4535</v>
      </c>
      <c r="HL231" s="198">
        <v>1011.3974203016027</v>
      </c>
      <c r="HM231" s="198">
        <v>369.40249951935601</v>
      </c>
      <c r="HN231" s="198">
        <v>59.664703254000521</v>
      </c>
      <c r="HO231" s="198">
        <v>1475.4201213956965</v>
      </c>
      <c r="HP231" s="198"/>
      <c r="HQ231" s="198">
        <f t="shared" si="16"/>
        <v>1619.1152555293445</v>
      </c>
      <c r="HR231" s="197">
        <v>56211.96</v>
      </c>
      <c r="HT231" s="198">
        <v>31792.988000000001</v>
      </c>
      <c r="HU231" s="198">
        <v>4539.0010000000002</v>
      </c>
      <c r="HV231" s="198">
        <v>10801.369000000001</v>
      </c>
      <c r="HW231" s="198">
        <v>2344.6410000000001</v>
      </c>
      <c r="HX231" s="198">
        <v>6733.9610000000002</v>
      </c>
    </row>
    <row r="232" spans="1:233">
      <c r="A232" s="185" t="s">
        <v>499</v>
      </c>
      <c r="B232" s="197">
        <v>2398.0709999999999</v>
      </c>
      <c r="C232" s="198"/>
      <c r="D232" s="198"/>
      <c r="E232" s="198"/>
      <c r="F232" s="198"/>
      <c r="G232" s="198"/>
      <c r="H232" s="199"/>
      <c r="I232" s="197">
        <v>99754.8</v>
      </c>
      <c r="J232" s="198"/>
      <c r="K232" s="198"/>
      <c r="L232" s="198">
        <v>10015.200000000001</v>
      </c>
      <c r="M232" s="198">
        <v>12388.7</v>
      </c>
      <c r="N232" s="198"/>
      <c r="O232" s="199">
        <f>[3]arg!$G98</f>
        <v>54401.9</v>
      </c>
      <c r="P232" s="198">
        <v>6066.02</v>
      </c>
      <c r="Q232" s="198">
        <v>48.076999999999998</v>
      </c>
      <c r="R232" s="198">
        <v>537.95000000000005</v>
      </c>
      <c r="S232" s="198">
        <v>457.274</v>
      </c>
      <c r="T232" s="198">
        <v>3957.9940000000001</v>
      </c>
      <c r="U232" s="198"/>
      <c r="V232" s="199">
        <f t="shared" si="19"/>
        <v>1064.7249999999999</v>
      </c>
      <c r="W232" s="198">
        <v>4613.4809999999998</v>
      </c>
      <c r="X232" s="198">
        <v>118.05200000000001</v>
      </c>
      <c r="Y232" s="198">
        <v>995.90200000000004</v>
      </c>
      <c r="Z232" s="198">
        <v>361.94299999999998</v>
      </c>
      <c r="AA232" s="198">
        <v>2112.7759999999998</v>
      </c>
      <c r="AB232" s="198"/>
      <c r="AC232" s="199">
        <f t="shared" si="14"/>
        <v>1024.808</v>
      </c>
      <c r="AD232" s="198"/>
      <c r="AE232" s="198">
        <v>21.873999999999999</v>
      </c>
      <c r="AF232" s="198">
        <v>270.19200000000001</v>
      </c>
      <c r="AG232" s="198">
        <v>472.255</v>
      </c>
      <c r="AH232" s="198">
        <v>313.28100000000001</v>
      </c>
      <c r="AI232" s="198"/>
      <c r="AJ232" s="198"/>
      <c r="AK232" s="197"/>
      <c r="AL232" s="198"/>
      <c r="AM232" s="198"/>
      <c r="AN232" s="198"/>
      <c r="AO232" s="198"/>
      <c r="AP232" s="198"/>
      <c r="AQ232" s="199"/>
      <c r="AR232" s="198">
        <v>717045.45257634006</v>
      </c>
      <c r="AS232" s="198">
        <v>157284.02547644</v>
      </c>
      <c r="AT232" s="198">
        <v>78096.387078450003</v>
      </c>
      <c r="AU232" s="198">
        <v>35245.604265620001</v>
      </c>
      <c r="AV232" s="198">
        <v>233651.11482370002</v>
      </c>
      <c r="AW232" s="198"/>
      <c r="AX232" s="198">
        <v>212768.32093213007</v>
      </c>
      <c r="AY232" s="197">
        <v>51755011.3486</v>
      </c>
      <c r="AZ232" s="198"/>
      <c r="BA232" s="198">
        <v>34368782.760799997</v>
      </c>
      <c r="BB232" s="198">
        <v>10695628.4165</v>
      </c>
      <c r="BC232" s="198">
        <v>6690600.1710000001</v>
      </c>
      <c r="BD232" s="198"/>
      <c r="BE232" s="198"/>
      <c r="BF232" s="197">
        <v>96602726.270000011</v>
      </c>
      <c r="BG232" s="198"/>
      <c r="BH232" s="198">
        <v>61311314.510000005</v>
      </c>
      <c r="BI232" s="198">
        <v>7672428.5600000015</v>
      </c>
      <c r="BJ232" s="198">
        <v>25957693.880000006</v>
      </c>
      <c r="BK232" s="198">
        <v>1661289.32</v>
      </c>
      <c r="BL232" s="198"/>
      <c r="BM232" s="197">
        <v>4513455.2910000002</v>
      </c>
      <c r="BN232" s="198">
        <v>254393.96299999999</v>
      </c>
      <c r="BO232" s="198">
        <v>272682.31699999998</v>
      </c>
      <c r="BP232" s="198">
        <v>1129915.825</v>
      </c>
      <c r="BQ232" s="198">
        <v>1190319.953</v>
      </c>
      <c r="BR232" s="198"/>
      <c r="BS232" s="198">
        <f t="shared" si="2"/>
        <v>1666143.233</v>
      </c>
      <c r="BT232" s="197"/>
      <c r="BU232" s="198"/>
      <c r="BV232" s="198"/>
      <c r="BW232" s="198"/>
      <c r="BX232" s="198"/>
      <c r="BY232" s="198"/>
      <c r="BZ232" s="198"/>
      <c r="CA232" s="197">
        <v>610.23299999999995</v>
      </c>
      <c r="CB232" s="198"/>
      <c r="CC232" s="198"/>
      <c r="CD232" s="198"/>
      <c r="CE232" s="198"/>
      <c r="CF232" s="198"/>
      <c r="CG232" s="198"/>
      <c r="CH232" s="197"/>
      <c r="CI232" s="198"/>
      <c r="CJ232" s="198">
        <v>4317386.0627299994</v>
      </c>
      <c r="CK232" s="198"/>
      <c r="CL232" s="198">
        <v>2779644.9566800003</v>
      </c>
      <c r="CM232" s="198">
        <v>854884.68073999998</v>
      </c>
      <c r="CN232" s="198"/>
      <c r="CO232" s="197">
        <v>7983.8213599999999</v>
      </c>
      <c r="CP232" s="198">
        <v>756.20925</v>
      </c>
      <c r="CQ232" s="198">
        <v>1308.31241</v>
      </c>
      <c r="CR232" s="198">
        <v>1886.6956599999999</v>
      </c>
      <c r="CS232" s="198">
        <v>1704.04233</v>
      </c>
      <c r="CT232" s="198"/>
      <c r="CU232" s="198">
        <v>2328.5617099999999</v>
      </c>
      <c r="CV232" s="197">
        <v>1405.297</v>
      </c>
      <c r="CW232" s="198"/>
      <c r="CX232" s="198"/>
      <c r="CY232" s="198"/>
      <c r="CZ232" s="198"/>
      <c r="DA232" s="198"/>
      <c r="DB232" s="198"/>
      <c r="DC232" s="197">
        <v>51198.250667</v>
      </c>
      <c r="DD232" s="198"/>
      <c r="DE232" s="198"/>
      <c r="DF232" s="198"/>
      <c r="DG232" s="198"/>
      <c r="DH232" s="198"/>
      <c r="DI232" s="198"/>
      <c r="DJ232" s="197">
        <f>1662.7+41906.3</f>
        <v>43569</v>
      </c>
      <c r="DK232" s="198">
        <f>1197.8+10080.9</f>
        <v>11278.699999999999</v>
      </c>
      <c r="DL232" s="198">
        <f>1913.9+9393</f>
        <v>11306.9</v>
      </c>
      <c r="DM232" s="198">
        <v>3731.9</v>
      </c>
      <c r="DN232" s="198">
        <f>11827.9-DM232</f>
        <v>8096</v>
      </c>
      <c r="DO232" s="198"/>
      <c r="DP232" s="198">
        <f t="shared" si="20"/>
        <v>9155.5</v>
      </c>
      <c r="DQ232" s="197"/>
      <c r="DR232" s="198"/>
      <c r="DS232" s="198"/>
      <c r="DT232" s="198"/>
      <c r="DU232" s="198"/>
      <c r="DV232" s="198"/>
      <c r="DW232" s="198"/>
      <c r="DX232" s="197">
        <v>89727.306750000003</v>
      </c>
      <c r="DY232" s="198"/>
      <c r="DZ232" s="198">
        <v>64231.614630000004</v>
      </c>
      <c r="EA232" s="198">
        <v>11927.78111</v>
      </c>
      <c r="EB232" s="198">
        <v>12107.280480000001</v>
      </c>
      <c r="EC232" s="198"/>
      <c r="ED232" s="198">
        <v>1460.6305300000001</v>
      </c>
      <c r="EE232" s="198"/>
      <c r="EF232" s="198"/>
      <c r="EG232" s="198"/>
      <c r="EH232" s="198"/>
      <c r="EI232" s="198"/>
      <c r="EJ232" s="198"/>
      <c r="EK232" s="199"/>
      <c r="EL232" s="198">
        <v>1347654.5719609999</v>
      </c>
      <c r="EM232" s="198">
        <v>506387.45037000004</v>
      </c>
      <c r="EN232" s="198">
        <v>53367.933323000005</v>
      </c>
      <c r="EO232" s="198">
        <v>228178.05970400001</v>
      </c>
      <c r="EP232" s="198">
        <v>370107.82942999993</v>
      </c>
      <c r="EQ232" s="198"/>
      <c r="ER232" s="199">
        <v>189470.434504</v>
      </c>
      <c r="ES232" s="198">
        <v>31466.528581800001</v>
      </c>
      <c r="ET232" s="198">
        <v>3111.7789133000001</v>
      </c>
      <c r="EU232" s="198">
        <v>8707.8998014000008</v>
      </c>
      <c r="EV232" s="198">
        <v>4160.9071094600004</v>
      </c>
      <c r="EW232" s="198">
        <v>9206.9900432899994</v>
      </c>
      <c r="EX232" s="198"/>
      <c r="EY232" s="199">
        <f t="shared" si="6"/>
        <v>6278.9527143499981</v>
      </c>
      <c r="EZ232" s="198">
        <v>17086</v>
      </c>
      <c r="FA232" s="198">
        <v>669</v>
      </c>
      <c r="FB232" s="198">
        <v>4336</v>
      </c>
      <c r="FC232" s="198">
        <v>4761</v>
      </c>
      <c r="FD232" s="198">
        <v>3642</v>
      </c>
      <c r="FE232" s="198">
        <v>40</v>
      </c>
      <c r="FF232" s="198">
        <f t="shared" si="17"/>
        <v>3678</v>
      </c>
      <c r="FG232" s="197">
        <v>9475364.7791210003</v>
      </c>
      <c r="FH232" s="198">
        <v>1189183.411992</v>
      </c>
      <c r="FI232" s="198">
        <v>2103008.4742970001</v>
      </c>
      <c r="FJ232" s="198"/>
      <c r="FK232" s="198">
        <v>823368.05994800001</v>
      </c>
      <c r="FL232" s="198"/>
      <c r="FM232" s="198">
        <f t="shared" si="18"/>
        <v>5359804.8328840006</v>
      </c>
      <c r="FN232" s="197">
        <v>49248.379000000001</v>
      </c>
      <c r="FO232" s="198">
        <v>10559.618</v>
      </c>
      <c r="FP232" s="198">
        <v>7369.2960000000003</v>
      </c>
      <c r="FQ232" s="198">
        <v>7009.3609999999999</v>
      </c>
      <c r="FR232" s="198">
        <v>8043.8729999999996</v>
      </c>
      <c r="FS232" s="198"/>
      <c r="FT232" s="199">
        <f t="shared" si="7"/>
        <v>16266.231</v>
      </c>
      <c r="FU232" s="197"/>
      <c r="FV232" s="198"/>
      <c r="FW232" s="198"/>
      <c r="FX232" s="198"/>
      <c r="FY232" s="198"/>
      <c r="FZ232" s="198"/>
      <c r="GA232" s="199"/>
      <c r="GB232" s="197">
        <v>1814.0840000000001</v>
      </c>
      <c r="GC232" s="198"/>
      <c r="GD232" s="198"/>
      <c r="GE232" s="198"/>
      <c r="GF232" s="198"/>
      <c r="GG232" s="198"/>
      <c r="GH232" s="199"/>
      <c r="GI232" s="197">
        <v>969.46</v>
      </c>
      <c r="GJ232" s="198"/>
      <c r="GK232" s="198"/>
      <c r="GL232" s="198"/>
      <c r="GM232" s="198"/>
      <c r="GN232" s="198"/>
      <c r="GO232" s="199"/>
      <c r="GP232" s="197">
        <v>2662.4560000000001</v>
      </c>
      <c r="GQ232" s="198"/>
      <c r="GR232" s="198"/>
      <c r="GS232" s="198"/>
      <c r="GT232" s="198"/>
      <c r="GU232" s="198"/>
      <c r="GV232" s="199"/>
      <c r="GW232" s="197">
        <f>[2]sur!P16</f>
        <v>1500.3000000000002</v>
      </c>
      <c r="GX232" s="198">
        <f>[2]sur!Q16</f>
        <v>112.3</v>
      </c>
      <c r="GY232" s="198">
        <f>[2]sur!R16</f>
        <v>373.1</v>
      </c>
      <c r="GZ232" s="198">
        <f>[2]sur!S16</f>
        <v>183</v>
      </c>
      <c r="HA232" s="198"/>
      <c r="HB232" s="198"/>
      <c r="HC232" s="199">
        <f>[2]sur!V16</f>
        <v>831.90000000000009</v>
      </c>
      <c r="HD232" s="197"/>
      <c r="HE232" s="198"/>
      <c r="HF232" s="198"/>
      <c r="HG232" s="198"/>
      <c r="HH232" s="198"/>
      <c r="HI232" s="198"/>
      <c r="HJ232" s="199"/>
      <c r="HK232" s="197">
        <v>4491</v>
      </c>
      <c r="HL232" s="198">
        <v>1054.7785451926122</v>
      </c>
      <c r="HM232" s="198">
        <v>375.21730497142278</v>
      </c>
      <c r="HN232" s="198">
        <v>65.509919535072811</v>
      </c>
      <c r="HO232" s="198">
        <v>1462.5088418084654</v>
      </c>
      <c r="HP232" s="198"/>
      <c r="HQ232" s="198">
        <f t="shared" si="16"/>
        <v>1532.9853884924271</v>
      </c>
      <c r="HR232" s="197">
        <v>61453.658000000003</v>
      </c>
      <c r="HT232" s="198">
        <v>35330.686999999998</v>
      </c>
      <c r="HU232" s="198">
        <v>4973.8239999999996</v>
      </c>
      <c r="HV232" s="198">
        <v>11535.075000000001</v>
      </c>
      <c r="HW232" s="198">
        <v>2525.5450000000001</v>
      </c>
      <c r="HX232" s="198">
        <v>7088.527</v>
      </c>
    </row>
    <row r="233" spans="1:233">
      <c r="A233" s="202" t="s">
        <v>500</v>
      </c>
      <c r="B233" s="203">
        <v>2438.8850000000002</v>
      </c>
      <c r="C233" s="204">
        <v>55.735999999999997</v>
      </c>
      <c r="D233" s="204">
        <v>403.04500000000002</v>
      </c>
      <c r="E233" s="204">
        <v>607.53800000000001</v>
      </c>
      <c r="F233" s="204">
        <v>540.40899999999999</v>
      </c>
      <c r="G233" s="204"/>
      <c r="H233" s="205">
        <v>832.15700000000004</v>
      </c>
      <c r="I233" s="203">
        <v>99940</v>
      </c>
      <c r="J233" s="204"/>
      <c r="K233" s="204"/>
      <c r="L233" s="204">
        <v>10345.4</v>
      </c>
      <c r="M233" s="204">
        <v>12716</v>
      </c>
      <c r="N233" s="204"/>
      <c r="O233" s="205">
        <f>[3]arg!$G99</f>
        <v>54770.2</v>
      </c>
      <c r="P233" s="204">
        <v>6071.3360000000002</v>
      </c>
      <c r="Q233" s="204">
        <v>51.662999999999997</v>
      </c>
      <c r="R233" s="204">
        <v>529.93999999999994</v>
      </c>
      <c r="S233" s="204">
        <v>412.32400000000001</v>
      </c>
      <c r="T233" s="204">
        <v>4078.04</v>
      </c>
      <c r="U233" s="204"/>
      <c r="V233" s="205">
        <f>P233-Q233-R233-S233-T233</f>
        <v>999.36900000000151</v>
      </c>
      <c r="W233" s="204">
        <v>4853.4920000000002</v>
      </c>
      <c r="X233" s="204">
        <v>134.51300000000001</v>
      </c>
      <c r="Y233" s="204">
        <v>978.29300000000001</v>
      </c>
      <c r="Z233" s="204">
        <v>363.49900000000002</v>
      </c>
      <c r="AA233" s="204">
        <v>2162.0140000000001</v>
      </c>
      <c r="AB233" s="204"/>
      <c r="AC233" s="205">
        <f t="shared" si="14"/>
        <v>1215.1729999999998</v>
      </c>
      <c r="AD233" s="204"/>
      <c r="AE233" s="204">
        <v>24.614000000000001</v>
      </c>
      <c r="AF233" s="204">
        <v>259.58100000000002</v>
      </c>
      <c r="AG233" s="204">
        <v>478.63699999999994</v>
      </c>
      <c r="AH233" s="204">
        <v>322.18200000000002</v>
      </c>
      <c r="AI233" s="204"/>
      <c r="AJ233" s="204"/>
      <c r="AK233" s="203">
        <v>28920.3135</v>
      </c>
      <c r="AL233" s="204"/>
      <c r="AM233" s="204">
        <v>14442.967500000001</v>
      </c>
      <c r="AN233" s="204">
        <v>6560.6970000000001</v>
      </c>
      <c r="AO233" s="204">
        <v>2550.4050000000002</v>
      </c>
      <c r="AP233" s="204">
        <v>5366.2440000000006</v>
      </c>
      <c r="AQ233" s="205"/>
      <c r="AR233" s="204">
        <v>732589.65311499988</v>
      </c>
      <c r="AS233" s="204">
        <v>164581.41708614002</v>
      </c>
      <c r="AT233" s="204">
        <v>78432.627580269982</v>
      </c>
      <c r="AU233" s="204">
        <v>35689.445131040004</v>
      </c>
      <c r="AV233" s="204">
        <v>235815.58741935994</v>
      </c>
      <c r="AW233" s="204"/>
      <c r="AX233" s="204">
        <v>218070.57589818991</v>
      </c>
      <c r="AY233" s="203">
        <v>52782245.042762004</v>
      </c>
      <c r="AZ233" s="204"/>
      <c r="BA233" s="204">
        <v>35196395.579686001</v>
      </c>
      <c r="BB233" s="204">
        <v>10799629.433653001</v>
      </c>
      <c r="BC233" s="204">
        <v>6786220.0294230003</v>
      </c>
      <c r="BD233" s="204"/>
      <c r="BE233" s="204"/>
      <c r="BF233" s="203">
        <v>98438087.800000012</v>
      </c>
      <c r="BG233" s="204"/>
      <c r="BH233" s="204">
        <v>62358017.970000006</v>
      </c>
      <c r="BI233" s="204">
        <v>7539524.7599999988</v>
      </c>
      <c r="BJ233" s="204">
        <v>26857905.130000006</v>
      </c>
      <c r="BK233" s="204">
        <v>1682639.94</v>
      </c>
      <c r="BL233" s="204"/>
      <c r="BM233" s="203">
        <v>4676631.0240000002</v>
      </c>
      <c r="BN233" s="204">
        <v>265168.77800000005</v>
      </c>
      <c r="BO233" s="204">
        <v>466776.386</v>
      </c>
      <c r="BP233" s="204">
        <v>1199911.42</v>
      </c>
      <c r="BQ233" s="204">
        <v>1194409.6040000001</v>
      </c>
      <c r="BR233" s="204"/>
      <c r="BS233" s="204">
        <f t="shared" si="2"/>
        <v>1550364.8360000001</v>
      </c>
      <c r="BT233" s="203"/>
      <c r="BU233" s="204"/>
      <c r="BV233" s="204"/>
      <c r="BW233" s="204"/>
      <c r="BX233" s="204"/>
      <c r="BY233" s="204"/>
      <c r="BZ233" s="204"/>
      <c r="CA233" s="203">
        <v>601.39300000000003</v>
      </c>
      <c r="CB233" s="204">
        <v>34.726999999999997</v>
      </c>
      <c r="CC233" s="204">
        <v>95.677000000000007</v>
      </c>
      <c r="CD233" s="204">
        <v>221.29599999999999</v>
      </c>
      <c r="CE233" s="204">
        <v>124.113</v>
      </c>
      <c r="CF233" s="204"/>
      <c r="CG233" s="204">
        <f>CA233-CB233-CC233-CD233-CE233</f>
        <v>125.58000000000004</v>
      </c>
      <c r="CH233" s="203">
        <v>9211784.5417400002</v>
      </c>
      <c r="CI233" s="204"/>
      <c r="CJ233" s="204">
        <v>4419246.4388100011</v>
      </c>
      <c r="CK233" s="204">
        <v>1076130.02936</v>
      </c>
      <c r="CL233" s="204">
        <v>2845218.1381799998</v>
      </c>
      <c r="CM233" s="204">
        <v>871189.93539</v>
      </c>
      <c r="CN233" s="204"/>
      <c r="CO233" s="203">
        <v>8115.4830500000016</v>
      </c>
      <c r="CP233" s="204">
        <v>776.33285999999998</v>
      </c>
      <c r="CQ233" s="204">
        <v>1321.7424099999998</v>
      </c>
      <c r="CR233" s="204">
        <v>1899.7787900000001</v>
      </c>
      <c r="CS233" s="204">
        <v>1694.7398700000001</v>
      </c>
      <c r="CT233" s="204"/>
      <c r="CU233" s="204">
        <v>2422.8891200000021</v>
      </c>
      <c r="CV233" s="203">
        <v>1436.327</v>
      </c>
      <c r="CW233" s="204">
        <v>30.547000000000001</v>
      </c>
      <c r="CX233" s="204">
        <v>234.53399999999999</v>
      </c>
      <c r="CY233" s="204">
        <v>518.66899999999998</v>
      </c>
      <c r="CZ233" s="204">
        <v>327.08600000000001</v>
      </c>
      <c r="DA233" s="204"/>
      <c r="DB233" s="204">
        <f>CV233-CW233-CX233-CY233-CZ233</f>
        <v>325.4910000000001</v>
      </c>
      <c r="DC233" s="203">
        <v>52650.328450000001</v>
      </c>
      <c r="DD233" s="204"/>
      <c r="DE233" s="204"/>
      <c r="DF233" s="204"/>
      <c r="DG233" s="204"/>
      <c r="DH233" s="204"/>
      <c r="DI233" s="204"/>
      <c r="DJ233" s="203">
        <f>1057.9+43545.3</f>
        <v>44603.200000000004</v>
      </c>
      <c r="DK233" s="204">
        <f>937.2+10145.1</f>
        <v>11082.300000000001</v>
      </c>
      <c r="DL233" s="204">
        <f>1964.8+9767.8</f>
        <v>11732.599999999999</v>
      </c>
      <c r="DM233" s="204">
        <v>3759.1</v>
      </c>
      <c r="DN233" s="204">
        <f>12513.3-DM233</f>
        <v>8754.1999999999989</v>
      </c>
      <c r="DO233" s="204"/>
      <c r="DP233" s="204">
        <f t="shared" si="20"/>
        <v>9275.0000000000073</v>
      </c>
      <c r="DQ233" s="203"/>
      <c r="DR233" s="204"/>
      <c r="DS233" s="204"/>
      <c r="DT233" s="204"/>
      <c r="DU233" s="204"/>
      <c r="DV233" s="204"/>
      <c r="DW233" s="204"/>
      <c r="DX233" s="203">
        <v>92575.316299999991</v>
      </c>
      <c r="DY233" s="204"/>
      <c r="DZ233" s="204">
        <v>65707.768920000002</v>
      </c>
      <c r="EA233" s="204">
        <v>12503.79464</v>
      </c>
      <c r="EB233" s="204">
        <v>12700.239589999999</v>
      </c>
      <c r="EC233" s="204"/>
      <c r="ED233" s="204">
        <v>1663.5131399999998</v>
      </c>
      <c r="EE233" s="204">
        <v>153449.16699999999</v>
      </c>
      <c r="EF233" s="204">
        <v>7534.5609999999997</v>
      </c>
      <c r="EG233" s="204">
        <v>36473.977999999996</v>
      </c>
      <c r="EH233" s="204">
        <v>8045.5370000000003</v>
      </c>
      <c r="EI233" s="204">
        <v>55957.491000000002</v>
      </c>
      <c r="EJ233" s="204"/>
      <c r="EK233" s="205">
        <f>EE233-EF233-EG233-EH233-EI233</f>
        <v>45437.599999999999</v>
      </c>
      <c r="EL233" s="204">
        <v>1383457.9146749999</v>
      </c>
      <c r="EM233" s="204">
        <v>528958.351517</v>
      </c>
      <c r="EN233" s="204">
        <v>56855.418431999991</v>
      </c>
      <c r="EO233" s="204">
        <v>233573.14041399999</v>
      </c>
      <c r="EP233" s="204">
        <v>375347.45496300003</v>
      </c>
      <c r="EQ233" s="204"/>
      <c r="ER233" s="205">
        <v>188625.84736600003</v>
      </c>
      <c r="ES233" s="204">
        <v>31941.771799900001</v>
      </c>
      <c r="ET233" s="204">
        <v>3127.08975014</v>
      </c>
      <c r="EU233" s="204">
        <v>8807.5775280300004</v>
      </c>
      <c r="EV233" s="204">
        <v>4228.6976955700002</v>
      </c>
      <c r="EW233" s="204">
        <v>9418.0190528400017</v>
      </c>
      <c r="EX233" s="204"/>
      <c r="EY233" s="205">
        <f t="shared" si="6"/>
        <v>6360.3877733199988</v>
      </c>
      <c r="EZ233" s="204">
        <v>16609</v>
      </c>
      <c r="FA233" s="204">
        <v>651</v>
      </c>
      <c r="FB233" s="204">
        <v>3970</v>
      </c>
      <c r="FC233" s="204">
        <v>4834</v>
      </c>
      <c r="FD233" s="204">
        <v>3674</v>
      </c>
      <c r="FE233" s="204">
        <v>41</v>
      </c>
      <c r="FF233" s="204">
        <f t="shared" si="17"/>
        <v>3480</v>
      </c>
      <c r="FG233" s="203">
        <v>9459079.2001450006</v>
      </c>
      <c r="FH233" s="204">
        <v>1191791.1777649999</v>
      </c>
      <c r="FI233" s="204">
        <v>2072911.8238609999</v>
      </c>
      <c r="FJ233" s="204"/>
      <c r="FK233" s="204">
        <v>808287.72655800008</v>
      </c>
      <c r="FL233" s="204"/>
      <c r="FM233" s="204">
        <f t="shared" ref="FM233:FM240" si="21">FG233-SUM(FH233:FK233)</f>
        <v>5386088.4719610009</v>
      </c>
      <c r="FN233" s="203">
        <v>50338.756999999998</v>
      </c>
      <c r="FO233" s="204">
        <v>10895.17</v>
      </c>
      <c r="FP233" s="204">
        <v>7271.2619999999997</v>
      </c>
      <c r="FQ233" s="204">
        <v>7064.7780000000002</v>
      </c>
      <c r="FR233" s="204">
        <v>8284.07</v>
      </c>
      <c r="FS233" s="204"/>
      <c r="FT233" s="205">
        <f t="shared" si="7"/>
        <v>16823.476999999999</v>
      </c>
      <c r="FU233" s="203">
        <v>242730.51593368992</v>
      </c>
      <c r="FV233" s="204">
        <v>19329.654066639989</v>
      </c>
      <c r="FW233" s="204">
        <v>44043.303211210019</v>
      </c>
      <c r="FX233" s="204">
        <v>45193.348883890023</v>
      </c>
      <c r="FY233" s="204">
        <v>59733.654901059876</v>
      </c>
      <c r="FZ233" s="204"/>
      <c r="GA233" s="205">
        <f>FU233-FV233-FW233-FX233-FY233</f>
        <v>74430.554870890046</v>
      </c>
      <c r="GB233" s="203">
        <v>1825.3209999999999</v>
      </c>
      <c r="GC233" s="204">
        <v>23.867000000000001</v>
      </c>
      <c r="GD233" s="204">
        <v>203.828</v>
      </c>
      <c r="GE233" s="204">
        <v>344.59300000000002</v>
      </c>
      <c r="GF233" s="204">
        <v>273.15499999999997</v>
      </c>
      <c r="GG233" s="204"/>
      <c r="GH233" s="205">
        <f>GB233-GC233-GD233-GE233-GF233</f>
        <v>979.87799999999993</v>
      </c>
      <c r="GI233" s="203">
        <v>1003.304</v>
      </c>
      <c r="GJ233" s="204">
        <v>38.481999999999999</v>
      </c>
      <c r="GK233" s="204">
        <v>124.14</v>
      </c>
      <c r="GL233" s="204">
        <v>360.20100000000002</v>
      </c>
      <c r="GM233" s="204">
        <v>169.43</v>
      </c>
      <c r="GN233" s="204"/>
      <c r="GO233" s="205">
        <f>GI233-GJ233-GK233-GL233-GM233</f>
        <v>311.05099999999999</v>
      </c>
      <c r="GP233" s="203">
        <v>2732.7330000000002</v>
      </c>
      <c r="GQ233" s="204">
        <v>67.287999999999997</v>
      </c>
      <c r="GR233" s="204">
        <v>742.21400000000006</v>
      </c>
      <c r="GS233" s="204">
        <v>503.28899999999999</v>
      </c>
      <c r="GT233" s="204">
        <v>524.91800000000001</v>
      </c>
      <c r="GU233" s="204"/>
      <c r="GV233" s="205">
        <f>GP233-GQ233-GR233-GS233-GT233</f>
        <v>895.02400000000023</v>
      </c>
      <c r="GW233" s="203">
        <f>[2]sur!P17</f>
        <v>1530.6999999999998</v>
      </c>
      <c r="GX233" s="204">
        <f>[2]sur!Q17</f>
        <v>106.69999999999999</v>
      </c>
      <c r="GY233" s="204">
        <f>[2]sur!R17</f>
        <v>385.4</v>
      </c>
      <c r="GZ233" s="204">
        <f>[2]sur!S17</f>
        <v>192.2</v>
      </c>
      <c r="HA233" s="204"/>
      <c r="HB233" s="204"/>
      <c r="HC233" s="205">
        <f>[2]sur!V17</f>
        <v>846.39999999999986</v>
      </c>
      <c r="HD233" s="203">
        <f>'[2]t&amp;t'!W365</f>
        <v>33603</v>
      </c>
      <c r="HE233" s="204">
        <f>'[2]t&amp;t'!X365</f>
        <v>2575.8000000000002</v>
      </c>
      <c r="HF233" s="204">
        <f>'[2]t&amp;t'!Y365</f>
        <v>3367.5</v>
      </c>
      <c r="HG233" s="204">
        <f>'[2]t&amp;t'!Z365</f>
        <v>5400.2</v>
      </c>
      <c r="HH233" s="204">
        <f>'[2]t&amp;t'!AA365</f>
        <v>10088.4</v>
      </c>
      <c r="HI233" s="204"/>
      <c r="HJ233" s="205">
        <f>'[2]t&amp;t'!AC365</f>
        <v>12171.1</v>
      </c>
      <c r="HK233" s="203">
        <v>4607</v>
      </c>
      <c r="HL233" s="204">
        <v>1112.5591952092825</v>
      </c>
      <c r="HM233" s="204">
        <v>420.02794584343894</v>
      </c>
      <c r="HN233" s="204">
        <v>60.144891775829791</v>
      </c>
      <c r="HO233" s="204">
        <v>1531.3064032073014</v>
      </c>
      <c r="HP233" s="204"/>
      <c r="HQ233" s="204">
        <f t="shared" si="16"/>
        <v>1482.9615639641472</v>
      </c>
      <c r="HR233" s="197">
        <v>63772.696000000004</v>
      </c>
      <c r="HS233" s="206"/>
      <c r="HT233" s="204">
        <v>35693.491999999998</v>
      </c>
      <c r="HU233" s="204">
        <v>5343.8739999999998</v>
      </c>
      <c r="HV233" s="204">
        <v>12583.716</v>
      </c>
      <c r="HW233" s="204">
        <v>2686.502</v>
      </c>
      <c r="HX233" s="204">
        <v>7465.1120000000001</v>
      </c>
      <c r="HY233" s="198"/>
    </row>
    <row r="234" spans="1:233">
      <c r="A234" s="185" t="s">
        <v>674</v>
      </c>
      <c r="B234" s="197">
        <v>2489.433</v>
      </c>
      <c r="C234" s="198"/>
      <c r="D234" s="198"/>
      <c r="E234" s="198"/>
      <c r="F234" s="198"/>
      <c r="G234" s="198"/>
      <c r="H234" s="199"/>
      <c r="I234" s="197">
        <v>100673.1</v>
      </c>
      <c r="J234" s="198"/>
      <c r="K234" s="198"/>
      <c r="L234" s="198">
        <v>10479.4</v>
      </c>
      <c r="M234" s="198">
        <v>13287</v>
      </c>
      <c r="N234" s="198"/>
      <c r="O234" s="199">
        <f>[3]arg!$G100</f>
        <v>55519.6</v>
      </c>
      <c r="P234" s="198">
        <v>6045.4589999999998</v>
      </c>
      <c r="Q234" s="198">
        <v>54.764000000000003</v>
      </c>
      <c r="R234" s="198">
        <v>519.66800000000001</v>
      </c>
      <c r="S234" s="198">
        <v>408.09300000000002</v>
      </c>
      <c r="T234" s="198">
        <v>4083.0509999999999</v>
      </c>
      <c r="U234" s="198"/>
      <c r="V234" s="199">
        <f t="shared" ref="V234:V295" si="22">P234-Q234-R234-S234-T234</f>
        <v>979.88300000000027</v>
      </c>
      <c r="W234" s="198">
        <v>4750.8789999999999</v>
      </c>
      <c r="X234" s="198">
        <v>136.405</v>
      </c>
      <c r="Y234" s="198">
        <v>1003.5350000000001</v>
      </c>
      <c r="Z234" s="198">
        <v>365.779</v>
      </c>
      <c r="AA234" s="198">
        <v>2177.924</v>
      </c>
      <c r="AB234" s="198"/>
      <c r="AC234" s="199">
        <f t="shared" si="14"/>
        <v>1067.2360000000003</v>
      </c>
      <c r="AD234" s="198"/>
      <c r="AE234" s="198">
        <v>23.96</v>
      </c>
      <c r="AF234" s="198">
        <v>259.11500000000001</v>
      </c>
      <c r="AG234" s="198">
        <v>485.93599999999998</v>
      </c>
      <c r="AH234" s="198">
        <v>329.11799999999999</v>
      </c>
      <c r="AI234" s="198"/>
      <c r="AJ234" s="198"/>
      <c r="AK234" s="197"/>
      <c r="AL234" s="198"/>
      <c r="AM234" s="198"/>
      <c r="AN234" s="198"/>
      <c r="AO234" s="198"/>
      <c r="AP234" s="198"/>
      <c r="AQ234" s="199"/>
      <c r="AR234" s="198">
        <v>738455.56963831</v>
      </c>
      <c r="AS234" s="198">
        <v>165397.25932017001</v>
      </c>
      <c r="AT234" s="198">
        <v>75056.280145289988</v>
      </c>
      <c r="AU234" s="198">
        <v>36661.772768919996</v>
      </c>
      <c r="AV234" s="198">
        <v>240694.56294783001</v>
      </c>
      <c r="AW234" s="198"/>
      <c r="AX234" s="198">
        <v>220645.6944561</v>
      </c>
      <c r="AY234" s="197">
        <v>53450293.980483003</v>
      </c>
      <c r="AZ234" s="198"/>
      <c r="BA234" s="198">
        <v>35657064.612493001</v>
      </c>
      <c r="BB234" s="198">
        <v>10928960.487229001</v>
      </c>
      <c r="BC234" s="198">
        <v>6864268.8807610003</v>
      </c>
      <c r="BD234" s="198"/>
      <c r="BE234" s="198"/>
      <c r="BF234" s="197">
        <v>99653044.37000002</v>
      </c>
      <c r="BG234" s="198"/>
      <c r="BH234" s="198">
        <v>62717032.940000013</v>
      </c>
      <c r="BI234" s="198">
        <v>7759073.4900000012</v>
      </c>
      <c r="BJ234" s="198">
        <v>27460572.430000003</v>
      </c>
      <c r="BK234" s="198">
        <v>1716365.51</v>
      </c>
      <c r="BL234" s="198"/>
      <c r="BM234" s="197">
        <v>4733887.8660000004</v>
      </c>
      <c r="BN234" s="198">
        <v>210857.731</v>
      </c>
      <c r="BO234" s="198">
        <v>443520.46600000001</v>
      </c>
      <c r="BP234" s="198">
        <v>1277798.1009999998</v>
      </c>
      <c r="BQ234" s="198">
        <v>1351377.3840000001</v>
      </c>
      <c r="BR234" s="198"/>
      <c r="BS234" s="198">
        <f t="shared" si="2"/>
        <v>1450334.1840000004</v>
      </c>
      <c r="BT234" s="197"/>
      <c r="BU234" s="198"/>
      <c r="BV234" s="198"/>
      <c r="BW234" s="198"/>
      <c r="BX234" s="198"/>
      <c r="BY234" s="198"/>
      <c r="BZ234" s="198"/>
      <c r="CA234" s="197">
        <v>604.49</v>
      </c>
      <c r="CB234" s="198"/>
      <c r="CC234" s="198"/>
      <c r="CD234" s="198"/>
      <c r="CE234" s="198"/>
      <c r="CF234" s="198"/>
      <c r="CG234" s="198"/>
      <c r="CH234" s="197">
        <v>9350431.2108900007</v>
      </c>
      <c r="CI234" s="198"/>
      <c r="CJ234" s="198">
        <v>4453894.0010400005</v>
      </c>
      <c r="CK234" s="198">
        <v>1101659.0358899999</v>
      </c>
      <c r="CL234" s="198">
        <v>2919447.1667500003</v>
      </c>
      <c r="CM234" s="198">
        <v>875431.00720999984</v>
      </c>
      <c r="CN234" s="198"/>
      <c r="CO234" s="197">
        <v>8168.5497876999989</v>
      </c>
      <c r="CP234" s="198">
        <v>791.07644430000005</v>
      </c>
      <c r="CQ234" s="198">
        <v>1339.8753576999998</v>
      </c>
      <c r="CR234" s="198">
        <v>1911.3897656000001</v>
      </c>
      <c r="CS234" s="198">
        <v>1720.4073354000002</v>
      </c>
      <c r="CT234" s="198"/>
      <c r="CU234" s="198">
        <v>2405.8008846999983</v>
      </c>
      <c r="CV234" s="197">
        <v>1452.01</v>
      </c>
      <c r="CW234" s="198"/>
      <c r="CX234" s="198"/>
      <c r="CY234" s="198"/>
      <c r="CZ234" s="198"/>
      <c r="DA234" s="198"/>
      <c r="DB234" s="198"/>
      <c r="DC234" s="197">
        <v>53142.863052000001</v>
      </c>
      <c r="DD234" s="198"/>
      <c r="DE234" s="198"/>
      <c r="DF234" s="198"/>
      <c r="DG234" s="198"/>
      <c r="DH234" s="198"/>
      <c r="DI234" s="198"/>
      <c r="DJ234" s="197">
        <f>2341.7+43309.9</f>
        <v>45651.6</v>
      </c>
      <c r="DK234" s="198">
        <f>1904.3+10417.9</f>
        <v>12322.199999999999</v>
      </c>
      <c r="DL234" s="198">
        <f>2146.6+9480.6</f>
        <v>11627.2</v>
      </c>
      <c r="DM234" s="198">
        <f>3939.5</f>
        <v>3939.5</v>
      </c>
      <c r="DN234" s="198">
        <f>12389-DM234</f>
        <v>8449.5</v>
      </c>
      <c r="DO234" s="198"/>
      <c r="DP234" s="198">
        <f t="shared" si="20"/>
        <v>9313.1999999999971</v>
      </c>
      <c r="DQ234" s="197"/>
      <c r="DR234" s="198"/>
      <c r="DS234" s="198"/>
      <c r="DT234" s="198"/>
      <c r="DU234" s="198"/>
      <c r="DV234" s="198"/>
      <c r="DW234" s="198"/>
      <c r="DX234" s="197">
        <v>95012.351620000001</v>
      </c>
      <c r="DY234" s="198"/>
      <c r="DZ234" s="198">
        <v>67108.177890000006</v>
      </c>
      <c r="EA234" s="198">
        <v>13065.970509999999</v>
      </c>
      <c r="EB234" s="198">
        <v>13098.226259999999</v>
      </c>
      <c r="EC234" s="198"/>
      <c r="ED234" s="198">
        <v>1739.97696</v>
      </c>
      <c r="EE234" s="198"/>
      <c r="EF234" s="198"/>
      <c r="EG234" s="198"/>
      <c r="EH234" s="198"/>
      <c r="EI234" s="198"/>
      <c r="EJ234" s="198"/>
      <c r="EK234" s="199"/>
      <c r="EL234" s="198">
        <v>1387485.1221809997</v>
      </c>
      <c r="EM234" s="198">
        <v>537159.21907400014</v>
      </c>
      <c r="EN234" s="198">
        <v>56195.458761000002</v>
      </c>
      <c r="EO234" s="198">
        <v>224605.58099300001</v>
      </c>
      <c r="EP234" s="198">
        <v>374685.50022999995</v>
      </c>
      <c r="EQ234" s="198"/>
      <c r="ER234" s="199">
        <v>195015.66259699999</v>
      </c>
      <c r="ES234" s="198">
        <v>32640.23397963</v>
      </c>
      <c r="ET234" s="198">
        <v>2910.7268061300001</v>
      </c>
      <c r="EU234" s="198">
        <v>9162.9806165999998</v>
      </c>
      <c r="EV234" s="198">
        <v>4339.8617444800002</v>
      </c>
      <c r="EW234" s="198">
        <v>9685.2234598199993</v>
      </c>
      <c r="EX234" s="198"/>
      <c r="EY234" s="199">
        <f t="shared" si="6"/>
        <v>6541.4413526000044</v>
      </c>
      <c r="EZ234" s="198">
        <v>16761</v>
      </c>
      <c r="FA234" s="198">
        <v>681</v>
      </c>
      <c r="FB234" s="198">
        <v>4350</v>
      </c>
      <c r="FC234" s="198">
        <v>4550</v>
      </c>
      <c r="FD234" s="198">
        <v>3714</v>
      </c>
      <c r="FE234" s="198">
        <v>41</v>
      </c>
      <c r="FF234" s="198">
        <f t="shared" si="17"/>
        <v>3466</v>
      </c>
      <c r="FG234" s="197">
        <v>9553774.1170230005</v>
      </c>
      <c r="FH234" s="198">
        <v>966642.8297319999</v>
      </c>
      <c r="FI234" s="198">
        <v>2638217.683859</v>
      </c>
      <c r="FJ234" s="198"/>
      <c r="FK234" s="198">
        <v>834723.61261800001</v>
      </c>
      <c r="FL234" s="198"/>
      <c r="FM234" s="198">
        <f t="shared" si="21"/>
        <v>5114189.9908140004</v>
      </c>
      <c r="FN234" s="197">
        <v>50507.6</v>
      </c>
      <c r="FO234" s="198">
        <v>11087.602999999999</v>
      </c>
      <c r="FP234" s="198">
        <v>7129.1009999999997</v>
      </c>
      <c r="FQ234" s="198">
        <v>7148.4160000000002</v>
      </c>
      <c r="FR234" s="198">
        <v>8486.3989999999994</v>
      </c>
      <c r="FS234" s="198"/>
      <c r="FT234" s="199">
        <f t="shared" si="7"/>
        <v>16656.080999999998</v>
      </c>
      <c r="FU234" s="197"/>
      <c r="FV234" s="198"/>
      <c r="FW234" s="198"/>
      <c r="FX234" s="198"/>
      <c r="FY234" s="198"/>
      <c r="FZ234" s="198"/>
      <c r="GA234" s="199"/>
      <c r="GB234" s="197">
        <v>1839.0820000000001</v>
      </c>
      <c r="GC234" s="198"/>
      <c r="GD234" s="198"/>
      <c r="GE234" s="198"/>
      <c r="GF234" s="198"/>
      <c r="GG234" s="198"/>
      <c r="GH234" s="199"/>
      <c r="GI234" s="197">
        <v>995.298</v>
      </c>
      <c r="GJ234" s="198"/>
      <c r="GK234" s="198"/>
      <c r="GL234" s="198"/>
      <c r="GM234" s="198"/>
      <c r="GN234" s="198"/>
      <c r="GO234" s="199"/>
      <c r="GP234" s="197">
        <v>2788.9479999999999</v>
      </c>
      <c r="GQ234" s="198"/>
      <c r="GR234" s="198"/>
      <c r="GS234" s="198"/>
      <c r="GT234" s="198"/>
      <c r="GU234" s="198"/>
      <c r="GV234" s="199"/>
      <c r="GW234" s="197">
        <f>[2]sur!P18</f>
        <v>1536</v>
      </c>
      <c r="GX234" s="198">
        <f>[2]sur!Q18</f>
        <v>107.5</v>
      </c>
      <c r="GY234" s="198">
        <f>[2]sur!R18</f>
        <v>387.5</v>
      </c>
      <c r="GZ234" s="198">
        <f>[2]sur!S18</f>
        <v>196.4</v>
      </c>
      <c r="HA234" s="198"/>
      <c r="HB234" s="198"/>
      <c r="HC234" s="199">
        <f>[2]sur!V18</f>
        <v>844.60000000000014</v>
      </c>
      <c r="HD234" s="197"/>
      <c r="HE234" s="198"/>
      <c r="HF234" s="198"/>
      <c r="HG234" s="198"/>
      <c r="HH234" s="198"/>
      <c r="HI234" s="198"/>
      <c r="HJ234" s="199"/>
      <c r="HK234" s="197">
        <v>4542</v>
      </c>
      <c r="HL234" s="198">
        <v>1107.2308500159359</v>
      </c>
      <c r="HM234" s="198">
        <v>407.89434730336262</v>
      </c>
      <c r="HN234" s="198">
        <v>58.91503441704441</v>
      </c>
      <c r="HO234" s="198">
        <v>1547.2632049842848</v>
      </c>
      <c r="HP234" s="198"/>
      <c r="HQ234" s="198">
        <f t="shared" si="16"/>
        <v>1420.696563279372</v>
      </c>
      <c r="HR234" s="197">
        <v>63673.195</v>
      </c>
      <c r="HT234" s="198">
        <v>34672.739000000001</v>
      </c>
      <c r="HU234" s="198">
        <v>5493.8289999999997</v>
      </c>
      <c r="HV234" s="198">
        <v>13287.127</v>
      </c>
      <c r="HW234" s="198">
        <v>2761.84</v>
      </c>
      <c r="HX234" s="198">
        <v>7457.66</v>
      </c>
    </row>
    <row r="235" spans="1:233">
      <c r="A235" s="185" t="s">
        <v>490</v>
      </c>
      <c r="B235" s="197">
        <v>2536.9119999999998</v>
      </c>
      <c r="C235" s="198"/>
      <c r="D235" s="198"/>
      <c r="E235" s="198"/>
      <c r="F235" s="198"/>
      <c r="G235" s="198"/>
      <c r="H235" s="199"/>
      <c r="I235" s="197">
        <v>102464.4</v>
      </c>
      <c r="J235" s="198"/>
      <c r="K235" s="198"/>
      <c r="L235" s="198">
        <v>10727.2</v>
      </c>
      <c r="M235" s="198">
        <v>13802.1</v>
      </c>
      <c r="N235" s="198"/>
      <c r="O235" s="199">
        <f>[3]arg!$G101</f>
        <v>56569.4</v>
      </c>
      <c r="P235" s="198">
        <v>6103.22</v>
      </c>
      <c r="Q235" s="198">
        <v>52.792000000000002</v>
      </c>
      <c r="R235" s="198">
        <v>506.18899999999996</v>
      </c>
      <c r="S235" s="198">
        <v>412.48899999999998</v>
      </c>
      <c r="T235" s="198">
        <v>4121.8440000000001</v>
      </c>
      <c r="U235" s="198"/>
      <c r="V235" s="199">
        <f t="shared" si="22"/>
        <v>1009.9059999999999</v>
      </c>
      <c r="W235" s="198">
        <v>4805.7039999999997</v>
      </c>
      <c r="X235" s="198">
        <v>136.21799999999999</v>
      </c>
      <c r="Y235" s="198">
        <v>1010.5310000000001</v>
      </c>
      <c r="Z235" s="198">
        <v>357.07499999999999</v>
      </c>
      <c r="AA235" s="198">
        <v>2186.4949999999999</v>
      </c>
      <c r="AB235" s="198"/>
      <c r="AC235" s="199">
        <f t="shared" si="14"/>
        <v>1115.3850000000002</v>
      </c>
      <c r="AD235" s="198"/>
      <c r="AE235" s="198">
        <v>24.966999999999999</v>
      </c>
      <c r="AF235" s="198">
        <v>257.83100000000002</v>
      </c>
      <c r="AG235" s="198">
        <v>487.09100000000001</v>
      </c>
      <c r="AH235" s="198">
        <v>329.75799999999998</v>
      </c>
      <c r="AI235" s="198"/>
      <c r="AJ235" s="198"/>
      <c r="AK235" s="197"/>
      <c r="AL235" s="198"/>
      <c r="AM235" s="198"/>
      <c r="AN235" s="198"/>
      <c r="AO235" s="198"/>
      <c r="AP235" s="198"/>
      <c r="AQ235" s="199"/>
      <c r="AR235" s="198">
        <v>748518.16486385989</v>
      </c>
      <c r="AS235" s="198">
        <v>167304.86244254999</v>
      </c>
      <c r="AT235" s="198">
        <v>77739.410989920012</v>
      </c>
      <c r="AU235" s="198">
        <v>37154.39846532001</v>
      </c>
      <c r="AV235" s="198">
        <v>244757.37575715999</v>
      </c>
      <c r="AW235" s="198"/>
      <c r="AX235" s="198">
        <v>221562.11720890985</v>
      </c>
      <c r="AY235" s="197">
        <v>53969482.941725001</v>
      </c>
      <c r="AZ235" s="198"/>
      <c r="BA235" s="198">
        <v>35973999.793727003</v>
      </c>
      <c r="BB235" s="198">
        <v>11070237.555175999</v>
      </c>
      <c r="BC235" s="198">
        <v>6925245.5928220004</v>
      </c>
      <c r="BD235" s="198"/>
      <c r="BE235" s="198"/>
      <c r="BF235" s="197">
        <v>102028725.29000001</v>
      </c>
      <c r="BG235" s="198"/>
      <c r="BH235" s="198">
        <v>64165588.829999998</v>
      </c>
      <c r="BI235" s="198">
        <v>7955338.8499999987</v>
      </c>
      <c r="BJ235" s="198">
        <v>28176139.640000001</v>
      </c>
      <c r="BK235" s="198">
        <v>1731657.97</v>
      </c>
      <c r="BL235" s="198"/>
      <c r="BM235" s="197">
        <v>4803704.0199999996</v>
      </c>
      <c r="BN235" s="198">
        <v>284167.07</v>
      </c>
      <c r="BO235" s="198">
        <v>610022.87100000004</v>
      </c>
      <c r="BP235" s="198">
        <v>1419854.29</v>
      </c>
      <c r="BQ235" s="198">
        <v>1225443.078</v>
      </c>
      <c r="BR235" s="198"/>
      <c r="BS235" s="198">
        <f t="shared" si="2"/>
        <v>1264216.7109999992</v>
      </c>
      <c r="BT235" s="197"/>
      <c r="BU235" s="198"/>
      <c r="BV235" s="198"/>
      <c r="BW235" s="198"/>
      <c r="BX235" s="198"/>
      <c r="BY235" s="198"/>
      <c r="BZ235" s="198"/>
      <c r="CA235" s="197">
        <v>604.54200000000003</v>
      </c>
      <c r="CB235" s="198"/>
      <c r="CC235" s="198"/>
      <c r="CD235" s="198"/>
      <c r="CE235" s="198"/>
      <c r="CF235" s="198"/>
      <c r="CG235" s="198"/>
      <c r="CH235" s="197">
        <v>9381444.9208199997</v>
      </c>
      <c r="CI235" s="198"/>
      <c r="CJ235" s="198">
        <v>4429487.3383200001</v>
      </c>
      <c r="CK235" s="198">
        <v>1126675.50927</v>
      </c>
      <c r="CL235" s="198">
        <v>2944099.5331999995</v>
      </c>
      <c r="CM235" s="198">
        <v>881182.54003000003</v>
      </c>
      <c r="CN235" s="198"/>
      <c r="CO235" s="197">
        <v>8179.3743599999989</v>
      </c>
      <c r="CP235" s="198">
        <v>789.71289999999999</v>
      </c>
      <c r="CQ235" s="198">
        <v>1340.93049</v>
      </c>
      <c r="CR235" s="198">
        <v>1954.9447399999999</v>
      </c>
      <c r="CS235" s="198">
        <v>1769.5116599999999</v>
      </c>
      <c r="CT235" s="198"/>
      <c r="CU235" s="198">
        <v>2324.2745699999982</v>
      </c>
      <c r="CV235" s="197">
        <v>1465.547</v>
      </c>
      <c r="CW235" s="198"/>
      <c r="CX235" s="198"/>
      <c r="CY235" s="198"/>
      <c r="CZ235" s="198"/>
      <c r="DA235" s="198"/>
      <c r="DB235" s="198"/>
      <c r="DC235" s="197">
        <v>55222.261825000001</v>
      </c>
      <c r="DD235" s="198"/>
      <c r="DE235" s="198"/>
      <c r="DF235" s="198"/>
      <c r="DG235" s="198"/>
      <c r="DH235" s="198"/>
      <c r="DI235" s="198"/>
      <c r="DJ235" s="197">
        <f>2670.8+43844.7</f>
        <v>46515.5</v>
      </c>
      <c r="DK235" s="198">
        <f>2045.9+10629.9</f>
        <v>12675.8</v>
      </c>
      <c r="DL235" s="198">
        <f>2141.8+9574.4</f>
        <v>11716.2</v>
      </c>
      <c r="DM235" s="198">
        <v>3968.9</v>
      </c>
      <c r="DN235" s="198">
        <f>12650.9-DM235</f>
        <v>8682</v>
      </c>
      <c r="DO235" s="198"/>
      <c r="DP235" s="198">
        <f t="shared" si="20"/>
        <v>9472.5999999999985</v>
      </c>
      <c r="DQ235" s="197"/>
      <c r="DR235" s="198"/>
      <c r="DS235" s="198"/>
      <c r="DT235" s="198"/>
      <c r="DU235" s="198"/>
      <c r="DV235" s="198"/>
      <c r="DW235" s="198"/>
      <c r="DX235" s="197">
        <v>96971.377059999999</v>
      </c>
      <c r="DY235" s="198"/>
      <c r="DZ235" s="198">
        <v>68320.677790000002</v>
      </c>
      <c r="EA235" s="198">
        <v>13462.510490000001</v>
      </c>
      <c r="EB235" s="198">
        <v>13396.717650000001</v>
      </c>
      <c r="EC235" s="198"/>
      <c r="ED235" s="198">
        <v>1791.4711399999999</v>
      </c>
      <c r="EE235" s="198"/>
      <c r="EF235" s="198"/>
      <c r="EG235" s="198"/>
      <c r="EH235" s="198"/>
      <c r="EI235" s="198"/>
      <c r="EJ235" s="198"/>
      <c r="EK235" s="199"/>
      <c r="EL235" s="198">
        <v>1414103.8862739999</v>
      </c>
      <c r="EM235" s="198">
        <v>549734.86570100009</v>
      </c>
      <c r="EN235" s="198">
        <v>57117.839747000005</v>
      </c>
      <c r="EO235" s="198">
        <v>229266.86373100002</v>
      </c>
      <c r="EP235" s="198">
        <v>382296.20981999999</v>
      </c>
      <c r="EQ235" s="198"/>
      <c r="ER235" s="199">
        <v>195686.63278200006</v>
      </c>
      <c r="ES235" s="198">
        <v>32940.575071710002</v>
      </c>
      <c r="ET235" s="198">
        <v>2923.0948648799999</v>
      </c>
      <c r="EU235" s="198">
        <v>9181.5943274099991</v>
      </c>
      <c r="EV235" s="198">
        <v>4424.6401870600002</v>
      </c>
      <c r="EW235" s="198">
        <v>9944.5885637700012</v>
      </c>
      <c r="EX235" s="198"/>
      <c r="EY235" s="199">
        <f t="shared" si="6"/>
        <v>6466.6571285900027</v>
      </c>
      <c r="EZ235" s="198">
        <v>17046</v>
      </c>
      <c r="FA235" s="198">
        <v>688</v>
      </c>
      <c r="FB235" s="198">
        <v>4376</v>
      </c>
      <c r="FC235" s="198">
        <v>4593</v>
      </c>
      <c r="FD235" s="198">
        <v>3763</v>
      </c>
      <c r="FE235" s="198">
        <v>42</v>
      </c>
      <c r="FF235" s="198">
        <f t="shared" si="17"/>
        <v>3626</v>
      </c>
      <c r="FG235" s="197">
        <v>9620609.813525999</v>
      </c>
      <c r="FH235" s="198">
        <v>1151200.469817</v>
      </c>
      <c r="FI235" s="198">
        <v>2043003.0703179999</v>
      </c>
      <c r="FJ235" s="198"/>
      <c r="FK235" s="198">
        <v>802614.11851900001</v>
      </c>
      <c r="FL235" s="198"/>
      <c r="FM235" s="198">
        <f t="shared" si="21"/>
        <v>5623792.1548719993</v>
      </c>
      <c r="FN235" s="197">
        <v>51156.057000000001</v>
      </c>
      <c r="FO235" s="198">
        <v>11212.376</v>
      </c>
      <c r="FP235" s="198">
        <v>7249.2349999999997</v>
      </c>
      <c r="FQ235" s="198">
        <v>7242.9740000000002</v>
      </c>
      <c r="FR235" s="198">
        <v>8678.7829999999994</v>
      </c>
      <c r="FS235" s="198"/>
      <c r="FT235" s="199">
        <f t="shared" si="7"/>
        <v>16772.688999999998</v>
      </c>
      <c r="FU235" s="197"/>
      <c r="FV235" s="198"/>
      <c r="FW235" s="198"/>
      <c r="FX235" s="198"/>
      <c r="FY235" s="198"/>
      <c r="FZ235" s="198"/>
      <c r="GA235" s="199"/>
      <c r="GB235" s="197">
        <v>1869.3040000000001</v>
      </c>
      <c r="GC235" s="198"/>
      <c r="GD235" s="198"/>
      <c r="GE235" s="198"/>
      <c r="GF235" s="198"/>
      <c r="GG235" s="198"/>
      <c r="GH235" s="199"/>
      <c r="GI235" s="197">
        <v>1004.374</v>
      </c>
      <c r="GJ235" s="198"/>
      <c r="GK235" s="198"/>
      <c r="GL235" s="198"/>
      <c r="GM235" s="198"/>
      <c r="GN235" s="198"/>
      <c r="GO235" s="199"/>
      <c r="GP235" s="197">
        <v>2824.1190000000001</v>
      </c>
      <c r="GQ235" s="198"/>
      <c r="GR235" s="198"/>
      <c r="GS235" s="198"/>
      <c r="GT235" s="198"/>
      <c r="GU235" s="198"/>
      <c r="GV235" s="199"/>
      <c r="GW235" s="197">
        <f>[2]sur!P19</f>
        <v>1573.3000000000002</v>
      </c>
      <c r="GX235" s="198">
        <f>[2]sur!Q19</f>
        <v>117.1</v>
      </c>
      <c r="GY235" s="198">
        <f>[2]sur!R19</f>
        <v>397.4</v>
      </c>
      <c r="GZ235" s="198">
        <f>[2]sur!S19</f>
        <v>200.79999999999998</v>
      </c>
      <c r="HA235" s="198"/>
      <c r="HB235" s="198"/>
      <c r="HC235" s="199">
        <f>[2]sur!V19</f>
        <v>858</v>
      </c>
      <c r="HD235" s="197"/>
      <c r="HE235" s="198"/>
      <c r="HF235" s="198"/>
      <c r="HG235" s="198"/>
      <c r="HH235" s="198"/>
      <c r="HI235" s="198"/>
      <c r="HJ235" s="199"/>
      <c r="HK235" s="197">
        <v>4557</v>
      </c>
      <c r="HL235" s="198">
        <v>1094.3510545255915</v>
      </c>
      <c r="HM235" s="198">
        <v>400.75466737401064</v>
      </c>
      <c r="HN235" s="198">
        <v>61.44166696397923</v>
      </c>
      <c r="HO235" s="198">
        <v>1538.7586024384073</v>
      </c>
      <c r="HP235" s="198"/>
      <c r="HQ235" s="198">
        <f t="shared" si="16"/>
        <v>1461.6940086980117</v>
      </c>
      <c r="HR235" s="197">
        <v>65684.464000000007</v>
      </c>
      <c r="HT235" s="198">
        <v>35537.06</v>
      </c>
      <c r="HU235" s="198">
        <v>5732.29</v>
      </c>
      <c r="HV235" s="198">
        <v>13906.063</v>
      </c>
      <c r="HW235" s="198">
        <v>2815.07</v>
      </c>
      <c r="HX235" s="198">
        <v>7693.9809999999998</v>
      </c>
    </row>
    <row r="236" spans="1:233">
      <c r="A236" s="185" t="s">
        <v>491</v>
      </c>
      <c r="B236" s="197">
        <v>2560.4470000000001</v>
      </c>
      <c r="C236" s="198">
        <v>53.414000000000001</v>
      </c>
      <c r="D236" s="198">
        <v>428.74099999999999</v>
      </c>
      <c r="E236" s="198">
        <v>611.57799999999997</v>
      </c>
      <c r="F236" s="198">
        <v>552.07299999999998</v>
      </c>
      <c r="G236" s="198"/>
      <c r="H236" s="199">
        <v>914.64099999999996</v>
      </c>
      <c r="I236" s="197">
        <v>103940.7</v>
      </c>
      <c r="J236" s="198"/>
      <c r="K236" s="198"/>
      <c r="L236" s="198">
        <v>10954.5</v>
      </c>
      <c r="M236" s="198">
        <v>14381.5</v>
      </c>
      <c r="N236" s="198"/>
      <c r="O236" s="199">
        <f>[3]arg!$G102</f>
        <v>57458.5</v>
      </c>
      <c r="P236" s="198">
        <v>6098.83</v>
      </c>
      <c r="Q236" s="198">
        <v>51.101999999999997</v>
      </c>
      <c r="R236" s="198">
        <v>506.38499999999999</v>
      </c>
      <c r="S236" s="198">
        <v>410.93200000000002</v>
      </c>
      <c r="T236" s="198">
        <v>4154.75</v>
      </c>
      <c r="U236" s="198"/>
      <c r="V236" s="199">
        <f t="shared" si="22"/>
        <v>975.66100000000006</v>
      </c>
      <c r="W236" s="198">
        <v>4871.0020000000004</v>
      </c>
      <c r="X236" s="198">
        <v>130.947</v>
      </c>
      <c r="Y236" s="198">
        <v>987.41</v>
      </c>
      <c r="Z236" s="198">
        <v>349.68099999999998</v>
      </c>
      <c r="AA236" s="198">
        <v>2206.337</v>
      </c>
      <c r="AB236" s="198"/>
      <c r="AC236" s="199">
        <f t="shared" si="14"/>
        <v>1196.6270000000004</v>
      </c>
      <c r="AD236" s="198"/>
      <c r="AE236" s="198">
        <v>26.516999999999999</v>
      </c>
      <c r="AF236" s="198">
        <v>270.14400000000001</v>
      </c>
      <c r="AG236" s="198">
        <v>492.65999999999997</v>
      </c>
      <c r="AH236" s="198">
        <v>319.654</v>
      </c>
      <c r="AI236" s="198"/>
      <c r="AJ236" s="198"/>
      <c r="AK236" s="197">
        <v>29284.885500000004</v>
      </c>
      <c r="AL236" s="198"/>
      <c r="AM236" s="198">
        <v>14324.6415</v>
      </c>
      <c r="AN236" s="198">
        <v>6717.3989999999994</v>
      </c>
      <c r="AO236" s="198">
        <v>2787.8564999999999</v>
      </c>
      <c r="AP236" s="198">
        <v>5454.9884999999995</v>
      </c>
      <c r="AQ236" s="199"/>
      <c r="AR236" s="198">
        <v>757467.05971251999</v>
      </c>
      <c r="AS236" s="198">
        <v>166941.80568898996</v>
      </c>
      <c r="AT236" s="198">
        <v>78917.440041440001</v>
      </c>
      <c r="AU236" s="198">
        <v>38043.624889269995</v>
      </c>
      <c r="AV236" s="198">
        <v>249669.00832982</v>
      </c>
      <c r="AW236" s="198"/>
      <c r="AX236" s="198">
        <v>223895.18076300004</v>
      </c>
      <c r="AY236" s="197">
        <v>54806421.631717995</v>
      </c>
      <c r="AZ236" s="198"/>
      <c r="BA236" s="198">
        <v>36512137.452395</v>
      </c>
      <c r="BB236" s="198">
        <v>11237238.72266</v>
      </c>
      <c r="BC236" s="198">
        <v>7057045.4566630004</v>
      </c>
      <c r="BD236" s="198"/>
      <c r="BE236" s="198"/>
      <c r="BF236" s="197">
        <v>104566944.01000001</v>
      </c>
      <c r="BG236" s="198"/>
      <c r="BH236" s="198">
        <v>65331922.120000005</v>
      </c>
      <c r="BI236" s="198">
        <v>8196680.6799999997</v>
      </c>
      <c r="BJ236" s="198">
        <v>29252585.670000002</v>
      </c>
      <c r="BK236" s="198">
        <v>1785755.54</v>
      </c>
      <c r="BL236" s="198"/>
      <c r="BM236" s="197">
        <v>4941205.6409999998</v>
      </c>
      <c r="BN236" s="198">
        <v>301424.82800000004</v>
      </c>
      <c r="BO236" s="198">
        <v>608461.696</v>
      </c>
      <c r="BP236" s="198">
        <v>1454592.8559999999</v>
      </c>
      <c r="BQ236" s="198">
        <v>1281848.517</v>
      </c>
      <c r="BR236" s="198"/>
      <c r="BS236" s="198">
        <f t="shared" si="2"/>
        <v>1294877.7439999999</v>
      </c>
      <c r="BT236" s="197"/>
      <c r="BU236" s="198"/>
      <c r="BV236" s="198"/>
      <c r="BW236" s="198"/>
      <c r="BX236" s="198"/>
      <c r="BY236" s="198"/>
      <c r="BZ236" s="198"/>
      <c r="CA236" s="197">
        <v>612.22799999999995</v>
      </c>
      <c r="CB236" s="198">
        <v>33.146999999999998</v>
      </c>
      <c r="CC236" s="198">
        <v>97.650999999999996</v>
      </c>
      <c r="CD236" s="198">
        <v>221.11199999999999</v>
      </c>
      <c r="CE236" s="198">
        <v>125.169</v>
      </c>
      <c r="CF236" s="198"/>
      <c r="CG236" s="198">
        <f>CA236-CB236-CC236-CD236-CE236</f>
        <v>135.14899999999989</v>
      </c>
      <c r="CH236" s="197">
        <v>9561860.6367499996</v>
      </c>
      <c r="CI236" s="198"/>
      <c r="CJ236" s="198">
        <v>4480311.1236500004</v>
      </c>
      <c r="CK236" s="198">
        <v>1167751.4490200002</v>
      </c>
      <c r="CL236" s="198">
        <v>3008127.0704099997</v>
      </c>
      <c r="CM236" s="198">
        <v>905670.99367</v>
      </c>
      <c r="CN236" s="198"/>
      <c r="CO236" s="197">
        <v>8265.6927300000007</v>
      </c>
      <c r="CP236" s="198">
        <v>840.21670999999992</v>
      </c>
      <c r="CQ236" s="198">
        <v>1339.0157199999999</v>
      </c>
      <c r="CR236" s="198">
        <v>1974.52882</v>
      </c>
      <c r="CS236" s="198">
        <v>1798.8046000000002</v>
      </c>
      <c r="CT236" s="198"/>
      <c r="CU236" s="198">
        <v>2313.1268800000007</v>
      </c>
      <c r="CV236" s="197">
        <v>1473.367</v>
      </c>
      <c r="CW236" s="198">
        <v>30.192</v>
      </c>
      <c r="CX236" s="198">
        <v>231.35499999999999</v>
      </c>
      <c r="CY236" s="198">
        <v>534.68299999999999</v>
      </c>
      <c r="CZ236" s="198">
        <v>333.80399999999997</v>
      </c>
      <c r="DA236" s="198"/>
      <c r="DB236" s="198">
        <f>CV236-CW236-CX236-CY236-CZ236</f>
        <v>343.33299999999997</v>
      </c>
      <c r="DC236" s="197">
        <v>56569.955688000002</v>
      </c>
      <c r="DD236" s="198">
        <v>6061.18</v>
      </c>
      <c r="DE236" s="198">
        <v>11558.965</v>
      </c>
      <c r="DF236" s="198"/>
      <c r="DG236" s="198">
        <v>15607.982</v>
      </c>
      <c r="DH236" s="198"/>
      <c r="DI236" s="198">
        <f t="shared" ref="DI236:DI293" si="23">DC236-DD236-DE236-DG236</f>
        <v>23341.828687999998</v>
      </c>
      <c r="DJ236" s="197">
        <f>2974.9+43908.5</f>
        <v>46883.4</v>
      </c>
      <c r="DK236" s="198">
        <f>2338.2+10394.8</f>
        <v>12733</v>
      </c>
      <c r="DL236" s="198">
        <f>2179.6+9908.9</f>
        <v>12088.5</v>
      </c>
      <c r="DM236" s="198">
        <v>3895.3</v>
      </c>
      <c r="DN236" s="198">
        <f>12259.5-DM236</f>
        <v>8364.2000000000007</v>
      </c>
      <c r="DO236" s="198"/>
      <c r="DP236" s="198">
        <f t="shared" si="20"/>
        <v>9802.4000000000015</v>
      </c>
      <c r="DQ236" s="197"/>
      <c r="DR236" s="198"/>
      <c r="DS236" s="198"/>
      <c r="DT236" s="198"/>
      <c r="DU236" s="198"/>
      <c r="DV236" s="198"/>
      <c r="DW236" s="198"/>
      <c r="DX236" s="197">
        <v>100242.81306</v>
      </c>
      <c r="DY236" s="198"/>
      <c r="DZ236" s="198">
        <v>70111.306580000004</v>
      </c>
      <c r="EA236" s="198">
        <v>14034.297789999999</v>
      </c>
      <c r="EB236" s="198">
        <v>14305.14841</v>
      </c>
      <c r="EC236" s="198"/>
      <c r="ED236" s="198">
        <v>1792.0602799999999</v>
      </c>
      <c r="EE236" s="198">
        <v>164106.07500000001</v>
      </c>
      <c r="EF236" s="198">
        <v>5963.415</v>
      </c>
      <c r="EG236" s="198">
        <v>40653.254000000001</v>
      </c>
      <c r="EH236" s="198">
        <v>9337.7819999999992</v>
      </c>
      <c r="EI236" s="198">
        <v>58747.419000000002</v>
      </c>
      <c r="EJ236" s="198"/>
      <c r="EK236" s="199">
        <f>EE236-EF236-EG236-EH236-EI236</f>
        <v>49404.205000000009</v>
      </c>
      <c r="EL236" s="198">
        <v>1423724.4441140001</v>
      </c>
      <c r="EM236" s="198">
        <v>559249.7778579999</v>
      </c>
      <c r="EN236" s="198">
        <v>61876.412226000008</v>
      </c>
      <c r="EO236" s="198">
        <v>234535.667502</v>
      </c>
      <c r="EP236" s="198">
        <v>391793.03979400004</v>
      </c>
      <c r="EQ236" s="198"/>
      <c r="ER236" s="199">
        <v>176269.546737</v>
      </c>
      <c r="ES236" s="198">
        <v>33439.140981719996</v>
      </c>
      <c r="ET236" s="198">
        <v>3000.13952724</v>
      </c>
      <c r="EU236" s="198">
        <v>9527.8729947699994</v>
      </c>
      <c r="EV236" s="198">
        <v>4522.5901526199996</v>
      </c>
      <c r="EW236" s="198">
        <v>10153.161321579999</v>
      </c>
      <c r="EX236" s="198"/>
      <c r="EY236" s="199">
        <f t="shared" si="6"/>
        <v>6235.3769855099963</v>
      </c>
      <c r="EZ236" s="198">
        <v>17383</v>
      </c>
      <c r="FA236" s="198">
        <v>683</v>
      </c>
      <c r="FB236" s="198">
        <v>4437</v>
      </c>
      <c r="FC236" s="198">
        <v>4642</v>
      </c>
      <c r="FD236" s="198">
        <v>3809</v>
      </c>
      <c r="FE236" s="198">
        <v>44</v>
      </c>
      <c r="FF236" s="198">
        <f t="shared" si="17"/>
        <v>3812</v>
      </c>
      <c r="FG236" s="197">
        <v>9599182.0031199995</v>
      </c>
      <c r="FH236" s="198">
        <v>1143598.7658859999</v>
      </c>
      <c r="FI236" s="198">
        <v>1969159.964312</v>
      </c>
      <c r="FJ236" s="198"/>
      <c r="FK236" s="198">
        <v>832484.55807299993</v>
      </c>
      <c r="FL236" s="198"/>
      <c r="FM236" s="198">
        <f t="shared" si="21"/>
        <v>5653938.7148489999</v>
      </c>
      <c r="FN236" s="197">
        <v>52454.411</v>
      </c>
      <c r="FO236" s="198">
        <v>11055.166999999999</v>
      </c>
      <c r="FP236" s="198">
        <v>7661.6419999999998</v>
      </c>
      <c r="FQ236" s="198">
        <v>7361.0050000000001</v>
      </c>
      <c r="FR236" s="198">
        <v>8914.3819999999996</v>
      </c>
      <c r="FS236" s="198"/>
      <c r="FT236" s="199">
        <f t="shared" si="7"/>
        <v>17462.214999999997</v>
      </c>
      <c r="FU236" s="197">
        <v>246963.12465109921</v>
      </c>
      <c r="FV236" s="198">
        <v>17956.931638912771</v>
      </c>
      <c r="FW236" s="198">
        <v>44926.471526748952</v>
      </c>
      <c r="FX236" s="198">
        <v>47741.394678564044</v>
      </c>
      <c r="FY236" s="198">
        <v>62770.137062079324</v>
      </c>
      <c r="FZ236" s="198"/>
      <c r="GA236" s="199">
        <f>FU236-FV236-FW236-FX236-FY236</f>
        <v>73568.189744794101</v>
      </c>
      <c r="GB236" s="197">
        <v>1915.2380000000001</v>
      </c>
      <c r="GC236" s="198">
        <v>24.771000000000001</v>
      </c>
      <c r="GD236" s="198">
        <v>199.70400000000001</v>
      </c>
      <c r="GE236" s="198">
        <v>354.14299999999997</v>
      </c>
      <c r="GF236" s="198">
        <v>293.23700000000002</v>
      </c>
      <c r="GG236" s="198"/>
      <c r="GH236" s="199">
        <f>GB236-GC236-GD236-GE236-GF236</f>
        <v>1043.383</v>
      </c>
      <c r="GI236" s="197">
        <v>1064.0940000000001</v>
      </c>
      <c r="GJ236" s="198">
        <v>38.527000000000001</v>
      </c>
      <c r="GK236" s="198">
        <v>127.506</v>
      </c>
      <c r="GL236" s="198">
        <v>367.45699999999999</v>
      </c>
      <c r="GM236" s="198">
        <v>172.685</v>
      </c>
      <c r="GN236" s="198"/>
      <c r="GO236" s="199">
        <f>GI236-GJ236-GK236-GL236-GM236</f>
        <v>357.91900000000004</v>
      </c>
      <c r="GP236" s="197">
        <v>2910.569</v>
      </c>
      <c r="GQ236" s="198">
        <v>71.070999999999998</v>
      </c>
      <c r="GR236" s="198">
        <v>792.64700000000005</v>
      </c>
      <c r="GS236" s="198">
        <v>512.65599999999995</v>
      </c>
      <c r="GT236" s="198">
        <v>532.17999999999995</v>
      </c>
      <c r="GU236" s="198"/>
      <c r="GV236" s="199">
        <f>GP236-GQ236-GR236-GS236-GT236</f>
        <v>1002.0150000000002</v>
      </c>
      <c r="GW236" s="197">
        <f>[2]sur!P20</f>
        <v>1590.7</v>
      </c>
      <c r="GX236" s="198">
        <f>[2]sur!Q20</f>
        <v>112.6</v>
      </c>
      <c r="GY236" s="198">
        <f>[2]sur!R20</f>
        <v>411.7</v>
      </c>
      <c r="GZ236" s="198">
        <f>[2]sur!S20</f>
        <v>199.8</v>
      </c>
      <c r="HA236" s="198"/>
      <c r="HB236" s="198"/>
      <c r="HC236" s="199">
        <f>[2]sur!V20</f>
        <v>866.60000000000014</v>
      </c>
      <c r="HD236" s="197">
        <f>'[2]t&amp;t'!W368</f>
        <v>34814</v>
      </c>
      <c r="HE236" s="198">
        <f>'[2]t&amp;t'!X368</f>
        <v>2619.6</v>
      </c>
      <c r="HF236" s="198">
        <f>'[2]t&amp;t'!Y368</f>
        <v>2700.2000000000003</v>
      </c>
      <c r="HG236" s="198">
        <f>'[2]t&amp;t'!Z368</f>
        <v>5600.9</v>
      </c>
      <c r="HH236" s="198">
        <f>'[2]t&amp;t'!AA368</f>
        <v>10344.5</v>
      </c>
      <c r="HI236" s="198"/>
      <c r="HJ236" s="199">
        <f>'[2]t&amp;t'!AC368</f>
        <v>13548.8</v>
      </c>
      <c r="HK236" s="197">
        <v>4742</v>
      </c>
      <c r="HL236" s="198">
        <v>1091.1081321789668</v>
      </c>
      <c r="HM236" s="198">
        <v>419.934441774454</v>
      </c>
      <c r="HN236" s="198">
        <v>62.96207400005833</v>
      </c>
      <c r="HO236" s="198">
        <v>1607.6063275834449</v>
      </c>
      <c r="HP236" s="198"/>
      <c r="HQ236" s="198">
        <f t="shared" si="16"/>
        <v>1560.3890244630757</v>
      </c>
      <c r="HR236" s="197">
        <v>70814.035999999993</v>
      </c>
      <c r="HT236" s="198">
        <v>39048.074999999997</v>
      </c>
      <c r="HU236" s="198">
        <v>6117.0379999999996</v>
      </c>
      <c r="HV236" s="198">
        <v>14669.596</v>
      </c>
      <c r="HW236" s="198">
        <v>2970.029</v>
      </c>
      <c r="HX236" s="198">
        <v>8009.2979999999998</v>
      </c>
    </row>
    <row r="237" spans="1:233">
      <c r="A237" s="185" t="s">
        <v>492</v>
      </c>
      <c r="B237" s="197">
        <v>2617.076</v>
      </c>
      <c r="C237" s="198"/>
      <c r="D237" s="198"/>
      <c r="E237" s="198"/>
      <c r="F237" s="198"/>
      <c r="G237" s="198"/>
      <c r="H237" s="199"/>
      <c r="I237" s="197">
        <v>104206.39999999999</v>
      </c>
      <c r="J237" s="198"/>
      <c r="K237" s="198"/>
      <c r="L237" s="198">
        <v>11144.2</v>
      </c>
      <c r="M237" s="198">
        <v>14624.5</v>
      </c>
      <c r="N237" s="198"/>
      <c r="O237" s="199">
        <f>[3]arg!$G103</f>
        <v>58796.7</v>
      </c>
      <c r="P237" s="198">
        <v>6178.9170000000004</v>
      </c>
      <c r="Q237" s="198">
        <v>52.061999999999998</v>
      </c>
      <c r="R237" s="198">
        <v>506.27500000000003</v>
      </c>
      <c r="S237" s="198">
        <v>414.96300000000002</v>
      </c>
      <c r="T237" s="198">
        <v>4186.1930000000002</v>
      </c>
      <c r="U237" s="198"/>
      <c r="V237" s="199">
        <f t="shared" si="22"/>
        <v>1019.4240000000009</v>
      </c>
      <c r="W237" s="198">
        <v>4773.7709999999997</v>
      </c>
      <c r="X237" s="198">
        <v>131.161</v>
      </c>
      <c r="Y237" s="198">
        <v>989.84100000000001</v>
      </c>
      <c r="Z237" s="198">
        <v>326.20600000000002</v>
      </c>
      <c r="AA237" s="198">
        <v>2224.0770000000002</v>
      </c>
      <c r="AB237" s="198"/>
      <c r="AC237" s="199">
        <f t="shared" si="14"/>
        <v>1102.4859999999994</v>
      </c>
      <c r="AD237" s="198"/>
      <c r="AE237" s="198">
        <v>25.638000000000002</v>
      </c>
      <c r="AF237" s="198">
        <v>269.262</v>
      </c>
      <c r="AG237" s="198">
        <v>499.76900000000001</v>
      </c>
      <c r="AH237" s="198">
        <v>322.68799999999999</v>
      </c>
      <c r="AI237" s="198"/>
      <c r="AJ237" s="198"/>
      <c r="AK237" s="197"/>
      <c r="AL237" s="198"/>
      <c r="AM237" s="198"/>
      <c r="AN237" s="198"/>
      <c r="AO237" s="198"/>
      <c r="AP237" s="198"/>
      <c r="AQ237" s="199"/>
      <c r="AR237" s="198">
        <v>777312.68617382995</v>
      </c>
      <c r="AS237" s="198">
        <v>175150.50661585</v>
      </c>
      <c r="AT237" s="198">
        <v>79876.579268870002</v>
      </c>
      <c r="AU237" s="198">
        <v>38774.774508679999</v>
      </c>
      <c r="AV237" s="198">
        <v>256251.03238481993</v>
      </c>
      <c r="AW237" s="198"/>
      <c r="AX237" s="198">
        <v>227259.79339561</v>
      </c>
      <c r="AY237" s="197">
        <v>55674736.472644001</v>
      </c>
      <c r="AZ237" s="198"/>
      <c r="BA237" s="198">
        <v>37137318.964532003</v>
      </c>
      <c r="BB237" s="198">
        <v>11391856.571232</v>
      </c>
      <c r="BC237" s="198">
        <v>7145560.9368799999</v>
      </c>
      <c r="BD237" s="198"/>
      <c r="BE237" s="198"/>
      <c r="BF237" s="197">
        <v>106423199.10999998</v>
      </c>
      <c r="BG237" s="198"/>
      <c r="BH237" s="198">
        <v>65959607.079999983</v>
      </c>
      <c r="BI237" s="198">
        <v>8400287.1099999994</v>
      </c>
      <c r="BJ237" s="198">
        <v>30249596.59</v>
      </c>
      <c r="BK237" s="198">
        <v>1813708.33</v>
      </c>
      <c r="BL237" s="198"/>
      <c r="BM237" s="197">
        <v>5012721.6629999997</v>
      </c>
      <c r="BN237" s="198">
        <v>298579.94099999999</v>
      </c>
      <c r="BO237" s="198">
        <v>606863.92299999995</v>
      </c>
      <c r="BP237" s="198">
        <v>1486582.2690000001</v>
      </c>
      <c r="BQ237" s="198">
        <v>1297745.787</v>
      </c>
      <c r="BR237" s="198"/>
      <c r="BS237" s="198">
        <f t="shared" si="2"/>
        <v>1322949.7429999998</v>
      </c>
      <c r="BT237" s="197"/>
      <c r="BU237" s="198"/>
      <c r="BV237" s="198"/>
      <c r="BW237" s="198"/>
      <c r="BX237" s="198"/>
      <c r="BY237" s="198"/>
      <c r="BZ237" s="198"/>
      <c r="CA237" s="197">
        <v>614.59500000000003</v>
      </c>
      <c r="CB237" s="198"/>
      <c r="CC237" s="198"/>
      <c r="CD237" s="198"/>
      <c r="CE237" s="198"/>
      <c r="CF237" s="198"/>
      <c r="CG237" s="198"/>
      <c r="CH237" s="197">
        <v>9603982.6412400007</v>
      </c>
      <c r="CI237" s="198"/>
      <c r="CJ237" s="198">
        <v>4479599.2440500008</v>
      </c>
      <c r="CK237" s="198">
        <v>1195475.4527699999</v>
      </c>
      <c r="CL237" s="198">
        <v>3013364.5567300003</v>
      </c>
      <c r="CM237" s="198">
        <v>915543.38769</v>
      </c>
      <c r="CN237" s="198"/>
      <c r="CO237" s="197">
        <v>8314.9945399999979</v>
      </c>
      <c r="CP237" s="198">
        <v>831.03430000000003</v>
      </c>
      <c r="CQ237" s="198">
        <v>1340.5128200000001</v>
      </c>
      <c r="CR237" s="198">
        <v>1982.64742</v>
      </c>
      <c r="CS237" s="198">
        <v>1823.84709</v>
      </c>
      <c r="CT237" s="198"/>
      <c r="CU237" s="198">
        <v>2336.9529099999982</v>
      </c>
      <c r="CV237" s="197">
        <v>1480.346</v>
      </c>
      <c r="CW237" s="198"/>
      <c r="CX237" s="198"/>
      <c r="CY237" s="198"/>
      <c r="CZ237" s="198"/>
      <c r="DA237" s="198"/>
      <c r="DB237" s="198"/>
      <c r="DC237" s="197">
        <v>57548.486533000003</v>
      </c>
      <c r="DD237" s="198">
        <v>6061.1009999999997</v>
      </c>
      <c r="DE237" s="198">
        <v>11766.653</v>
      </c>
      <c r="DF237" s="198"/>
      <c r="DG237" s="198">
        <v>15878.541999999999</v>
      </c>
      <c r="DH237" s="198"/>
      <c r="DI237" s="198">
        <f t="shared" si="23"/>
        <v>23842.190533000001</v>
      </c>
      <c r="DJ237" s="197">
        <f>3001.3+44973.7</f>
        <v>47975</v>
      </c>
      <c r="DK237" s="198">
        <f>2438.9+10779.9</f>
        <v>13218.8</v>
      </c>
      <c r="DL237" s="198">
        <f>2157.1+9774</f>
        <v>11931.1</v>
      </c>
      <c r="DM237" s="198">
        <v>4118.8999999999996</v>
      </c>
      <c r="DN237" s="198">
        <f>13108.7-DM237</f>
        <v>8989.8000000000011</v>
      </c>
      <c r="DO237" s="198"/>
      <c r="DP237" s="198">
        <f t="shared" si="20"/>
        <v>9716.3999999999942</v>
      </c>
      <c r="DQ237" s="197"/>
      <c r="DR237" s="198"/>
      <c r="DS237" s="198"/>
      <c r="DT237" s="198"/>
      <c r="DU237" s="198"/>
      <c r="DV237" s="198"/>
      <c r="DW237" s="198"/>
      <c r="DX237" s="197">
        <v>101901.1593</v>
      </c>
      <c r="DY237" s="198"/>
      <c r="DZ237" s="198">
        <v>70904.812680000003</v>
      </c>
      <c r="EA237" s="198">
        <v>14447.11116</v>
      </c>
      <c r="EB237" s="198">
        <v>14721.32741</v>
      </c>
      <c r="EC237" s="198"/>
      <c r="ED237" s="198">
        <v>1827.90804</v>
      </c>
      <c r="EE237" s="198"/>
      <c r="EF237" s="198"/>
      <c r="EG237" s="198"/>
      <c r="EH237" s="198"/>
      <c r="EI237" s="198"/>
      <c r="EJ237" s="198"/>
      <c r="EK237" s="199"/>
      <c r="EL237" s="198">
        <v>1449554.21248</v>
      </c>
      <c r="EM237" s="198">
        <v>565427.30028399988</v>
      </c>
      <c r="EN237" s="198">
        <v>63109.010332999991</v>
      </c>
      <c r="EO237" s="198">
        <v>240264.29944399997</v>
      </c>
      <c r="EP237" s="198">
        <v>402323.2606920001</v>
      </c>
      <c r="EQ237" s="198"/>
      <c r="ER237" s="199">
        <v>178430.34172300002</v>
      </c>
      <c r="ES237" s="198">
        <v>34112.18283464</v>
      </c>
      <c r="ET237" s="198">
        <v>3009.8779256500002</v>
      </c>
      <c r="EU237" s="198">
        <v>9707.3337663500006</v>
      </c>
      <c r="EV237" s="198">
        <v>4616.8765922599996</v>
      </c>
      <c r="EW237" s="198">
        <v>10492.864524479999</v>
      </c>
      <c r="EX237" s="198"/>
      <c r="EY237" s="199">
        <f t="shared" si="6"/>
        <v>6285.230025900004</v>
      </c>
      <c r="EZ237" s="198">
        <v>17394</v>
      </c>
      <c r="FA237" s="198">
        <v>719</v>
      </c>
      <c r="FB237" s="198">
        <v>4520</v>
      </c>
      <c r="FC237" s="198">
        <v>4761</v>
      </c>
      <c r="FD237" s="198">
        <v>3864</v>
      </c>
      <c r="FE237" s="198">
        <v>44</v>
      </c>
      <c r="FF237" s="198">
        <f t="shared" si="17"/>
        <v>3530</v>
      </c>
      <c r="FG237" s="197">
        <v>9948666.9213960003</v>
      </c>
      <c r="FH237" s="198">
        <v>1141427.507913</v>
      </c>
      <c r="FI237" s="198">
        <v>1887346.160648</v>
      </c>
      <c r="FJ237" s="198"/>
      <c r="FK237" s="198">
        <v>877928.19569199998</v>
      </c>
      <c r="FL237" s="198"/>
      <c r="FM237" s="198">
        <f t="shared" si="21"/>
        <v>6041965.0571430009</v>
      </c>
      <c r="FN237" s="197">
        <v>53773.915999999997</v>
      </c>
      <c r="FO237" s="198">
        <v>11690.303</v>
      </c>
      <c r="FP237" s="198">
        <v>7803.098</v>
      </c>
      <c r="FQ237" s="198">
        <v>7481.8339999999998</v>
      </c>
      <c r="FR237" s="198">
        <v>9139.27</v>
      </c>
      <c r="FS237" s="198"/>
      <c r="FT237" s="199">
        <f t="shared" si="7"/>
        <v>17659.411</v>
      </c>
      <c r="FU237" s="197"/>
      <c r="FV237" s="198"/>
      <c r="FW237" s="198"/>
      <c r="FX237" s="198"/>
      <c r="FY237" s="198"/>
      <c r="FZ237" s="198"/>
      <c r="GA237" s="199"/>
      <c r="GB237" s="197">
        <v>1929.248</v>
      </c>
      <c r="GC237" s="198"/>
      <c r="GD237" s="198"/>
      <c r="GE237" s="198"/>
      <c r="GF237" s="198"/>
      <c r="GG237" s="198"/>
      <c r="GH237" s="199"/>
      <c r="GI237" s="197">
        <v>1073.9839999999999</v>
      </c>
      <c r="GJ237" s="198"/>
      <c r="GK237" s="198"/>
      <c r="GL237" s="198"/>
      <c r="GM237" s="198"/>
      <c r="GN237" s="198"/>
      <c r="GO237" s="199"/>
      <c r="GP237" s="197">
        <v>2930.3389999999999</v>
      </c>
      <c r="GQ237" s="198"/>
      <c r="GR237" s="198"/>
      <c r="GS237" s="198"/>
      <c r="GT237" s="198"/>
      <c r="GU237" s="198"/>
      <c r="GV237" s="199"/>
      <c r="GW237" s="197">
        <f>[2]sur!P21</f>
        <v>1620.3000000000002</v>
      </c>
      <c r="GX237" s="198">
        <f>[2]sur!Q21</f>
        <v>119.7</v>
      </c>
      <c r="GY237" s="198">
        <f>[2]sur!R21</f>
        <v>426</v>
      </c>
      <c r="GZ237" s="198">
        <f>[2]sur!S21</f>
        <v>203</v>
      </c>
      <c r="HA237" s="198"/>
      <c r="HB237" s="198"/>
      <c r="HC237" s="199">
        <f>[2]sur!V21</f>
        <v>871.6</v>
      </c>
      <c r="HD237" s="197"/>
      <c r="HE237" s="198"/>
      <c r="HF237" s="198"/>
      <c r="HG237" s="198"/>
      <c r="HH237" s="198"/>
      <c r="HI237" s="198"/>
      <c r="HJ237" s="199"/>
      <c r="HK237" s="197">
        <v>4714</v>
      </c>
      <c r="HL237" s="198">
        <v>1094.9342219085759</v>
      </c>
      <c r="HM237" s="198">
        <v>424.380687228434</v>
      </c>
      <c r="HN237" s="198">
        <v>63.654526065133126</v>
      </c>
      <c r="HO237" s="198">
        <v>1616.3598205140715</v>
      </c>
      <c r="HP237" s="198"/>
      <c r="HQ237" s="198">
        <f t="shared" si="16"/>
        <v>1514.6707442837856</v>
      </c>
      <c r="HR237" s="197">
        <v>76361.048999999999</v>
      </c>
      <c r="HT237" s="198">
        <v>43350.569000000003</v>
      </c>
      <c r="HU237" s="198">
        <v>6363.8810000000003</v>
      </c>
      <c r="HV237" s="198">
        <v>15442.441999999999</v>
      </c>
      <c r="HW237" s="198">
        <v>3047.2220000000002</v>
      </c>
      <c r="HX237" s="198">
        <v>8156.9350000000004</v>
      </c>
    </row>
    <row r="238" spans="1:233">
      <c r="A238" s="185" t="s">
        <v>493</v>
      </c>
      <c r="B238" s="197">
        <v>2624.4920000000002</v>
      </c>
      <c r="C238" s="198"/>
      <c r="D238" s="198"/>
      <c r="E238" s="198"/>
      <c r="F238" s="198"/>
      <c r="G238" s="198"/>
      <c r="H238" s="199"/>
      <c r="I238" s="197">
        <v>105249.60000000001</v>
      </c>
      <c r="J238" s="198"/>
      <c r="K238" s="198"/>
      <c r="L238" s="198">
        <v>11396.5</v>
      </c>
      <c r="M238" s="198">
        <v>15311.5</v>
      </c>
      <c r="N238" s="198"/>
      <c r="O238" s="199">
        <f>[3]arg!$G104</f>
        <v>60727.5</v>
      </c>
      <c r="P238" s="198">
        <v>6208.8990000000003</v>
      </c>
      <c r="Q238" s="198">
        <v>53.664000000000001</v>
      </c>
      <c r="R238" s="198">
        <v>513.39499999999998</v>
      </c>
      <c r="S238" s="198">
        <v>415.69099999999997</v>
      </c>
      <c r="T238" s="198">
        <v>4221.0309999999999</v>
      </c>
      <c r="U238" s="198"/>
      <c r="V238" s="199">
        <f t="shared" si="22"/>
        <v>1005.1180000000004</v>
      </c>
      <c r="W238" s="198">
        <v>4794.7960000000003</v>
      </c>
      <c r="X238" s="198">
        <v>132.88399999999999</v>
      </c>
      <c r="Y238" s="198">
        <v>1000.566</v>
      </c>
      <c r="Z238" s="198">
        <v>311.54899999999998</v>
      </c>
      <c r="AA238" s="198">
        <v>2241.404</v>
      </c>
      <c r="AB238" s="198"/>
      <c r="AC238" s="199">
        <f t="shared" si="14"/>
        <v>1108.3930000000005</v>
      </c>
      <c r="AD238" s="198"/>
      <c r="AE238" s="198">
        <v>24.68</v>
      </c>
      <c r="AF238" s="198">
        <v>275.51800000000003</v>
      </c>
      <c r="AG238" s="198">
        <v>505.79700000000003</v>
      </c>
      <c r="AH238" s="198">
        <v>331.68700000000001</v>
      </c>
      <c r="AI238" s="198"/>
      <c r="AJ238" s="198"/>
      <c r="AK238" s="197"/>
      <c r="AL238" s="198"/>
      <c r="AM238" s="198"/>
      <c r="AN238" s="198"/>
      <c r="AO238" s="198"/>
      <c r="AP238" s="198"/>
      <c r="AQ238" s="199"/>
      <c r="AR238" s="198">
        <v>788941.58863145998</v>
      </c>
      <c r="AS238" s="198">
        <v>174619.19169466998</v>
      </c>
      <c r="AT238" s="198">
        <v>80843.521065070003</v>
      </c>
      <c r="AU238" s="198">
        <v>39593.689395649999</v>
      </c>
      <c r="AV238" s="198">
        <v>266273.67479456001</v>
      </c>
      <c r="AW238" s="198"/>
      <c r="AX238" s="198">
        <v>227611.51168151002</v>
      </c>
      <c r="AY238" s="197">
        <v>56478560.707331002</v>
      </c>
      <c r="AZ238" s="198"/>
      <c r="BA238" s="198">
        <v>37674261.646449998</v>
      </c>
      <c r="BB238" s="198">
        <v>11616997.160591001</v>
      </c>
      <c r="BC238" s="198">
        <v>7187301.9002900003</v>
      </c>
      <c r="BD238" s="198"/>
      <c r="BE238" s="198"/>
      <c r="BF238" s="197">
        <v>109415807.92999999</v>
      </c>
      <c r="BG238" s="198"/>
      <c r="BH238" s="198">
        <v>67940159.36999999</v>
      </c>
      <c r="BI238" s="198">
        <v>8664315.870000001</v>
      </c>
      <c r="BJ238" s="198">
        <v>30984431.900000002</v>
      </c>
      <c r="BK238" s="198">
        <v>1826900.79</v>
      </c>
      <c r="BL238" s="198"/>
      <c r="BM238" s="197">
        <v>5133668.2949999999</v>
      </c>
      <c r="BN238" s="198">
        <v>287457.33199999999</v>
      </c>
      <c r="BO238" s="198">
        <v>627367.06000000006</v>
      </c>
      <c r="BP238" s="198">
        <v>1527889.81</v>
      </c>
      <c r="BQ238" s="198">
        <v>1338472.4580000001</v>
      </c>
      <c r="BR238" s="198"/>
      <c r="BS238" s="198">
        <f t="shared" si="2"/>
        <v>1352481.6349999998</v>
      </c>
      <c r="BT238" s="197"/>
      <c r="BU238" s="198"/>
      <c r="BV238" s="198"/>
      <c r="BW238" s="198"/>
      <c r="BX238" s="198"/>
      <c r="BY238" s="198"/>
      <c r="BZ238" s="198"/>
      <c r="CA238" s="197">
        <v>622.10900000000004</v>
      </c>
      <c r="CB238" s="198"/>
      <c r="CC238" s="198"/>
      <c r="CD238" s="198"/>
      <c r="CE238" s="198"/>
      <c r="CF238" s="198"/>
      <c r="CG238" s="198"/>
      <c r="CH238" s="197">
        <v>9622234.5097999983</v>
      </c>
      <c r="CI238" s="198"/>
      <c r="CJ238" s="198">
        <v>4480709.49089</v>
      </c>
      <c r="CK238" s="198">
        <v>1227505.2593200002</v>
      </c>
      <c r="CL238" s="198">
        <v>2999259.40723</v>
      </c>
      <c r="CM238" s="198">
        <v>914760.3523599999</v>
      </c>
      <c r="CN238" s="198"/>
      <c r="CO238" s="197">
        <v>8345.4807700000001</v>
      </c>
      <c r="CP238" s="198">
        <v>838.23895999999991</v>
      </c>
      <c r="CQ238" s="198">
        <v>1359.93119</v>
      </c>
      <c r="CR238" s="198">
        <v>1996.08872</v>
      </c>
      <c r="CS238" s="198">
        <v>1850.2017700000001</v>
      </c>
      <c r="CT238" s="198"/>
      <c r="CU238" s="198">
        <v>2301.020129999999</v>
      </c>
      <c r="CV238" s="197">
        <v>1497.6420000000001</v>
      </c>
      <c r="CW238" s="198"/>
      <c r="CX238" s="198"/>
      <c r="CY238" s="198"/>
      <c r="CZ238" s="198"/>
      <c r="DA238" s="198"/>
      <c r="DB238" s="198"/>
      <c r="DC238" s="197">
        <v>58638.983304000001</v>
      </c>
      <c r="DD238" s="198">
        <v>6105.3940000000002</v>
      </c>
      <c r="DE238" s="198">
        <v>12039.614</v>
      </c>
      <c r="DF238" s="198"/>
      <c r="DG238" s="198">
        <v>12435.968000000001</v>
      </c>
      <c r="DH238" s="198"/>
      <c r="DI238" s="198">
        <f t="shared" si="23"/>
        <v>28058.007303999999</v>
      </c>
      <c r="DJ238" s="197">
        <f>3015.3+44715</f>
        <v>47730.3</v>
      </c>
      <c r="DK238" s="198">
        <f>2409.9+10786.3</f>
        <v>13196.199999999999</v>
      </c>
      <c r="DL238" s="198">
        <f>2243.8+9452.9</f>
        <v>11696.7</v>
      </c>
      <c r="DM238" s="198">
        <v>4130.2</v>
      </c>
      <c r="DN238" s="198">
        <f>13629-DM238</f>
        <v>9498.7999999999993</v>
      </c>
      <c r="DO238" s="198"/>
      <c r="DP238" s="198">
        <f t="shared" si="20"/>
        <v>9208.4000000000015</v>
      </c>
      <c r="DQ238" s="197"/>
      <c r="DR238" s="198"/>
      <c r="DS238" s="198"/>
      <c r="DT238" s="198"/>
      <c r="DU238" s="198"/>
      <c r="DV238" s="198"/>
      <c r="DW238" s="198"/>
      <c r="DX238" s="197">
        <v>103399.35232999999</v>
      </c>
      <c r="DY238" s="198"/>
      <c r="DZ238" s="198">
        <v>71630.9228</v>
      </c>
      <c r="EA238" s="198">
        <v>14743.26676</v>
      </c>
      <c r="EB238" s="198">
        <v>15095.130789999999</v>
      </c>
      <c r="EC238" s="198"/>
      <c r="ED238" s="198">
        <v>1930.03197</v>
      </c>
      <c r="EE238" s="198"/>
      <c r="EF238" s="198"/>
      <c r="EG238" s="198"/>
      <c r="EH238" s="198"/>
      <c r="EI238" s="198"/>
      <c r="EJ238" s="198"/>
      <c r="EK238" s="199"/>
      <c r="EL238" s="198">
        <v>1469507.5667170002</v>
      </c>
      <c r="EM238" s="198">
        <v>578699.85521900002</v>
      </c>
      <c r="EN238" s="198">
        <v>61040.966617999999</v>
      </c>
      <c r="EO238" s="198">
        <v>243064.67727300001</v>
      </c>
      <c r="EP238" s="198">
        <v>409967.54492599994</v>
      </c>
      <c r="EQ238" s="198"/>
      <c r="ER238" s="199">
        <v>176736.46008800002</v>
      </c>
      <c r="ES238" s="198">
        <v>34764.05940192</v>
      </c>
      <c r="ET238" s="198">
        <v>2926.0586905099999</v>
      </c>
      <c r="EU238" s="198">
        <v>9887.6267867700008</v>
      </c>
      <c r="EV238" s="198">
        <v>4726.8738871200003</v>
      </c>
      <c r="EW238" s="198">
        <v>10893.98285801</v>
      </c>
      <c r="EX238" s="198"/>
      <c r="EY238" s="199">
        <f t="shared" si="6"/>
        <v>6329.5171795099996</v>
      </c>
      <c r="EZ238" s="198">
        <v>17659</v>
      </c>
      <c r="FA238" s="198">
        <v>752</v>
      </c>
      <c r="FB238" s="198">
        <v>4561</v>
      </c>
      <c r="FC238" s="198">
        <v>4812</v>
      </c>
      <c r="FD238" s="198">
        <v>3934</v>
      </c>
      <c r="FE238" s="198">
        <v>45</v>
      </c>
      <c r="FF238" s="198">
        <f t="shared" si="17"/>
        <v>3600</v>
      </c>
      <c r="FG238" s="197">
        <v>9772483.8666810002</v>
      </c>
      <c r="FH238" s="198">
        <v>1081796.1337029999</v>
      </c>
      <c r="FI238" s="198">
        <v>1853727.3007749999</v>
      </c>
      <c r="FJ238" s="198"/>
      <c r="FK238" s="198">
        <v>897067.81089199998</v>
      </c>
      <c r="FL238" s="198"/>
      <c r="FM238" s="198">
        <f t="shared" si="21"/>
        <v>5939892.6213110005</v>
      </c>
      <c r="FN238" s="197">
        <v>56403.707000000002</v>
      </c>
      <c r="FO238" s="198">
        <v>12213.957</v>
      </c>
      <c r="FP238" s="198">
        <v>7984.2079999999996</v>
      </c>
      <c r="FQ238" s="198">
        <v>7635.4070000000002</v>
      </c>
      <c r="FR238" s="198">
        <v>9508.11</v>
      </c>
      <c r="FS238" s="198"/>
      <c r="FT238" s="199">
        <f t="shared" si="7"/>
        <v>19062.025000000001</v>
      </c>
      <c r="FU238" s="197"/>
      <c r="FV238" s="198"/>
      <c r="FW238" s="198"/>
      <c r="FX238" s="198"/>
      <c r="FY238" s="198"/>
      <c r="FZ238" s="198"/>
      <c r="GA238" s="199"/>
      <c r="GB238" s="197">
        <v>1966.5709999999999</v>
      </c>
      <c r="GC238" s="198"/>
      <c r="GD238" s="198"/>
      <c r="GE238" s="198"/>
      <c r="GF238" s="198"/>
      <c r="GG238" s="198"/>
      <c r="GH238" s="199"/>
      <c r="GI238" s="197">
        <v>1080.318</v>
      </c>
      <c r="GJ238" s="198"/>
      <c r="GK238" s="198"/>
      <c r="GL238" s="198"/>
      <c r="GM238" s="198"/>
      <c r="GN238" s="198"/>
      <c r="GO238" s="199"/>
      <c r="GP238" s="197">
        <v>2999.703</v>
      </c>
      <c r="GQ238" s="198"/>
      <c r="GR238" s="198"/>
      <c r="GS238" s="198"/>
      <c r="GT238" s="198"/>
      <c r="GU238" s="198"/>
      <c r="GV238" s="199"/>
      <c r="GW238" s="197">
        <f>[2]sur!P22</f>
        <v>1661.6</v>
      </c>
      <c r="GX238" s="198">
        <f>[2]sur!Q22</f>
        <v>124.4</v>
      </c>
      <c r="GY238" s="198">
        <f>[2]sur!R22</f>
        <v>445.2</v>
      </c>
      <c r="GZ238" s="198">
        <f>[2]sur!S22</f>
        <v>210.5</v>
      </c>
      <c r="HA238" s="198"/>
      <c r="HB238" s="198"/>
      <c r="HC238" s="199">
        <f>[2]sur!V22</f>
        <v>881.5</v>
      </c>
      <c r="HD238" s="197"/>
      <c r="HE238" s="198"/>
      <c r="HF238" s="198"/>
      <c r="HG238" s="198"/>
      <c r="HH238" s="198"/>
      <c r="HI238" s="198"/>
      <c r="HJ238" s="199"/>
      <c r="HK238" s="197">
        <v>4777</v>
      </c>
      <c r="HL238" s="198">
        <v>1095.6071542358829</v>
      </c>
      <c r="HM238" s="198">
        <v>441.74117847024843</v>
      </c>
      <c r="HN238" s="198">
        <v>61.705409638100264</v>
      </c>
      <c r="HO238" s="198">
        <v>1616.3250968207262</v>
      </c>
      <c r="HP238" s="198"/>
      <c r="HQ238" s="198">
        <f t="shared" si="16"/>
        <v>1561.6211608350418</v>
      </c>
      <c r="HR238" s="197">
        <v>78777.748000000007</v>
      </c>
      <c r="HT238" s="198">
        <v>44029.231</v>
      </c>
      <c r="HU238" s="198">
        <v>6739.4</v>
      </c>
      <c r="HV238" s="198">
        <v>16346.16</v>
      </c>
      <c r="HW238" s="198">
        <v>3143.4740000000002</v>
      </c>
      <c r="HX238" s="198">
        <v>8519.4830000000002</v>
      </c>
    </row>
    <row r="239" spans="1:233">
      <c r="A239" s="185" t="s">
        <v>494</v>
      </c>
      <c r="B239" s="211">
        <v>2651.37</v>
      </c>
      <c r="C239" s="198">
        <v>52.317</v>
      </c>
      <c r="D239" s="198">
        <v>456.09100000000001</v>
      </c>
      <c r="E239" s="198">
        <v>660.48500000000001</v>
      </c>
      <c r="F239" s="198">
        <v>499.76299999999998</v>
      </c>
      <c r="G239" s="198"/>
      <c r="H239" s="199">
        <v>982.71400000000006</v>
      </c>
      <c r="I239" s="211">
        <v>108071.2</v>
      </c>
      <c r="J239" s="198"/>
      <c r="K239" s="198"/>
      <c r="L239" s="198">
        <v>11883.3</v>
      </c>
      <c r="M239" s="198">
        <v>16064.2</v>
      </c>
      <c r="N239" s="198"/>
      <c r="O239" s="199">
        <f>[3]arg!$G105</f>
        <v>61974.900000000009</v>
      </c>
      <c r="P239" s="198">
        <v>6267.18</v>
      </c>
      <c r="Q239" s="198">
        <v>51.773000000000003</v>
      </c>
      <c r="R239" s="198">
        <v>507.846</v>
      </c>
      <c r="S239" s="198">
        <v>413.91300000000001</v>
      </c>
      <c r="T239" s="198">
        <v>4299.1139999999996</v>
      </c>
      <c r="U239" s="198"/>
      <c r="V239" s="199">
        <f t="shared" si="22"/>
        <v>994.53399999999965</v>
      </c>
      <c r="W239" s="198">
        <v>4857.5240000000003</v>
      </c>
      <c r="X239" s="198">
        <v>135.678</v>
      </c>
      <c r="Y239" s="198">
        <v>1005.667</v>
      </c>
      <c r="Z239" s="198">
        <v>351.22899999999998</v>
      </c>
      <c r="AA239" s="198">
        <v>2271.1819999999998</v>
      </c>
      <c r="AB239" s="198"/>
      <c r="AC239" s="199">
        <f t="shared" si="14"/>
        <v>1093.7680000000009</v>
      </c>
      <c r="AD239" s="198"/>
      <c r="AE239" s="198">
        <v>27.9</v>
      </c>
      <c r="AF239" s="198">
        <v>311.553</v>
      </c>
      <c r="AG239" s="198">
        <v>478.05799999999999</v>
      </c>
      <c r="AH239" s="198">
        <v>332.09500000000003</v>
      </c>
      <c r="AI239" s="198"/>
      <c r="AJ239" s="198"/>
      <c r="AK239" s="197">
        <v>30424.272499999995</v>
      </c>
      <c r="AL239" s="198"/>
      <c r="AM239" s="198">
        <v>14912.112000000001</v>
      </c>
      <c r="AN239" s="198">
        <v>6774.7920000000004</v>
      </c>
      <c r="AO239" s="198">
        <v>3071.9960000000001</v>
      </c>
      <c r="AP239" s="198">
        <v>5663.7955000000002</v>
      </c>
      <c r="AQ239" s="199"/>
      <c r="AR239" s="198">
        <v>799909.82550046011</v>
      </c>
      <c r="AS239" s="198">
        <v>176447.61664714001</v>
      </c>
      <c r="AT239" s="198">
        <v>83220.322957030017</v>
      </c>
      <c r="AU239" s="198">
        <v>40321.671124029999</v>
      </c>
      <c r="AV239" s="198">
        <v>269925.06264559005</v>
      </c>
      <c r="AW239" s="198"/>
      <c r="AX239" s="198">
        <v>229995.15212667</v>
      </c>
      <c r="AY239" s="197">
        <v>57425844.956740998</v>
      </c>
      <c r="AZ239" s="198"/>
      <c r="BA239" s="198">
        <v>38296628.083995</v>
      </c>
      <c r="BB239" s="198">
        <v>11889188.301308</v>
      </c>
      <c r="BC239" s="198">
        <v>7240028.5714379996</v>
      </c>
      <c r="BD239" s="198"/>
      <c r="BE239" s="198"/>
      <c r="BF239" s="197">
        <v>111475971.39000002</v>
      </c>
      <c r="BG239" s="198"/>
      <c r="BH239" s="198">
        <v>69331007.280000016</v>
      </c>
      <c r="BI239" s="198">
        <v>8557615.3600000013</v>
      </c>
      <c r="BJ239" s="198">
        <v>31748349.009999998</v>
      </c>
      <c r="BK239" s="198">
        <v>1838999.74</v>
      </c>
      <c r="BL239" s="198"/>
      <c r="BM239" s="197">
        <v>5298201.3969999999</v>
      </c>
      <c r="BN239" s="198">
        <v>289584.38699999999</v>
      </c>
      <c r="BO239" s="198">
        <v>624757.27899999998</v>
      </c>
      <c r="BP239" s="198">
        <v>1532744.4770000002</v>
      </c>
      <c r="BQ239" s="198">
        <v>1468628.746</v>
      </c>
      <c r="BR239" s="198"/>
      <c r="BS239" s="198">
        <f t="shared" si="2"/>
        <v>1382486.5079999994</v>
      </c>
      <c r="BT239" s="197"/>
      <c r="BU239" s="198"/>
      <c r="BV239" s="198"/>
      <c r="BW239" s="198"/>
      <c r="BX239" s="198"/>
      <c r="BY239" s="198"/>
      <c r="BZ239" s="198"/>
      <c r="CA239" s="197">
        <v>616.25199999999995</v>
      </c>
      <c r="CB239" s="198">
        <v>33.034999999999997</v>
      </c>
      <c r="CC239" s="198">
        <v>98.900999999999996</v>
      </c>
      <c r="CD239" s="198">
        <v>213.69200000000001</v>
      </c>
      <c r="CE239" s="198">
        <v>134.572</v>
      </c>
      <c r="CF239" s="198"/>
      <c r="CG239" s="198">
        <f>CA239-CB239-CC239-CD239-CE239</f>
        <v>136.05199999999996</v>
      </c>
      <c r="CH239" s="197">
        <v>9902628.606660001</v>
      </c>
      <c r="CI239" s="198"/>
      <c r="CJ239" s="198">
        <v>4524945.6477700006</v>
      </c>
      <c r="CK239" s="198">
        <v>1265461.4640200003</v>
      </c>
      <c r="CL239" s="198">
        <v>3162063.7311899997</v>
      </c>
      <c r="CM239" s="198">
        <v>950157.76368000009</v>
      </c>
      <c r="CN239" s="198"/>
      <c r="CO239" s="197">
        <v>8432.0419700000002</v>
      </c>
      <c r="CP239" s="198">
        <v>839.53207999999995</v>
      </c>
      <c r="CQ239" s="198">
        <v>1381.5243500000001</v>
      </c>
      <c r="CR239" s="198">
        <v>2018.3603000000001</v>
      </c>
      <c r="CS239" s="198">
        <v>1875.03955</v>
      </c>
      <c r="CT239" s="198"/>
      <c r="CU239" s="198">
        <v>2317.5856900000003</v>
      </c>
      <c r="CV239" s="197">
        <v>1517.376</v>
      </c>
      <c r="CW239" s="198">
        <v>29.314</v>
      </c>
      <c r="CX239" s="198">
        <v>238.82300000000001</v>
      </c>
      <c r="CY239" s="198">
        <v>522.02300000000002</v>
      </c>
      <c r="CZ239" s="198">
        <v>374.63299999999998</v>
      </c>
      <c r="DA239" s="198"/>
      <c r="DB239" s="198">
        <f>CV239-CW239-CX239-CY239-CZ239</f>
        <v>352.5829999999998</v>
      </c>
      <c r="DC239" s="197">
        <v>60277.400649000003</v>
      </c>
      <c r="DD239" s="198">
        <v>6228.99</v>
      </c>
      <c r="DE239" s="198">
        <v>12282.083000000001</v>
      </c>
      <c r="DF239" s="198"/>
      <c r="DG239" s="198">
        <v>12841.712</v>
      </c>
      <c r="DH239" s="198"/>
      <c r="DI239" s="198">
        <f t="shared" si="23"/>
        <v>28924.615649000007</v>
      </c>
      <c r="DJ239" s="197">
        <f>2938.3+44093.2</f>
        <v>47031.5</v>
      </c>
      <c r="DK239" s="198">
        <f>2403.7+10376.6</f>
        <v>12780.3</v>
      </c>
      <c r="DL239" s="198">
        <f>2203.7+9686.3</f>
        <v>11890</v>
      </c>
      <c r="DM239" s="198">
        <f>4081.2</f>
        <v>4081.2</v>
      </c>
      <c r="DN239" s="198">
        <f>13109.3-DM239</f>
        <v>9028.0999999999985</v>
      </c>
      <c r="DO239" s="198"/>
      <c r="DP239" s="198">
        <f t="shared" si="20"/>
        <v>9251.9000000000015</v>
      </c>
      <c r="DQ239" s="197"/>
      <c r="DR239" s="198"/>
      <c r="DS239" s="198"/>
      <c r="DT239" s="198"/>
      <c r="DU239" s="198"/>
      <c r="DV239" s="198"/>
      <c r="DW239" s="198"/>
      <c r="DX239" s="197">
        <v>107002.6945</v>
      </c>
      <c r="DY239" s="198"/>
      <c r="DZ239" s="198">
        <v>74171.61645999999</v>
      </c>
      <c r="EA239" s="198">
        <v>15452.086289999999</v>
      </c>
      <c r="EB239" s="198">
        <v>15580.445740000001</v>
      </c>
      <c r="EC239" s="198"/>
      <c r="ED239" s="198">
        <v>1798.5460399999999</v>
      </c>
      <c r="EE239" s="198">
        <v>172769.72700000001</v>
      </c>
      <c r="EF239" s="198">
        <v>5484.0320000000002</v>
      </c>
      <c r="EG239" s="198">
        <v>42439.034</v>
      </c>
      <c r="EH239" s="198">
        <v>10077.511</v>
      </c>
      <c r="EI239" s="198">
        <v>62969.423000000003</v>
      </c>
      <c r="EJ239" s="198"/>
      <c r="EK239" s="199">
        <f>EE239-EF239-EG239-EH239-EI239</f>
        <v>51799.727000000006</v>
      </c>
      <c r="EL239" s="198">
        <v>1508507.7843660002</v>
      </c>
      <c r="EM239" s="198">
        <v>596370.67685400008</v>
      </c>
      <c r="EN239" s="198">
        <v>67392.742269000024</v>
      </c>
      <c r="EO239" s="198">
        <v>248749.929917</v>
      </c>
      <c r="EP239" s="198">
        <v>419747.28402299999</v>
      </c>
      <c r="EQ239" s="198"/>
      <c r="ER239" s="199">
        <v>176247.15130100001</v>
      </c>
      <c r="ES239" s="198">
        <v>35588.659222900002</v>
      </c>
      <c r="ET239" s="198">
        <v>2941.2909712700002</v>
      </c>
      <c r="EU239" s="198">
        <v>10175.087466790001</v>
      </c>
      <c r="EV239" s="198">
        <v>4824.3118959399999</v>
      </c>
      <c r="EW239" s="198">
        <v>11261.49515282</v>
      </c>
      <c r="EX239" s="198"/>
      <c r="EY239" s="199">
        <f t="shared" ref="EY239:EY302" si="24">ES239-ET239-EU239-EV239-EW239</f>
        <v>6386.4737360800027</v>
      </c>
      <c r="EZ239" s="198">
        <v>17936</v>
      </c>
      <c r="FA239" s="198">
        <v>710</v>
      </c>
      <c r="FB239" s="198">
        <v>4748</v>
      </c>
      <c r="FC239" s="198">
        <v>4851</v>
      </c>
      <c r="FD239" s="198">
        <v>3981</v>
      </c>
      <c r="FE239" s="198">
        <v>46</v>
      </c>
      <c r="FF239" s="198">
        <f t="shared" si="17"/>
        <v>3646</v>
      </c>
      <c r="FG239" s="197">
        <v>10559862.297977</v>
      </c>
      <c r="FH239" s="198">
        <v>1262128.5051550001</v>
      </c>
      <c r="FI239" s="198">
        <v>1925029.046269</v>
      </c>
      <c r="FJ239" s="198"/>
      <c r="FK239" s="198">
        <v>918298.08826700016</v>
      </c>
      <c r="FL239" s="198"/>
      <c r="FM239" s="198">
        <f t="shared" si="21"/>
        <v>6454406.6582859997</v>
      </c>
      <c r="FN239" s="197">
        <v>59372.553999999996</v>
      </c>
      <c r="FO239" s="198">
        <v>13254.102999999999</v>
      </c>
      <c r="FP239" s="198">
        <v>8118.0290000000005</v>
      </c>
      <c r="FQ239" s="198">
        <v>7803.6589999999997</v>
      </c>
      <c r="FR239" s="198">
        <v>10579.771000000001</v>
      </c>
      <c r="FS239" s="198"/>
      <c r="FT239" s="199">
        <f t="shared" si="7"/>
        <v>19616.991999999998</v>
      </c>
      <c r="FU239" s="197">
        <v>267181.56903090945</v>
      </c>
      <c r="FV239" s="198">
        <v>19734.56726752</v>
      </c>
      <c r="FW239" s="198">
        <v>48861.097024310002</v>
      </c>
      <c r="FX239" s="198">
        <v>54202.007942410026</v>
      </c>
      <c r="FY239" s="198">
        <v>67211.688770349414</v>
      </c>
      <c r="FZ239" s="198"/>
      <c r="GA239" s="199">
        <f>FU239-FV239-FW239-FX239-FY239</f>
        <v>77172.20802631999</v>
      </c>
      <c r="GB239" s="197">
        <v>1967.846</v>
      </c>
      <c r="GC239" s="198">
        <v>26.161000000000001</v>
      </c>
      <c r="GD239" s="198">
        <v>195.60599999999999</v>
      </c>
      <c r="GE239" s="198">
        <v>341.13</v>
      </c>
      <c r="GF239" s="198">
        <v>326.67</v>
      </c>
      <c r="GG239" s="198"/>
      <c r="GH239" s="199">
        <f>GB239-GC239-GD239-GE239-GF239</f>
        <v>1078.279</v>
      </c>
      <c r="GI239" s="197">
        <v>1062.81</v>
      </c>
      <c r="GJ239" s="198">
        <v>42.688000000000002</v>
      </c>
      <c r="GK239" s="198">
        <v>122.524</v>
      </c>
      <c r="GL239" s="198">
        <v>343.89</v>
      </c>
      <c r="GM239" s="198">
        <v>199.89400000000001</v>
      </c>
      <c r="GN239" s="198"/>
      <c r="GO239" s="199">
        <f>GI239-GJ239-GK239-GL239-GM239</f>
        <v>353.81399999999996</v>
      </c>
      <c r="GP239" s="197">
        <v>3053.2249999999999</v>
      </c>
      <c r="GQ239" s="198">
        <v>66.254000000000005</v>
      </c>
      <c r="GR239" s="198">
        <v>801.83799999999997</v>
      </c>
      <c r="GS239" s="198">
        <v>484.19799999999998</v>
      </c>
      <c r="GT239" s="198">
        <v>584.149</v>
      </c>
      <c r="GU239" s="198"/>
      <c r="GV239" s="199">
        <f>GP239-GQ239-GR239-GS239-GT239</f>
        <v>1116.7860000000001</v>
      </c>
      <c r="GW239" s="197">
        <f>[2]sur!P23</f>
        <v>1703.4</v>
      </c>
      <c r="GX239" s="198">
        <f>[2]sur!Q23</f>
        <v>123.80000000000001</v>
      </c>
      <c r="GY239" s="198">
        <f>[2]sur!R23</f>
        <v>459.5</v>
      </c>
      <c r="GZ239" s="198">
        <f>[2]sur!S23</f>
        <v>218</v>
      </c>
      <c r="HA239" s="198"/>
      <c r="HB239" s="198"/>
      <c r="HC239" s="199">
        <f>[2]sur!V23</f>
        <v>902.10000000000014</v>
      </c>
      <c r="HD239" s="197">
        <f>'[2]t&amp;t'!W371</f>
        <v>36825.200000000004</v>
      </c>
      <c r="HE239" s="198">
        <f>'[2]t&amp;t'!X371</f>
        <v>2683.6</v>
      </c>
      <c r="HF239" s="198">
        <f>'[2]t&amp;t'!Y371</f>
        <v>3038.5</v>
      </c>
      <c r="HG239" s="198">
        <f>'[2]t&amp;t'!Z371</f>
        <v>6089.2999999999993</v>
      </c>
      <c r="HH239" s="198">
        <f>'[2]t&amp;t'!AA371</f>
        <v>10525.900000000001</v>
      </c>
      <c r="HI239" s="198"/>
      <c r="HJ239" s="199">
        <f>'[2]t&amp;t'!AC371</f>
        <v>14487.9</v>
      </c>
      <c r="HK239" s="197">
        <v>4978</v>
      </c>
      <c r="HL239" s="198">
        <v>1183.7805217364337</v>
      </c>
      <c r="HM239" s="198">
        <v>465.02179506750844</v>
      </c>
      <c r="HN239" s="198">
        <v>60.59620565971268</v>
      </c>
      <c r="HO239" s="198">
        <v>1638.2864395341346</v>
      </c>
      <c r="HP239" s="198"/>
      <c r="HQ239" s="198">
        <f t="shared" si="16"/>
        <v>1630.3150380022105</v>
      </c>
      <c r="HR239" s="197">
        <v>83479.370999999999</v>
      </c>
      <c r="HT239" s="198">
        <v>45766.186999999998</v>
      </c>
      <c r="HU239" s="198">
        <v>7286.598</v>
      </c>
      <c r="HV239" s="198">
        <v>17255.858</v>
      </c>
      <c r="HW239" s="198">
        <v>3312.752</v>
      </c>
      <c r="HX239" s="198">
        <v>9857.9760000000006</v>
      </c>
    </row>
    <row r="240" spans="1:233">
      <c r="A240" s="185" t="s">
        <v>495</v>
      </c>
      <c r="B240" s="197">
        <v>2697.3690000000001</v>
      </c>
      <c r="C240" s="198"/>
      <c r="D240" s="198"/>
      <c r="E240" s="198"/>
      <c r="F240" s="198"/>
      <c r="G240" s="198"/>
      <c r="H240" s="199"/>
      <c r="I240" s="197">
        <v>111176</v>
      </c>
      <c r="J240" s="198"/>
      <c r="K240" s="198"/>
      <c r="L240" s="198">
        <v>12314.2</v>
      </c>
      <c r="M240" s="198">
        <v>16729.099999999999</v>
      </c>
      <c r="N240" s="198"/>
      <c r="O240" s="199">
        <f>[3]arg!$G106</f>
        <v>64439.600000000006</v>
      </c>
      <c r="P240" s="198">
        <v>6236.2709999999997</v>
      </c>
      <c r="Q240" s="198">
        <v>51.043999999999997</v>
      </c>
      <c r="R240" s="198">
        <v>501.61399999999998</v>
      </c>
      <c r="S240" s="198">
        <v>420.32100000000003</v>
      </c>
      <c r="T240" s="198">
        <v>4353.1239999999998</v>
      </c>
      <c r="U240" s="198"/>
      <c r="V240" s="199">
        <f t="shared" si="22"/>
        <v>910.16800000000057</v>
      </c>
      <c r="W240" s="198">
        <v>4855.0810000000001</v>
      </c>
      <c r="X240" s="198">
        <v>134.852</v>
      </c>
      <c r="Y240" s="198">
        <v>995.10900000000004</v>
      </c>
      <c r="Z240" s="198">
        <v>354.214</v>
      </c>
      <c r="AA240" s="198">
        <v>2283.81</v>
      </c>
      <c r="AB240" s="198"/>
      <c r="AC240" s="199">
        <f t="shared" si="14"/>
        <v>1087.0960000000005</v>
      </c>
      <c r="AD240" s="198"/>
      <c r="AE240" s="198">
        <v>29.734999999999999</v>
      </c>
      <c r="AF240" s="198">
        <v>311.28399999999999</v>
      </c>
      <c r="AG240" s="198">
        <v>484.63099999999997</v>
      </c>
      <c r="AH240" s="198">
        <v>340.31299999999999</v>
      </c>
      <c r="AI240" s="198"/>
      <c r="AJ240" s="198"/>
      <c r="AK240" s="197"/>
      <c r="AL240" s="198"/>
      <c r="AM240" s="198"/>
      <c r="AN240" s="198"/>
      <c r="AO240" s="198"/>
      <c r="AP240" s="198"/>
      <c r="AQ240" s="199"/>
      <c r="AR240" s="198">
        <v>817866.46404537011</v>
      </c>
      <c r="AS240" s="198">
        <v>181430.07433817998</v>
      </c>
      <c r="AT240" s="198">
        <v>83865.585073860013</v>
      </c>
      <c r="AU240" s="198">
        <v>40966.65309557</v>
      </c>
      <c r="AV240" s="198">
        <v>279990.57446593005</v>
      </c>
      <c r="AW240" s="198"/>
      <c r="AX240" s="198">
        <v>231613.57707183005</v>
      </c>
      <c r="AY240" s="197">
        <v>58013144.705753006</v>
      </c>
      <c r="AZ240" s="198"/>
      <c r="BA240" s="198">
        <v>38560966.190887004</v>
      </c>
      <c r="BB240" s="198">
        <v>12122924.755852001</v>
      </c>
      <c r="BC240" s="198">
        <v>7329253.7590140002</v>
      </c>
      <c r="BD240" s="198"/>
      <c r="BE240" s="198"/>
      <c r="BF240" s="197">
        <v>113647212.35000001</v>
      </c>
      <c r="BG240" s="198"/>
      <c r="BH240" s="198">
        <v>70848450.150000006</v>
      </c>
      <c r="BI240" s="198">
        <v>8393385.6799999997</v>
      </c>
      <c r="BJ240" s="198">
        <v>32550687.530000005</v>
      </c>
      <c r="BK240" s="198">
        <v>1854688.99</v>
      </c>
      <c r="BL240" s="198"/>
      <c r="BM240" s="197">
        <v>5453638.5389999999</v>
      </c>
      <c r="BN240" s="198">
        <v>317104.32</v>
      </c>
      <c r="BO240" s="198">
        <v>622734.61199999996</v>
      </c>
      <c r="BP240" s="198">
        <v>1634058.3859999999</v>
      </c>
      <c r="BQ240" s="198">
        <v>1438800.629</v>
      </c>
      <c r="BR240" s="198"/>
      <c r="BS240" s="198">
        <f t="shared" si="2"/>
        <v>1440940.5920000002</v>
      </c>
      <c r="BT240" s="197"/>
      <c r="BU240" s="198"/>
      <c r="BV240" s="198"/>
      <c r="BW240" s="198"/>
      <c r="BX240" s="198"/>
      <c r="BY240" s="198"/>
      <c r="BZ240" s="198"/>
      <c r="CA240" s="197">
        <v>573.49099999999999</v>
      </c>
      <c r="CB240" s="198"/>
      <c r="CC240" s="198"/>
      <c r="CD240" s="198"/>
      <c r="CE240" s="198"/>
      <c r="CF240" s="198"/>
      <c r="CG240" s="198"/>
      <c r="CH240" s="197">
        <v>9981150.9699799996</v>
      </c>
      <c r="CI240" s="198"/>
      <c r="CJ240" s="198">
        <v>4542982.0096100001</v>
      </c>
      <c r="CK240" s="198">
        <v>1294838.1363300001</v>
      </c>
      <c r="CL240" s="198">
        <v>3188489.5658</v>
      </c>
      <c r="CM240" s="198">
        <v>954841.25823999988</v>
      </c>
      <c r="CN240" s="198"/>
      <c r="CO240" s="197">
        <v>8482.8302800000001</v>
      </c>
      <c r="CP240" s="198">
        <v>827.11782999999991</v>
      </c>
      <c r="CQ240" s="198">
        <v>1409.15452</v>
      </c>
      <c r="CR240" s="198">
        <v>2035.9269899999999</v>
      </c>
      <c r="CS240" s="198">
        <v>1898.5902800000001</v>
      </c>
      <c r="CT240" s="198"/>
      <c r="CU240" s="198">
        <v>2312.0406599999992</v>
      </c>
      <c r="CV240" s="197">
        <v>1534.761</v>
      </c>
      <c r="CW240" s="198"/>
      <c r="CX240" s="198"/>
      <c r="CY240" s="198"/>
      <c r="CZ240" s="198"/>
      <c r="DA240" s="198"/>
      <c r="DB240" s="198"/>
      <c r="DC240" s="197">
        <v>61713.895771000003</v>
      </c>
      <c r="DD240" s="198">
        <v>6465.3360000000002</v>
      </c>
      <c r="DE240" s="198">
        <v>12707.857</v>
      </c>
      <c r="DF240" s="198"/>
      <c r="DG240" s="198">
        <v>13202.589</v>
      </c>
      <c r="DH240" s="198"/>
      <c r="DI240" s="198">
        <f>DC240-DD240-DE240-DG240</f>
        <v>29338.113770999997</v>
      </c>
      <c r="DJ240" s="197">
        <f>3014.8+45192.2</f>
        <v>48207</v>
      </c>
      <c r="DK240" s="198">
        <f>2475.4+10065.1</f>
        <v>12540.5</v>
      </c>
      <c r="DL240" s="198">
        <f>2.9+2220+9998.9</f>
        <v>12221.8</v>
      </c>
      <c r="DM240" s="198">
        <v>4128.2</v>
      </c>
      <c r="DN240" s="198">
        <f>14381.9-DM240</f>
        <v>10253.700000000001</v>
      </c>
      <c r="DO240" s="198"/>
      <c r="DP240" s="198">
        <f t="shared" si="20"/>
        <v>9062.8000000000029</v>
      </c>
      <c r="DQ240" s="197"/>
      <c r="DR240" s="198"/>
      <c r="DS240" s="198"/>
      <c r="DT240" s="198"/>
      <c r="DU240" s="198"/>
      <c r="DV240" s="198"/>
      <c r="DW240" s="198"/>
      <c r="DX240" s="197">
        <v>107502.96709000001</v>
      </c>
      <c r="DY240" s="198"/>
      <c r="DZ240" s="198">
        <v>74017.317709999988</v>
      </c>
      <c r="EA240" s="198">
        <v>15877.06727</v>
      </c>
      <c r="EB240" s="198">
        <v>16058.83266</v>
      </c>
      <c r="EC240" s="198"/>
      <c r="ED240" s="198">
        <v>1549.74946</v>
      </c>
      <c r="EE240" s="198"/>
      <c r="EF240" s="198"/>
      <c r="EG240" s="198"/>
      <c r="EH240" s="198"/>
      <c r="EI240" s="198"/>
      <c r="EJ240" s="198"/>
      <c r="EK240" s="199"/>
      <c r="EL240" s="198">
        <v>1539191.1370040006</v>
      </c>
      <c r="EM240" s="198">
        <v>607034.79107399995</v>
      </c>
      <c r="EN240" s="198">
        <v>68568.609811000017</v>
      </c>
      <c r="EO240" s="198">
        <v>255801.31927199999</v>
      </c>
      <c r="EP240" s="198">
        <v>431924.05174600013</v>
      </c>
      <c r="EQ240" s="198"/>
      <c r="ER240" s="199">
        <v>175862.36510599998</v>
      </c>
      <c r="ES240" s="198">
        <v>36484.544333209997</v>
      </c>
      <c r="ET240" s="198">
        <v>3280.5468558799998</v>
      </c>
      <c r="EU240" s="198">
        <v>10015.54175482</v>
      </c>
      <c r="EV240" s="198">
        <v>4945.7862068900004</v>
      </c>
      <c r="EW240" s="198">
        <v>11567.789328300001</v>
      </c>
      <c r="EX240" s="198"/>
      <c r="EY240" s="199">
        <f t="shared" si="24"/>
        <v>6674.8801873199991</v>
      </c>
      <c r="EZ240" s="198">
        <v>18105</v>
      </c>
      <c r="FA240" s="198">
        <v>701</v>
      </c>
      <c r="FB240" s="198">
        <v>4934</v>
      </c>
      <c r="FC240" s="198">
        <v>4905</v>
      </c>
      <c r="FD240" s="198">
        <v>4015</v>
      </c>
      <c r="FE240" s="198">
        <v>47</v>
      </c>
      <c r="FF240" s="198">
        <f t="shared" si="17"/>
        <v>3550</v>
      </c>
      <c r="FG240" s="197">
        <v>10418999.039865</v>
      </c>
      <c r="FH240" s="198">
        <v>1236493.370992</v>
      </c>
      <c r="FI240" s="198">
        <v>1766368.6972640001</v>
      </c>
      <c r="FJ240" s="198"/>
      <c r="FK240" s="198">
        <v>895450.42404499999</v>
      </c>
      <c r="FL240" s="198"/>
      <c r="FM240" s="198">
        <f t="shared" si="21"/>
        <v>6520686.5475639999</v>
      </c>
      <c r="FN240" s="197">
        <v>60969.552000000003</v>
      </c>
      <c r="FO240" s="198">
        <v>13693.273999999999</v>
      </c>
      <c r="FP240" s="198">
        <v>8232.6919999999991</v>
      </c>
      <c r="FQ240" s="198">
        <v>7932.2820000000002</v>
      </c>
      <c r="FR240" s="198">
        <v>10797.893</v>
      </c>
      <c r="FS240" s="198"/>
      <c r="FT240" s="199">
        <f t="shared" ref="FT240:FT276" si="25">FN240-SUM(FO240:FR240)</f>
        <v>20313.411</v>
      </c>
      <c r="FU240" s="197"/>
      <c r="FV240" s="198"/>
      <c r="FW240" s="198"/>
      <c r="FX240" s="198"/>
      <c r="FY240" s="198"/>
      <c r="FZ240" s="198"/>
      <c r="GA240" s="199"/>
      <c r="GB240" s="197">
        <v>2006.1969999999999</v>
      </c>
      <c r="GC240" s="198"/>
      <c r="GD240" s="198"/>
      <c r="GE240" s="198"/>
      <c r="GF240" s="198"/>
      <c r="GG240" s="198"/>
      <c r="GH240" s="199"/>
      <c r="GI240" s="197">
        <v>1077.597</v>
      </c>
      <c r="GJ240" s="198"/>
      <c r="GK240" s="198"/>
      <c r="GL240" s="198"/>
      <c r="GM240" s="198"/>
      <c r="GN240" s="198"/>
      <c r="GO240" s="199"/>
      <c r="GP240" s="197">
        <v>3116.846</v>
      </c>
      <c r="GQ240" s="198"/>
      <c r="GR240" s="198"/>
      <c r="GS240" s="198"/>
      <c r="GT240" s="198"/>
      <c r="GU240" s="198"/>
      <c r="GV240" s="199"/>
      <c r="GW240" s="197">
        <f>[2]sur!P24</f>
        <v>1720</v>
      </c>
      <c r="GX240" s="198">
        <f>[2]sur!Q24</f>
        <v>122.1</v>
      </c>
      <c r="GY240" s="198">
        <f>[2]sur!R24</f>
        <v>438.09999999999997</v>
      </c>
      <c r="GZ240" s="198">
        <f>[2]sur!S24</f>
        <v>227.5</v>
      </c>
      <c r="HA240" s="198"/>
      <c r="HB240" s="198"/>
      <c r="HC240" s="199">
        <f>[2]sur!V24</f>
        <v>932.3</v>
      </c>
      <c r="HD240" s="197"/>
      <c r="HE240" s="198"/>
      <c r="HF240" s="198"/>
      <c r="HG240" s="198"/>
      <c r="HH240" s="198"/>
      <c r="HI240" s="198"/>
      <c r="HJ240" s="199"/>
      <c r="HK240" s="197">
        <v>4896</v>
      </c>
      <c r="HL240" s="198">
        <v>1170.9145702317564</v>
      </c>
      <c r="HM240" s="198">
        <v>468.25064162446756</v>
      </c>
      <c r="HN240" s="198">
        <v>61.777239848495711</v>
      </c>
      <c r="HO240" s="198">
        <v>1659.1528739815894</v>
      </c>
      <c r="HP240" s="198"/>
      <c r="HQ240" s="198">
        <f t="shared" si="16"/>
        <v>1535.9046743136905</v>
      </c>
      <c r="HR240" s="197">
        <v>85695.380999999994</v>
      </c>
      <c r="HT240" s="198">
        <v>46456.821000000004</v>
      </c>
      <c r="HU240" s="198">
        <v>7664.2439999999997</v>
      </c>
      <c r="HV240" s="198">
        <v>18131.646000000001</v>
      </c>
      <c r="HW240" s="198">
        <v>3505.355</v>
      </c>
      <c r="HX240" s="198">
        <v>9937.3150000000005</v>
      </c>
    </row>
    <row r="241" spans="1:233">
      <c r="A241" s="185" t="s">
        <v>496</v>
      </c>
      <c r="B241" s="197">
        <v>2711.8870000000002</v>
      </c>
      <c r="C241" s="198"/>
      <c r="D241" s="198"/>
      <c r="E241" s="198"/>
      <c r="F241" s="198"/>
      <c r="G241" s="198"/>
      <c r="H241" s="199"/>
      <c r="I241" s="197">
        <v>114795.4</v>
      </c>
      <c r="J241" s="198"/>
      <c r="K241" s="198"/>
      <c r="L241" s="198">
        <v>12858.1</v>
      </c>
      <c r="M241" s="198">
        <v>17660.099999999999</v>
      </c>
      <c r="N241" s="198"/>
      <c r="O241" s="199">
        <f>[3]arg!$G107</f>
        <v>66807.600000000006</v>
      </c>
      <c r="P241" s="198">
        <v>6373.701</v>
      </c>
      <c r="Q241" s="198">
        <v>49.802</v>
      </c>
      <c r="R241" s="198">
        <v>499.59100000000001</v>
      </c>
      <c r="S241" s="198">
        <v>454.40899999999999</v>
      </c>
      <c r="T241" s="198">
        <v>4406.7380000000003</v>
      </c>
      <c r="U241" s="198"/>
      <c r="V241" s="199">
        <f t="shared" si="22"/>
        <v>963.16100000000006</v>
      </c>
      <c r="W241" s="198">
        <v>4905.1850000000004</v>
      </c>
      <c r="X241" s="198">
        <v>130.05099999999999</v>
      </c>
      <c r="Y241" s="198">
        <v>978.577</v>
      </c>
      <c r="Z241" s="198">
        <v>369.74400000000003</v>
      </c>
      <c r="AA241" s="198">
        <v>2315.2860000000001</v>
      </c>
      <c r="AB241" s="198"/>
      <c r="AC241" s="199">
        <f t="shared" si="14"/>
        <v>1111.5269999999996</v>
      </c>
      <c r="AD241" s="198"/>
      <c r="AE241" s="198">
        <v>30.802</v>
      </c>
      <c r="AF241" s="198">
        <v>316.25400000000002</v>
      </c>
      <c r="AG241" s="198">
        <v>485.05500000000001</v>
      </c>
      <c r="AH241" s="198">
        <v>348.72</v>
      </c>
      <c r="AI241" s="198"/>
      <c r="AJ241" s="198"/>
      <c r="AK241" s="197"/>
      <c r="AL241" s="198"/>
      <c r="AM241" s="198"/>
      <c r="AN241" s="198"/>
      <c r="AO241" s="198"/>
      <c r="AP241" s="198"/>
      <c r="AQ241" s="199"/>
      <c r="AR241" s="198">
        <v>842294.67220209015</v>
      </c>
      <c r="AS241" s="198">
        <v>188568.05126818005</v>
      </c>
      <c r="AT241" s="198">
        <v>86700.857304649995</v>
      </c>
      <c r="AU241" s="198">
        <v>41877.971337820003</v>
      </c>
      <c r="AV241" s="198">
        <v>287729.67573284003</v>
      </c>
      <c r="AW241" s="198"/>
      <c r="AX241" s="198">
        <v>237418.11655860004</v>
      </c>
      <c r="AY241" s="197">
        <v>59215730.675545998</v>
      </c>
      <c r="AZ241" s="198"/>
      <c r="BA241" s="198">
        <v>39350193.621247999</v>
      </c>
      <c r="BB241" s="198">
        <v>12409393.639097</v>
      </c>
      <c r="BC241" s="198">
        <v>7456143.4152009999</v>
      </c>
      <c r="BD241" s="198"/>
      <c r="BE241" s="198"/>
      <c r="BF241" s="197">
        <v>116153208.87</v>
      </c>
      <c r="BG241" s="198"/>
      <c r="BH241" s="198">
        <v>72435086.5</v>
      </c>
      <c r="BI241" s="198">
        <v>8597036.339999998</v>
      </c>
      <c r="BJ241" s="198">
        <v>33255691.590000004</v>
      </c>
      <c r="BK241" s="198">
        <v>1865394.44</v>
      </c>
      <c r="BL241" s="198"/>
      <c r="BM241" s="197">
        <v>5639039.2520000003</v>
      </c>
      <c r="BN241" s="198">
        <v>309512.53400000004</v>
      </c>
      <c r="BO241" s="198">
        <v>645598.95900000003</v>
      </c>
      <c r="BP241" s="198">
        <v>1701694.544</v>
      </c>
      <c r="BQ241" s="198">
        <v>1499175.361</v>
      </c>
      <c r="BR241" s="198"/>
      <c r="BS241" s="198">
        <f t="shared" si="2"/>
        <v>1483057.8540000003</v>
      </c>
      <c r="BT241" s="197"/>
      <c r="BU241" s="198"/>
      <c r="BV241" s="198"/>
      <c r="BW241" s="198"/>
      <c r="BX241" s="198"/>
      <c r="BY241" s="198"/>
      <c r="BZ241" s="198"/>
      <c r="CA241" s="197">
        <v>583.81600000000003</v>
      </c>
      <c r="CB241" s="198"/>
      <c r="CC241" s="198"/>
      <c r="CD241" s="198"/>
      <c r="CE241" s="198"/>
      <c r="CF241" s="198"/>
      <c r="CG241" s="198"/>
      <c r="CH241" s="197">
        <v>10088247.34977</v>
      </c>
      <c r="CI241" s="198"/>
      <c r="CJ241" s="198">
        <v>4577261.1814400004</v>
      </c>
      <c r="CK241" s="198">
        <v>1325386.8009799998</v>
      </c>
      <c r="CL241" s="198">
        <v>3200161.9021700001</v>
      </c>
      <c r="CM241" s="198">
        <v>985437.46517999994</v>
      </c>
      <c r="CN241" s="198"/>
      <c r="CO241" s="197">
        <v>8566.1948599999996</v>
      </c>
      <c r="CP241" s="198">
        <v>823.42733999999996</v>
      </c>
      <c r="CQ241" s="198">
        <v>1404.3262099999999</v>
      </c>
      <c r="CR241" s="198">
        <v>2054.2674900000002</v>
      </c>
      <c r="CS241" s="198">
        <v>1961.8539599999999</v>
      </c>
      <c r="CT241" s="198"/>
      <c r="CU241" s="198">
        <v>2322.3198599999996</v>
      </c>
      <c r="CV241" s="197">
        <v>1540.7929999999999</v>
      </c>
      <c r="CW241" s="198"/>
      <c r="CX241" s="198"/>
      <c r="CY241" s="198"/>
      <c r="CZ241" s="198"/>
      <c r="DA241" s="198"/>
      <c r="DB241" s="198"/>
      <c r="DC241" s="197">
        <v>62668.607991999997</v>
      </c>
      <c r="DD241" s="198">
        <v>6547.8119999999999</v>
      </c>
      <c r="DE241" s="198">
        <v>12847.598</v>
      </c>
      <c r="DF241" s="198"/>
      <c r="DG241" s="198">
        <v>13567.852000000001</v>
      </c>
      <c r="DH241" s="198"/>
      <c r="DI241" s="198">
        <f t="shared" si="23"/>
        <v>29705.345992000002</v>
      </c>
      <c r="DJ241" s="197">
        <f>3202.7+45443.1</f>
        <v>48645.799999999996</v>
      </c>
      <c r="DK241" s="198">
        <f>2442.8+9913</f>
        <v>12355.8</v>
      </c>
      <c r="DL241" s="198">
        <f>2150.4+9984.4</f>
        <v>12134.8</v>
      </c>
      <c r="DM241" s="198">
        <v>4146.8999999999996</v>
      </c>
      <c r="DN241" s="198">
        <f>14750.2-DM241</f>
        <v>10603.300000000001</v>
      </c>
      <c r="DO241" s="198"/>
      <c r="DP241" s="198">
        <f t="shared" si="20"/>
        <v>9404.9999999999927</v>
      </c>
      <c r="DQ241" s="197"/>
      <c r="DR241" s="198"/>
      <c r="DS241" s="198"/>
      <c r="DT241" s="198"/>
      <c r="DU241" s="198"/>
      <c r="DV241" s="198"/>
      <c r="DW241" s="198"/>
      <c r="DX241" s="197">
        <v>109679.20401</v>
      </c>
      <c r="DY241" s="198"/>
      <c r="DZ241" s="198">
        <v>75143.753079999995</v>
      </c>
      <c r="EA241" s="198">
        <v>16400.893670000001</v>
      </c>
      <c r="EB241" s="198">
        <v>16541.29263</v>
      </c>
      <c r="EC241" s="198"/>
      <c r="ED241" s="198">
        <v>1593.2646599999998</v>
      </c>
      <c r="EE241" s="198"/>
      <c r="EF241" s="198"/>
      <c r="EG241" s="198"/>
      <c r="EH241" s="198"/>
      <c r="EI241" s="198"/>
      <c r="EJ241" s="198"/>
      <c r="EK241" s="199"/>
      <c r="EL241" s="198">
        <v>1583990.4344099998</v>
      </c>
      <c r="EM241" s="198">
        <v>630773.1864319999</v>
      </c>
      <c r="EN241" s="198">
        <v>76391.593934999997</v>
      </c>
      <c r="EO241" s="198">
        <v>261400.08117600001</v>
      </c>
      <c r="EP241" s="198">
        <v>441013.43964899989</v>
      </c>
      <c r="EQ241" s="198"/>
      <c r="ER241" s="199">
        <v>174412.13321599999</v>
      </c>
      <c r="ES241" s="198">
        <v>37484.485130360001</v>
      </c>
      <c r="ET241" s="198">
        <v>3258.58480289</v>
      </c>
      <c r="EU241" s="198">
        <v>10138.055455940001</v>
      </c>
      <c r="EV241" s="198">
        <v>5051.2066838199999</v>
      </c>
      <c r="EW241" s="198">
        <v>11874.325016899998</v>
      </c>
      <c r="EX241" s="198"/>
      <c r="EY241" s="199">
        <f t="shared" si="24"/>
        <v>7162.3131708100009</v>
      </c>
      <c r="EZ241" s="198">
        <v>18380</v>
      </c>
      <c r="FA241" s="198">
        <v>684</v>
      </c>
      <c r="FB241" s="198">
        <v>5106</v>
      </c>
      <c r="FC241" s="198">
        <v>4955</v>
      </c>
      <c r="FD241" s="198">
        <v>4064</v>
      </c>
      <c r="FE241" s="198">
        <v>48</v>
      </c>
      <c r="FF241" s="198">
        <f t="shared" si="17"/>
        <v>3571</v>
      </c>
      <c r="FG241" s="197">
        <v>10860188.553595001</v>
      </c>
      <c r="FH241" s="198">
        <v>1312772.6222799998</v>
      </c>
      <c r="FI241" s="198">
        <v>1892599.3662489997</v>
      </c>
      <c r="FJ241" s="198"/>
      <c r="FK241" s="198">
        <v>932249.84177799989</v>
      </c>
      <c r="FL241" s="198"/>
      <c r="FM241" s="198">
        <f t="shared" ref="FM241:FM248" si="26">FG241-SUM(FH241:FK241)</f>
        <v>6722566.7232880015</v>
      </c>
      <c r="FN241" s="197">
        <v>61646.423000000003</v>
      </c>
      <c r="FO241" s="198">
        <v>13415.587</v>
      </c>
      <c r="FP241" s="198">
        <v>8595.7880000000005</v>
      </c>
      <c r="FQ241" s="198">
        <v>8095.1379999999999</v>
      </c>
      <c r="FR241" s="198">
        <v>11127.924999999999</v>
      </c>
      <c r="FS241" s="198"/>
      <c r="FT241" s="199">
        <f t="shared" si="25"/>
        <v>20411.985000000008</v>
      </c>
      <c r="FU241" s="197"/>
      <c r="FV241" s="198"/>
      <c r="FW241" s="198"/>
      <c r="FX241" s="198"/>
      <c r="FY241" s="198"/>
      <c r="FZ241" s="198"/>
      <c r="GA241" s="199"/>
      <c r="GB241" s="197">
        <v>2030.1210000000001</v>
      </c>
      <c r="GC241" s="198"/>
      <c r="GD241" s="198"/>
      <c r="GE241" s="198"/>
      <c r="GF241" s="198"/>
      <c r="GG241" s="198"/>
      <c r="GH241" s="199"/>
      <c r="GI241" s="197">
        <v>1102.3910000000001</v>
      </c>
      <c r="GJ241" s="198"/>
      <c r="GK241" s="198"/>
      <c r="GL241" s="198"/>
      <c r="GM241" s="198"/>
      <c r="GN241" s="198"/>
      <c r="GO241" s="199"/>
      <c r="GP241" s="197">
        <v>3170.7570000000001</v>
      </c>
      <c r="GQ241" s="198"/>
      <c r="GR241" s="198"/>
      <c r="GS241" s="198"/>
      <c r="GT241" s="198"/>
      <c r="GU241" s="198"/>
      <c r="GV241" s="199"/>
      <c r="GW241" s="197">
        <f>[2]sur!P25</f>
        <v>1771.9</v>
      </c>
      <c r="GX241" s="198">
        <f>[2]sur!Q25</f>
        <v>123.6</v>
      </c>
      <c r="GY241" s="198">
        <f>[2]sur!R25</f>
        <v>445.5</v>
      </c>
      <c r="GZ241" s="198">
        <f>[2]sur!S25</f>
        <v>236.60000000000002</v>
      </c>
      <c r="HA241" s="198"/>
      <c r="HB241" s="198"/>
      <c r="HC241" s="199">
        <f>[2]sur!V25</f>
        <v>966.2</v>
      </c>
      <c r="HD241" s="197"/>
      <c r="HE241" s="198"/>
      <c r="HF241" s="198"/>
      <c r="HG241" s="198"/>
      <c r="HH241" s="198"/>
      <c r="HI241" s="198"/>
      <c r="HJ241" s="199"/>
      <c r="HK241" s="197">
        <v>4972</v>
      </c>
      <c r="HL241" s="198">
        <v>1222.8673617732143</v>
      </c>
      <c r="HM241" s="198">
        <v>479.03073690944041</v>
      </c>
      <c r="HN241" s="198">
        <v>65.114260279375515</v>
      </c>
      <c r="HO241" s="198">
        <v>1677.1064109360138</v>
      </c>
      <c r="HP241" s="198"/>
      <c r="HQ241" s="198">
        <f t="shared" si="16"/>
        <v>1527.8812301019559</v>
      </c>
      <c r="HR241" s="197">
        <v>89099.615999999995</v>
      </c>
      <c r="HT241" s="198">
        <v>47730.438000000002</v>
      </c>
      <c r="HU241" s="198">
        <v>8107.1130000000003</v>
      </c>
      <c r="HV241" s="198">
        <v>19290.513999999999</v>
      </c>
      <c r="HW241" s="198">
        <v>3653.7919999999999</v>
      </c>
      <c r="HX241" s="198">
        <v>10317.759</v>
      </c>
    </row>
    <row r="242" spans="1:233">
      <c r="A242" s="185" t="s">
        <v>497</v>
      </c>
      <c r="B242" s="197">
        <v>2749.6109999999999</v>
      </c>
      <c r="C242" s="198">
        <v>62.156999999999996</v>
      </c>
      <c r="D242" s="198">
        <v>462.39400000000001</v>
      </c>
      <c r="E242" s="198">
        <v>664.06299999999999</v>
      </c>
      <c r="F242" s="198">
        <v>535.86699999999996</v>
      </c>
      <c r="G242" s="198"/>
      <c r="H242" s="199">
        <v>1025.1300000000001</v>
      </c>
      <c r="I242" s="197">
        <v>117986.3</v>
      </c>
      <c r="J242" s="198"/>
      <c r="K242" s="198"/>
      <c r="L242" s="198">
        <v>13346.2</v>
      </c>
      <c r="M242" s="198">
        <v>18495.8</v>
      </c>
      <c r="N242" s="198"/>
      <c r="O242" s="199">
        <f>[3]arg!$G108</f>
        <v>68474</v>
      </c>
      <c r="P242" s="198">
        <v>6440.8770000000004</v>
      </c>
      <c r="Q242" s="198">
        <v>52.66</v>
      </c>
      <c r="R242" s="198">
        <v>507.68500000000006</v>
      </c>
      <c r="S242" s="198">
        <v>456.18599999999998</v>
      </c>
      <c r="T242" s="198">
        <v>4462.7759999999998</v>
      </c>
      <c r="U242" s="198"/>
      <c r="V242" s="199">
        <f t="shared" si="22"/>
        <v>961.57000000000062</v>
      </c>
      <c r="W242" s="198">
        <v>4978.7479999999996</v>
      </c>
      <c r="X242" s="198">
        <v>137.18</v>
      </c>
      <c r="Y242" s="198">
        <v>990.50100000000009</v>
      </c>
      <c r="Z242" s="198">
        <v>370.85</v>
      </c>
      <c r="AA242" s="198">
        <v>2352.7170000000001</v>
      </c>
      <c r="AB242" s="198"/>
      <c r="AC242" s="199">
        <f t="shared" si="14"/>
        <v>1127.4999999999991</v>
      </c>
      <c r="AD242" s="198"/>
      <c r="AE242" s="198">
        <v>30.109000000000002</v>
      </c>
      <c r="AF242" s="198">
        <v>325.92200000000003</v>
      </c>
      <c r="AG242" s="198">
        <v>492.54</v>
      </c>
      <c r="AH242" s="198">
        <v>351.88400000000001</v>
      </c>
      <c r="AI242" s="198"/>
      <c r="AJ242" s="198"/>
      <c r="AK242" s="197">
        <v>30937.157499999998</v>
      </c>
      <c r="AL242" s="198"/>
      <c r="AM242" s="198">
        <v>14941.689999999999</v>
      </c>
      <c r="AN242" s="198">
        <v>6787.0024999999996</v>
      </c>
      <c r="AO242" s="198">
        <v>2857.4024999999997</v>
      </c>
      <c r="AP242" s="198">
        <v>6351.83</v>
      </c>
      <c r="AQ242" s="199"/>
      <c r="AR242" s="198">
        <v>857327.28929307009</v>
      </c>
      <c r="AS242" s="198">
        <v>191428.88446226</v>
      </c>
      <c r="AT242" s="198">
        <v>88251.507228740011</v>
      </c>
      <c r="AU242" s="198">
        <v>42698.464353910007</v>
      </c>
      <c r="AV242" s="198">
        <v>292859.15372916998</v>
      </c>
      <c r="AW242" s="198"/>
      <c r="AX242" s="198">
        <v>242089.2795189902</v>
      </c>
      <c r="AY242" s="197">
        <v>60229802.401616007</v>
      </c>
      <c r="AZ242" s="198"/>
      <c r="BA242" s="198">
        <v>39979207.113580003</v>
      </c>
      <c r="BB242" s="198">
        <v>12721028.374938</v>
      </c>
      <c r="BC242" s="198">
        <v>7529566.913098</v>
      </c>
      <c r="BD242" s="198"/>
      <c r="BE242" s="198"/>
      <c r="BF242" s="197">
        <v>118888700.69</v>
      </c>
      <c r="BG242" s="198"/>
      <c r="BH242" s="198">
        <v>74248927.670000002</v>
      </c>
      <c r="BI242" s="198">
        <v>8792742.4900000002</v>
      </c>
      <c r="BJ242" s="198">
        <v>33944193.589999996</v>
      </c>
      <c r="BK242" s="198">
        <v>1902836.94</v>
      </c>
      <c r="BL242" s="198"/>
      <c r="BM242" s="197">
        <v>5834440.0300000003</v>
      </c>
      <c r="BN242" s="198">
        <v>329449.375</v>
      </c>
      <c r="BO242" s="198">
        <v>657797.35700000008</v>
      </c>
      <c r="BP242" s="198">
        <v>1754194.909</v>
      </c>
      <c r="BQ242" s="198">
        <v>1549850.263</v>
      </c>
      <c r="BR242" s="198"/>
      <c r="BS242" s="198">
        <f t="shared" si="2"/>
        <v>1543148.1260000002</v>
      </c>
      <c r="BT242" s="197"/>
      <c r="BU242" s="198"/>
      <c r="BV242" s="198"/>
      <c r="BW242" s="198"/>
      <c r="BX242" s="198"/>
      <c r="BY242" s="198"/>
      <c r="BZ242" s="198"/>
      <c r="CA242" s="197">
        <v>625.67200000000003</v>
      </c>
      <c r="CB242" s="198">
        <v>26.018999999999998</v>
      </c>
      <c r="CC242" s="198">
        <v>96.049000000000007</v>
      </c>
      <c r="CD242" s="198">
        <v>215.94300000000001</v>
      </c>
      <c r="CE242" s="198">
        <v>150.459</v>
      </c>
      <c r="CF242" s="198"/>
      <c r="CG242" s="198">
        <f>CA242-CB242-CC242-CD242-CE242</f>
        <v>137.20200000000006</v>
      </c>
      <c r="CH242" s="197">
        <v>10186993.808770001</v>
      </c>
      <c r="CI242" s="198"/>
      <c r="CJ242" s="198">
        <v>4577415.7130899997</v>
      </c>
      <c r="CK242" s="198">
        <v>1356967.1529699999</v>
      </c>
      <c r="CL242" s="198">
        <v>3244974.0434700004</v>
      </c>
      <c r="CM242" s="198">
        <v>1007636.8992399999</v>
      </c>
      <c r="CN242" s="198"/>
      <c r="CO242" s="197">
        <v>8640.4110799999999</v>
      </c>
      <c r="CP242" s="198">
        <v>800.84892000000002</v>
      </c>
      <c r="CQ242" s="198">
        <v>1413.17166</v>
      </c>
      <c r="CR242" s="198">
        <v>2073.3865300000002</v>
      </c>
      <c r="CS242" s="198">
        <v>1980.95138</v>
      </c>
      <c r="CT242" s="198"/>
      <c r="CU242" s="198">
        <v>2372.0525899999998</v>
      </c>
      <c r="CV242" s="197">
        <v>1572.8040000000001</v>
      </c>
      <c r="CW242" s="198">
        <v>24.216000000000001</v>
      </c>
      <c r="CX242" s="198">
        <v>254.518</v>
      </c>
      <c r="CY242" s="198">
        <v>540.99</v>
      </c>
      <c r="CZ242" s="198">
        <v>385.86799999999999</v>
      </c>
      <c r="DA242" s="198"/>
      <c r="DB242" s="198">
        <f>CV242-CW242-CX242-CY242-CZ242</f>
        <v>367.21200000000016</v>
      </c>
      <c r="DC242" s="197">
        <v>64568.721168999997</v>
      </c>
      <c r="DD242" s="198">
        <v>7015.7650000000003</v>
      </c>
      <c r="DE242" s="198">
        <v>13550.082</v>
      </c>
      <c r="DF242" s="198"/>
      <c r="DG242" s="198">
        <v>15724.343999999999</v>
      </c>
      <c r="DH242" s="198"/>
      <c r="DI242" s="198">
        <f t="shared" si="23"/>
        <v>28278.530168999998</v>
      </c>
      <c r="DJ242" s="197">
        <f>2913.4+44952.4</f>
        <v>47865.8</v>
      </c>
      <c r="DK242" s="198">
        <f>2363.4+9995.7</f>
        <v>12359.1</v>
      </c>
      <c r="DL242" s="198">
        <f>2080.2+10469.5</f>
        <v>12549.7</v>
      </c>
      <c r="DM242" s="198">
        <v>5069.2</v>
      </c>
      <c r="DN242" s="198">
        <f>13768.5-DM242</f>
        <v>8699.2999999999993</v>
      </c>
      <c r="DO242" s="198"/>
      <c r="DP242" s="198">
        <f t="shared" si="20"/>
        <v>9188.5</v>
      </c>
      <c r="DQ242" s="197"/>
      <c r="DR242" s="198"/>
      <c r="DS242" s="198"/>
      <c r="DT242" s="198"/>
      <c r="DU242" s="198"/>
      <c r="DV242" s="198"/>
      <c r="DW242" s="198"/>
      <c r="DX242" s="197">
        <v>113967.32166</v>
      </c>
      <c r="DY242" s="198"/>
      <c r="DZ242" s="198">
        <v>77917.576010000004</v>
      </c>
      <c r="EA242" s="198">
        <v>17023.755949999999</v>
      </c>
      <c r="EB242" s="198">
        <v>17248.692640000001</v>
      </c>
      <c r="EC242" s="198"/>
      <c r="ED242" s="198">
        <v>1777.2970800000001</v>
      </c>
      <c r="EE242" s="198">
        <v>183898.41800000001</v>
      </c>
      <c r="EF242" s="198">
        <v>6309.2349999999997</v>
      </c>
      <c r="EG242" s="198">
        <v>46399.050999999999</v>
      </c>
      <c r="EH242" s="198">
        <v>10427.761</v>
      </c>
      <c r="EI242" s="198">
        <v>68225.589000000007</v>
      </c>
      <c r="EJ242" s="198"/>
      <c r="EK242" s="199">
        <f>EE242-EF242-EG242-EH242-EI242</f>
        <v>52536.782000000007</v>
      </c>
      <c r="EL242" s="198">
        <v>1613242.3523519998</v>
      </c>
      <c r="EM242" s="198">
        <v>654125.74080299994</v>
      </c>
      <c r="EN242" s="198">
        <v>74163.254017000014</v>
      </c>
      <c r="EO242" s="198">
        <v>267071.51203099999</v>
      </c>
      <c r="EP242" s="198">
        <v>447985.21447899996</v>
      </c>
      <c r="EQ242" s="198"/>
      <c r="ER242" s="199">
        <v>169896.63102200007</v>
      </c>
      <c r="ES242" s="198">
        <v>38297.462285549998</v>
      </c>
      <c r="ET242" s="198">
        <v>3166.98170441</v>
      </c>
      <c r="EU242" s="198">
        <v>10363.861762070001</v>
      </c>
      <c r="EV242" s="198">
        <v>5168.6775557999999</v>
      </c>
      <c r="EW242" s="198">
        <v>12285.22527707</v>
      </c>
      <c r="EX242" s="198"/>
      <c r="EY242" s="199">
        <f t="shared" si="24"/>
        <v>7312.7159861999971</v>
      </c>
      <c r="EZ242" s="198">
        <v>18657</v>
      </c>
      <c r="FA242" s="198">
        <v>687</v>
      </c>
      <c r="FB242" s="198">
        <v>5326</v>
      </c>
      <c r="FC242" s="198">
        <v>4866</v>
      </c>
      <c r="FD242" s="198">
        <v>4105</v>
      </c>
      <c r="FE242" s="198">
        <v>49</v>
      </c>
      <c r="FF242" s="198">
        <f t="shared" si="17"/>
        <v>3673</v>
      </c>
      <c r="FG242" s="197">
        <v>11220215.022809999</v>
      </c>
      <c r="FH242" s="198">
        <v>1397603.303391</v>
      </c>
      <c r="FI242" s="198">
        <v>1981745.106077</v>
      </c>
      <c r="FJ242" s="198"/>
      <c r="FK242" s="198">
        <v>950972.61587200011</v>
      </c>
      <c r="FL242" s="198"/>
      <c r="FM242" s="198">
        <f t="shared" si="26"/>
        <v>6889893.9974699989</v>
      </c>
      <c r="FN242" s="197">
        <v>62233.83</v>
      </c>
      <c r="FO242" s="198">
        <v>13568.333000000001</v>
      </c>
      <c r="FP242" s="198">
        <v>8771.1859999999997</v>
      </c>
      <c r="FQ242" s="198">
        <v>8079.3890000000001</v>
      </c>
      <c r="FR242" s="198">
        <v>11324.22</v>
      </c>
      <c r="FS242" s="198"/>
      <c r="FT242" s="199">
        <f t="shared" si="25"/>
        <v>20490.702000000005</v>
      </c>
      <c r="FU242" s="197">
        <v>278510.65373465919</v>
      </c>
      <c r="FV242" s="198">
        <v>19984.593103759998</v>
      </c>
      <c r="FW242" s="198">
        <v>52784.963955529725</v>
      </c>
      <c r="FX242" s="198">
        <v>57396.098518090053</v>
      </c>
      <c r="FY242" s="198">
        <v>72256.189258749422</v>
      </c>
      <c r="FZ242" s="198"/>
      <c r="GA242" s="199">
        <f>FU242-FV242-FW242-FX242-FY242</f>
        <v>76088.808898529969</v>
      </c>
      <c r="GB242" s="197">
        <v>2009.7929999999999</v>
      </c>
      <c r="GC242" s="198">
        <v>25.31</v>
      </c>
      <c r="GD242" s="198">
        <v>198.36099999999999</v>
      </c>
      <c r="GE242" s="198">
        <v>353.94600000000003</v>
      </c>
      <c r="GF242" s="198">
        <v>339.363</v>
      </c>
      <c r="GG242" s="198"/>
      <c r="GH242" s="199">
        <f>GB242-GC242-GD242-GE242-GF242</f>
        <v>1092.8129999999999</v>
      </c>
      <c r="GI242" s="197">
        <v>1106.2270000000001</v>
      </c>
      <c r="GJ242" s="198">
        <v>39.238</v>
      </c>
      <c r="GK242" s="198">
        <v>128.32499999999999</v>
      </c>
      <c r="GL242" s="198">
        <v>343.714</v>
      </c>
      <c r="GM242" s="198">
        <v>207.50200000000001</v>
      </c>
      <c r="GN242" s="198"/>
      <c r="GO242" s="199">
        <f>GI242-GJ242-GK242-GL242-GM242</f>
        <v>387.44800000000004</v>
      </c>
      <c r="GP242" s="197">
        <v>3233.0830000000001</v>
      </c>
      <c r="GQ242" s="198">
        <v>65.009</v>
      </c>
      <c r="GR242" s="198">
        <v>892.26499999999999</v>
      </c>
      <c r="GS242" s="198">
        <v>499.245</v>
      </c>
      <c r="GT242" s="198">
        <v>610.00400000000002</v>
      </c>
      <c r="GU242" s="198"/>
      <c r="GV242" s="199">
        <f>GP242-GQ242-GR242-GS242-GT242</f>
        <v>1166.5600000000004</v>
      </c>
      <c r="GW242" s="197">
        <f>[2]sur!P26</f>
        <v>1827.8</v>
      </c>
      <c r="GX242" s="198">
        <f>[2]sur!Q26</f>
        <v>126.60000000000001</v>
      </c>
      <c r="GY242" s="198">
        <f>[2]sur!R26</f>
        <v>450.79999999999995</v>
      </c>
      <c r="GZ242" s="198">
        <f>[2]sur!S26</f>
        <v>251.1</v>
      </c>
      <c r="HA242" s="198"/>
      <c r="HB242" s="198"/>
      <c r="HC242" s="199">
        <f>[2]sur!V26</f>
        <v>999.3</v>
      </c>
      <c r="HD242" s="197">
        <f>'[2]t&amp;t'!W374</f>
        <v>38851.199999999997</v>
      </c>
      <c r="HE242" s="198">
        <f>'[2]t&amp;t'!X374</f>
        <v>2687.5</v>
      </c>
      <c r="HF242" s="198">
        <f>'[2]t&amp;t'!Y374</f>
        <v>3430.2</v>
      </c>
      <c r="HG242" s="198">
        <f>'[2]t&amp;t'!Z374</f>
        <v>6508.2</v>
      </c>
      <c r="HH242" s="198">
        <f>'[2]t&amp;t'!AA374</f>
        <v>11509.300000000001</v>
      </c>
      <c r="HI242" s="198"/>
      <c r="HJ242" s="199">
        <f>'[2]t&amp;t'!AC374</f>
        <v>14716.000000000002</v>
      </c>
      <c r="HK242" s="197">
        <v>5107</v>
      </c>
      <c r="HL242" s="198">
        <v>1225.8621245583715</v>
      </c>
      <c r="HM242" s="198">
        <v>487.52460002268526</v>
      </c>
      <c r="HN242" s="198">
        <v>66.46164473631535</v>
      </c>
      <c r="HO242" s="198">
        <v>1746.6741674788307</v>
      </c>
      <c r="HP242" s="198"/>
      <c r="HQ242" s="198">
        <f t="shared" si="16"/>
        <v>1580.4774632037968</v>
      </c>
      <c r="HR242" s="197">
        <v>93675.479000000007</v>
      </c>
      <c r="HT242" s="198">
        <v>49687.538</v>
      </c>
      <c r="HU242" s="198">
        <v>8536.1080000000002</v>
      </c>
      <c r="HV242" s="198">
        <v>20540.942999999999</v>
      </c>
      <c r="HW242" s="198">
        <v>3830.5839999999998</v>
      </c>
      <c r="HX242" s="198">
        <v>11080.306</v>
      </c>
    </row>
    <row r="243" spans="1:233">
      <c r="A243" s="185" t="s">
        <v>498</v>
      </c>
      <c r="B243" s="197">
        <v>2807.4389999999999</v>
      </c>
      <c r="C243" s="198"/>
      <c r="D243" s="198"/>
      <c r="E243" s="198"/>
      <c r="F243" s="198"/>
      <c r="G243" s="198"/>
      <c r="H243" s="199"/>
      <c r="I243" s="197">
        <v>121019.2</v>
      </c>
      <c r="J243" s="198"/>
      <c r="K243" s="198"/>
      <c r="L243" s="198">
        <v>13820.8</v>
      </c>
      <c r="M243" s="198">
        <v>19388.400000000001</v>
      </c>
      <c r="N243" s="198"/>
      <c r="O243" s="199">
        <f>[3]arg!$G109</f>
        <v>70282.399999999994</v>
      </c>
      <c r="P243" s="198">
        <v>6472.7579999999998</v>
      </c>
      <c r="Q243" s="198">
        <v>51.085000000000001</v>
      </c>
      <c r="R243" s="198">
        <v>509.81100000000004</v>
      </c>
      <c r="S243" s="198">
        <v>462.50599999999997</v>
      </c>
      <c r="T243" s="198">
        <v>4486.4399999999996</v>
      </c>
      <c r="U243" s="198"/>
      <c r="V243" s="199">
        <f t="shared" si="22"/>
        <v>962.91600000000017</v>
      </c>
      <c r="W243" s="198">
        <v>5043.5940000000001</v>
      </c>
      <c r="X243" s="198">
        <v>114.203</v>
      </c>
      <c r="Y243" s="198">
        <v>998.79100000000005</v>
      </c>
      <c r="Z243" s="198">
        <v>339.33699999999999</v>
      </c>
      <c r="AA243" s="198">
        <v>2375.2020000000002</v>
      </c>
      <c r="AB243" s="198"/>
      <c r="AC243" s="199">
        <f t="shared" si="14"/>
        <v>1216.0609999999992</v>
      </c>
      <c r="AD243" s="198"/>
      <c r="AE243" s="198">
        <v>33.173999999999999</v>
      </c>
      <c r="AF243" s="198">
        <v>327.95100000000002</v>
      </c>
      <c r="AG243" s="198">
        <v>509.34799999999996</v>
      </c>
      <c r="AH243" s="198">
        <v>347.94499999999999</v>
      </c>
      <c r="AI243" s="198"/>
      <c r="AJ243" s="198"/>
      <c r="AK243" s="197"/>
      <c r="AL243" s="198"/>
      <c r="AM243" s="198"/>
      <c r="AN243" s="198"/>
      <c r="AO243" s="198"/>
      <c r="AP243" s="198"/>
      <c r="AQ243" s="199"/>
      <c r="AR243" s="198">
        <v>881630.52328496007</v>
      </c>
      <c r="AS243" s="198">
        <v>197420.20942344997</v>
      </c>
      <c r="AT243" s="198">
        <v>91215.19661591998</v>
      </c>
      <c r="AU243" s="198">
        <v>43499.328454940005</v>
      </c>
      <c r="AV243" s="198">
        <v>302315.37883638003</v>
      </c>
      <c r="AW243" s="198"/>
      <c r="AX243" s="198">
        <v>247180.40995427017</v>
      </c>
      <c r="AY243" s="197">
        <v>61033077.962455995</v>
      </c>
      <c r="AZ243" s="198"/>
      <c r="BA243" s="198">
        <v>40422185.089218996</v>
      </c>
      <c r="BB243" s="198">
        <v>12982869.075794</v>
      </c>
      <c r="BC243" s="198">
        <v>7628023.7974429997</v>
      </c>
      <c r="BD243" s="198"/>
      <c r="BE243" s="198"/>
      <c r="BF243" s="197">
        <v>121727083.50000001</v>
      </c>
      <c r="BG243" s="198"/>
      <c r="BH243" s="198">
        <v>75138465.920000002</v>
      </c>
      <c r="BI243" s="198">
        <v>9300358.870000001</v>
      </c>
      <c r="BJ243" s="198">
        <v>35349565.079999998</v>
      </c>
      <c r="BK243" s="198">
        <v>1938693.63</v>
      </c>
      <c r="BL243" s="198"/>
      <c r="BM243" s="197">
        <v>6029322.1310000001</v>
      </c>
      <c r="BN243" s="198">
        <v>364926.43599999999</v>
      </c>
      <c r="BO243" s="198">
        <v>698459.32499999995</v>
      </c>
      <c r="BP243" s="198">
        <v>1668148.497</v>
      </c>
      <c r="BQ243" s="198">
        <v>1600132.111</v>
      </c>
      <c r="BR243" s="198"/>
      <c r="BS243" s="198">
        <f t="shared" si="2"/>
        <v>1697655.7620000001</v>
      </c>
      <c r="BT243" s="197"/>
      <c r="BU243" s="198"/>
      <c r="BV243" s="198"/>
      <c r="BW243" s="198"/>
      <c r="BX243" s="198"/>
      <c r="BY243" s="198"/>
      <c r="BZ243" s="198"/>
      <c r="CA243" s="197">
        <v>641.68799999999999</v>
      </c>
      <c r="CB243" s="198"/>
      <c r="CC243" s="198"/>
      <c r="CD243" s="198"/>
      <c r="CE243" s="198"/>
      <c r="CF243" s="198"/>
      <c r="CG243" s="198"/>
      <c r="CH243" s="197">
        <v>10267769.755719999</v>
      </c>
      <c r="CI243" s="198"/>
      <c r="CJ243" s="198">
        <v>4645822.4826499997</v>
      </c>
      <c r="CK243" s="198">
        <v>1343130.5747100001</v>
      </c>
      <c r="CL243" s="198">
        <v>3238872.2578800004</v>
      </c>
      <c r="CM243" s="198">
        <v>1039944.4404799999</v>
      </c>
      <c r="CN243" s="198"/>
      <c r="CO243" s="197">
        <v>8717.2802100000008</v>
      </c>
      <c r="CP243" s="198">
        <v>814.31908999999996</v>
      </c>
      <c r="CQ243" s="198">
        <v>1418.7165500000001</v>
      </c>
      <c r="CR243" s="198">
        <v>2095.8302699999999</v>
      </c>
      <c r="CS243" s="198">
        <v>2010.6152400000001</v>
      </c>
      <c r="CT243" s="198"/>
      <c r="CU243" s="198">
        <v>2377.7990600000007</v>
      </c>
      <c r="CV243" s="197">
        <v>1566.7190000000001</v>
      </c>
      <c r="CW243" s="198"/>
      <c r="CX243" s="198"/>
      <c r="CY243" s="198"/>
      <c r="CZ243" s="198"/>
      <c r="DA243" s="198"/>
      <c r="DB243" s="198"/>
      <c r="DC243" s="197">
        <v>66443.895772000003</v>
      </c>
      <c r="DD243" s="198">
        <v>7136.2070000000003</v>
      </c>
      <c r="DE243" s="198">
        <v>14121.824000000001</v>
      </c>
      <c r="DF243" s="198"/>
      <c r="DG243" s="198">
        <v>16322.460999999999</v>
      </c>
      <c r="DH243" s="198"/>
      <c r="DI243" s="198">
        <f t="shared" si="23"/>
        <v>28863.403772000001</v>
      </c>
      <c r="DJ243" s="197">
        <f>2968.7+47548</f>
        <v>50516.7</v>
      </c>
      <c r="DK243" s="198">
        <f>2415.2+10314.8</f>
        <v>12730</v>
      </c>
      <c r="DL243" s="198">
        <f>1589.8+10816.9</f>
        <v>12406.699999999999</v>
      </c>
      <c r="DM243" s="198">
        <v>4922.3999999999996</v>
      </c>
      <c r="DN243" s="198">
        <f>15509.1-4922.4</f>
        <v>10586.7</v>
      </c>
      <c r="DO243" s="198"/>
      <c r="DP243" s="198">
        <f t="shared" si="20"/>
        <v>9870.8999999999942</v>
      </c>
      <c r="DQ243" s="197"/>
      <c r="DR243" s="198"/>
      <c r="DS243" s="198"/>
      <c r="DT243" s="198"/>
      <c r="DU243" s="198"/>
      <c r="DV243" s="198"/>
      <c r="DW243" s="198"/>
      <c r="DX243" s="197">
        <v>115806.71347</v>
      </c>
      <c r="DY243" s="198"/>
      <c r="DZ243" s="198">
        <v>79246.73159000001</v>
      </c>
      <c r="EA243" s="198">
        <v>17433.29983</v>
      </c>
      <c r="EB243" s="198">
        <v>17302.20089</v>
      </c>
      <c r="EC243" s="198"/>
      <c r="ED243" s="198">
        <v>1824.4811499999998</v>
      </c>
      <c r="EE243" s="198"/>
      <c r="EF243" s="198"/>
      <c r="EG243" s="198"/>
      <c r="EH243" s="198"/>
      <c r="EI243" s="198"/>
      <c r="EJ243" s="198"/>
      <c r="EK243" s="199"/>
      <c r="EL243" s="198">
        <v>1655900.3796409999</v>
      </c>
      <c r="EM243" s="198">
        <v>680734.32737399999</v>
      </c>
      <c r="EN243" s="198">
        <v>78914.152663000001</v>
      </c>
      <c r="EO243" s="198">
        <v>266563.455105</v>
      </c>
      <c r="EP243" s="198">
        <v>456555.54469099996</v>
      </c>
      <c r="EQ243" s="198"/>
      <c r="ER243" s="199">
        <v>173132.89980500002</v>
      </c>
      <c r="ES243" s="198">
        <v>39952.226282479998</v>
      </c>
      <c r="ET243" s="198">
        <v>3356.3076908399999</v>
      </c>
      <c r="EU243" s="198">
        <v>10810.745567100001</v>
      </c>
      <c r="EV243" s="198">
        <v>5299.0405818600002</v>
      </c>
      <c r="EW243" s="198">
        <v>12618.396658019999</v>
      </c>
      <c r="EX243" s="198"/>
      <c r="EY243" s="199">
        <f t="shared" si="24"/>
        <v>7867.7357846600025</v>
      </c>
      <c r="EZ243" s="198">
        <v>19026</v>
      </c>
      <c r="FA243" s="198">
        <v>700</v>
      </c>
      <c r="FB243" s="198">
        <v>5542</v>
      </c>
      <c r="FC243" s="198">
        <v>4878</v>
      </c>
      <c r="FD243" s="198">
        <v>4182</v>
      </c>
      <c r="FE243" s="198">
        <v>50</v>
      </c>
      <c r="FF243" s="198">
        <f t="shared" si="17"/>
        <v>3724</v>
      </c>
      <c r="FG243" s="197">
        <v>11399583.479658</v>
      </c>
      <c r="FH243" s="198">
        <v>1390849.8500269998</v>
      </c>
      <c r="FI243" s="198">
        <v>2001654.8459290001</v>
      </c>
      <c r="FJ243" s="198"/>
      <c r="FK243" s="198">
        <v>1000501.5982910001</v>
      </c>
      <c r="FL243" s="198"/>
      <c r="FM243" s="198">
        <f t="shared" si="26"/>
        <v>7006577.1854109997</v>
      </c>
      <c r="FN243" s="197">
        <v>62588.67</v>
      </c>
      <c r="FO243" s="198">
        <v>13381.073</v>
      </c>
      <c r="FP243" s="198">
        <v>8595.7880000000005</v>
      </c>
      <c r="FQ243" s="198">
        <v>8042.4650000000001</v>
      </c>
      <c r="FR243" s="198">
        <v>11564.324000000001</v>
      </c>
      <c r="FS243" s="198"/>
      <c r="FT243" s="199">
        <f t="shared" si="25"/>
        <v>21005.019999999997</v>
      </c>
      <c r="FU243" s="197"/>
      <c r="FV243" s="198"/>
      <c r="FW243" s="198"/>
      <c r="FX243" s="198"/>
      <c r="FY243" s="198"/>
      <c r="FZ243" s="198"/>
      <c r="GA243" s="199"/>
      <c r="GB243" s="197">
        <v>2048.5100000000002</v>
      </c>
      <c r="GC243" s="198"/>
      <c r="GD243" s="198"/>
      <c r="GE243" s="198"/>
      <c r="GF243" s="198"/>
      <c r="GG243" s="198"/>
      <c r="GH243" s="199"/>
      <c r="GI243" s="197">
        <v>1128.0219999999999</v>
      </c>
      <c r="GJ243" s="198"/>
      <c r="GK243" s="198"/>
      <c r="GL243" s="198"/>
      <c r="GM243" s="198"/>
      <c r="GN243" s="198"/>
      <c r="GO243" s="199"/>
      <c r="GP243" s="197">
        <v>3274.1660000000002</v>
      </c>
      <c r="GQ243" s="198"/>
      <c r="GR243" s="198"/>
      <c r="GS243" s="198"/>
      <c r="GT243" s="198"/>
      <c r="GU243" s="198"/>
      <c r="GV243" s="199"/>
      <c r="GW243" s="197">
        <f>[2]sur!P27</f>
        <v>1860.7</v>
      </c>
      <c r="GX243" s="198">
        <f>[2]sur!Q27</f>
        <v>139.4</v>
      </c>
      <c r="GY243" s="198">
        <f>[2]sur!R27</f>
        <v>461.3</v>
      </c>
      <c r="GZ243" s="198">
        <f>[2]sur!S27</f>
        <v>261.5</v>
      </c>
      <c r="HA243" s="198"/>
      <c r="HB243" s="198"/>
      <c r="HC243" s="199">
        <f>[2]sur!V27</f>
        <v>998.49999999999977</v>
      </c>
      <c r="HD243" s="197"/>
      <c r="HE243" s="198"/>
      <c r="HF243" s="198"/>
      <c r="HG243" s="198"/>
      <c r="HH243" s="198"/>
      <c r="HI243" s="198"/>
      <c r="HJ243" s="199"/>
      <c r="HK243" s="197">
        <v>5382</v>
      </c>
      <c r="HL243" s="198">
        <v>1240.7761187437607</v>
      </c>
      <c r="HM243" s="198">
        <v>518.42739272992742</v>
      </c>
      <c r="HN243" s="198">
        <v>62.924697208255466</v>
      </c>
      <c r="HO243" s="198">
        <v>1863.6535245581424</v>
      </c>
      <c r="HP243" s="198"/>
      <c r="HQ243" s="198">
        <f t="shared" si="16"/>
        <v>1696.2182667599138</v>
      </c>
      <c r="HR243" s="197">
        <v>100590.61</v>
      </c>
      <c r="HT243" s="198">
        <v>53692.983999999997</v>
      </c>
      <c r="HU243" s="198">
        <v>9080.1149999999998</v>
      </c>
      <c r="HV243" s="198">
        <v>21761.453000000001</v>
      </c>
      <c r="HW243" s="198">
        <v>4051.6590000000001</v>
      </c>
      <c r="HX243" s="198">
        <v>12004.398999999999</v>
      </c>
    </row>
    <row r="244" spans="1:233">
      <c r="A244" s="185" t="s">
        <v>499</v>
      </c>
      <c r="B244" s="197">
        <v>2804.029</v>
      </c>
      <c r="C244" s="198"/>
      <c r="D244" s="198"/>
      <c r="E244" s="198"/>
      <c r="F244" s="198"/>
      <c r="G244" s="198"/>
      <c r="H244" s="199"/>
      <c r="I244" s="197">
        <v>124466.9</v>
      </c>
      <c r="J244" s="198"/>
      <c r="K244" s="198"/>
      <c r="L244" s="198">
        <v>14245.3</v>
      </c>
      <c r="M244" s="198">
        <v>20138.2</v>
      </c>
      <c r="N244" s="198"/>
      <c r="O244" s="199">
        <f>[3]arg!$G110</f>
        <v>71899.5</v>
      </c>
      <c r="P244" s="198">
        <v>6463.4390000000003</v>
      </c>
      <c r="Q244" s="198">
        <v>54.856999999999999</v>
      </c>
      <c r="R244" s="198">
        <v>496.85400000000004</v>
      </c>
      <c r="S244" s="198">
        <v>445.34699999999998</v>
      </c>
      <c r="T244" s="198">
        <v>4557.7510000000002</v>
      </c>
      <c r="U244" s="198"/>
      <c r="V244" s="199">
        <f t="shared" si="22"/>
        <v>908.63000000000011</v>
      </c>
      <c r="W244" s="198">
        <v>5081.6040000000003</v>
      </c>
      <c r="X244" s="198">
        <v>114.71599999999999</v>
      </c>
      <c r="Y244" s="198">
        <v>993.06200000000001</v>
      </c>
      <c r="Z244" s="198">
        <v>344.822</v>
      </c>
      <c r="AA244" s="198">
        <v>2389.1619999999998</v>
      </c>
      <c r="AB244" s="198"/>
      <c r="AC244" s="199">
        <f t="shared" si="14"/>
        <v>1239.8420000000001</v>
      </c>
      <c r="AD244" s="198"/>
      <c r="AE244" s="198">
        <v>32.048000000000002</v>
      </c>
      <c r="AF244" s="198">
        <v>325.50800000000004</v>
      </c>
      <c r="AG244" s="198">
        <v>523.07400000000007</v>
      </c>
      <c r="AH244" s="198">
        <v>362.976</v>
      </c>
      <c r="AI244" s="198"/>
      <c r="AJ244" s="198"/>
      <c r="AK244" s="197"/>
      <c r="AL244" s="198"/>
      <c r="AM244" s="198"/>
      <c r="AN244" s="198"/>
      <c r="AO244" s="198"/>
      <c r="AP244" s="198"/>
      <c r="AQ244" s="199"/>
      <c r="AR244" s="198">
        <v>910743.67557616998</v>
      </c>
      <c r="AS244" s="198">
        <v>205351.35204689001</v>
      </c>
      <c r="AT244" s="198">
        <v>95332.509867509973</v>
      </c>
      <c r="AU244" s="198">
        <v>44421.578796610003</v>
      </c>
      <c r="AV244" s="198">
        <v>310128.62299373996</v>
      </c>
      <c r="AW244" s="198"/>
      <c r="AX244" s="198">
        <v>255509.61187142011</v>
      </c>
      <c r="AY244" s="197">
        <v>62641150.629274003</v>
      </c>
      <c r="AZ244" s="198"/>
      <c r="BA244" s="198">
        <v>41717909.268389001</v>
      </c>
      <c r="BB244" s="198">
        <v>13182559.658353001</v>
      </c>
      <c r="BC244" s="198">
        <v>7740681.7025319999</v>
      </c>
      <c r="BD244" s="198"/>
      <c r="BE244" s="198"/>
      <c r="BF244" s="197">
        <v>124419695.83</v>
      </c>
      <c r="BG244" s="198"/>
      <c r="BH244" s="198">
        <v>77392381.590000004</v>
      </c>
      <c r="BI244" s="198">
        <v>9195081.2500000019</v>
      </c>
      <c r="BJ244" s="198">
        <v>35865284.929999992</v>
      </c>
      <c r="BK244" s="198">
        <v>1966948.06</v>
      </c>
      <c r="BL244" s="198"/>
      <c r="BM244" s="197">
        <v>6167971.5269999998</v>
      </c>
      <c r="BN244" s="198">
        <v>373417.22000000003</v>
      </c>
      <c r="BO244" s="198">
        <v>707071.41200000001</v>
      </c>
      <c r="BP244" s="198">
        <v>1703353.09</v>
      </c>
      <c r="BQ244" s="198">
        <v>1652156.764</v>
      </c>
      <c r="BR244" s="198"/>
      <c r="BS244" s="198">
        <f t="shared" si="2"/>
        <v>1731973.0410000002</v>
      </c>
      <c r="BT244" s="197"/>
      <c r="BU244" s="198"/>
      <c r="BV244" s="198"/>
      <c r="BW244" s="198"/>
      <c r="BX244" s="198"/>
      <c r="BY244" s="198"/>
      <c r="BZ244" s="198"/>
      <c r="CA244" s="197">
        <v>643.64300000000003</v>
      </c>
      <c r="CB244" s="198"/>
      <c r="CC244" s="198"/>
      <c r="CD244" s="198"/>
      <c r="CE244" s="198"/>
      <c r="CF244" s="198"/>
      <c r="CG244" s="198"/>
      <c r="CH244" s="197">
        <v>10359800.52007</v>
      </c>
      <c r="CI244" s="198"/>
      <c r="CJ244" s="198">
        <v>4673811.2851600004</v>
      </c>
      <c r="CK244" s="198">
        <v>1320545.1324499999</v>
      </c>
      <c r="CL244" s="198">
        <v>3284416.8743699989</v>
      </c>
      <c r="CM244" s="198">
        <v>1081027.2280899999</v>
      </c>
      <c r="CN244" s="198"/>
      <c r="CO244" s="197">
        <v>8823.4288899999992</v>
      </c>
      <c r="CP244" s="198">
        <v>795.80184999999994</v>
      </c>
      <c r="CQ244" s="198">
        <v>1456.9530600000001</v>
      </c>
      <c r="CR244" s="198">
        <v>2114.2209700000003</v>
      </c>
      <c r="CS244" s="198">
        <v>2051.8320100000001</v>
      </c>
      <c r="CT244" s="198"/>
      <c r="CU244" s="198">
        <v>2404.6209999999983</v>
      </c>
      <c r="CV244" s="197">
        <v>1590.5360000000001</v>
      </c>
      <c r="CW244" s="198"/>
      <c r="CX244" s="198"/>
      <c r="CY244" s="198"/>
      <c r="CZ244" s="198"/>
      <c r="DA244" s="198"/>
      <c r="DB244" s="198"/>
      <c r="DC244" s="197">
        <v>68421.040351000003</v>
      </c>
      <c r="DD244" s="198">
        <v>7416.78</v>
      </c>
      <c r="DE244" s="198">
        <v>14685.066000000001</v>
      </c>
      <c r="DF244" s="198"/>
      <c r="DG244" s="198">
        <v>16897.645</v>
      </c>
      <c r="DH244" s="198"/>
      <c r="DI244" s="198">
        <f t="shared" si="23"/>
        <v>29421.549351000005</v>
      </c>
      <c r="DJ244" s="197">
        <f>2879.7+48656.9</f>
        <v>51536.6</v>
      </c>
      <c r="DK244" s="198">
        <f>2373.5+10616.1</f>
        <v>12989.6</v>
      </c>
      <c r="DL244" s="198">
        <f>2018.8+10779.5</f>
        <v>12798.3</v>
      </c>
      <c r="DM244" s="198">
        <v>4337</v>
      </c>
      <c r="DN244" s="198">
        <f>16370.8-DM244</f>
        <v>12033.8</v>
      </c>
      <c r="DO244" s="198"/>
      <c r="DP244" s="198">
        <f t="shared" si="20"/>
        <v>9377.9000000000015</v>
      </c>
      <c r="DQ244" s="197"/>
      <c r="DR244" s="198"/>
      <c r="DS244" s="198"/>
      <c r="DT244" s="198"/>
      <c r="DU244" s="198"/>
      <c r="DV244" s="198"/>
      <c r="DW244" s="198"/>
      <c r="DX244" s="197">
        <v>118836.98020000001</v>
      </c>
      <c r="DY244" s="198"/>
      <c r="DZ244" s="198">
        <v>80528.348079999996</v>
      </c>
      <c r="EA244" s="198">
        <v>17935.458289999999</v>
      </c>
      <c r="EB244" s="198">
        <v>18356.130789999999</v>
      </c>
      <c r="EC244" s="198"/>
      <c r="ED244" s="198">
        <v>2017.04305</v>
      </c>
      <c r="EE244" s="198"/>
      <c r="EF244" s="198"/>
      <c r="EG244" s="198"/>
      <c r="EH244" s="198"/>
      <c r="EI244" s="198"/>
      <c r="EJ244" s="198"/>
      <c r="EK244" s="199"/>
      <c r="EL244" s="198">
        <v>1686739.6782929997</v>
      </c>
      <c r="EM244" s="198">
        <v>691739.20029900013</v>
      </c>
      <c r="EN244" s="198">
        <v>83509.799945999985</v>
      </c>
      <c r="EO244" s="198">
        <v>273346.22033799998</v>
      </c>
      <c r="EP244" s="198">
        <v>467943.67171899998</v>
      </c>
      <c r="EQ244" s="198"/>
      <c r="ER244" s="199">
        <v>170200.78599099998</v>
      </c>
      <c r="ES244" s="198">
        <v>41212.939478460001</v>
      </c>
      <c r="ET244" s="198">
        <v>3393.8356938799998</v>
      </c>
      <c r="EU244" s="198">
        <v>11162.404397730001</v>
      </c>
      <c r="EV244" s="198">
        <v>5424.0190737499997</v>
      </c>
      <c r="EW244" s="198">
        <v>12992.70371623</v>
      </c>
      <c r="EX244" s="198"/>
      <c r="EY244" s="199">
        <f t="shared" si="24"/>
        <v>8239.9765968699976</v>
      </c>
      <c r="EZ244" s="198">
        <v>19329</v>
      </c>
      <c r="FA244" s="198">
        <v>735</v>
      </c>
      <c r="FB244" s="198">
        <v>5569</v>
      </c>
      <c r="FC244" s="198">
        <v>4919</v>
      </c>
      <c r="FD244" s="198">
        <v>4244</v>
      </c>
      <c r="FE244" s="198">
        <v>52</v>
      </c>
      <c r="FF244" s="198">
        <f t="shared" si="17"/>
        <v>3862</v>
      </c>
      <c r="FG244" s="197">
        <v>11877738.020331999</v>
      </c>
      <c r="FH244" s="198">
        <v>1433669.6999069999</v>
      </c>
      <c r="FI244" s="198">
        <v>2101097.4762260001</v>
      </c>
      <c r="FJ244" s="198"/>
      <c r="FK244" s="198">
        <v>1044663.683454</v>
      </c>
      <c r="FL244" s="198"/>
      <c r="FM244" s="198">
        <f t="shared" si="26"/>
        <v>7298307.1607449986</v>
      </c>
      <c r="FN244" s="197">
        <v>64807.319000000003</v>
      </c>
      <c r="FO244" s="198">
        <v>14119.466</v>
      </c>
      <c r="FP244" s="198">
        <v>9402.6669999999995</v>
      </c>
      <c r="FQ244" s="198">
        <v>8200.5280000000002</v>
      </c>
      <c r="FR244" s="198">
        <v>11889.86</v>
      </c>
      <c r="FS244" s="198"/>
      <c r="FT244" s="199">
        <f t="shared" si="25"/>
        <v>21194.798000000003</v>
      </c>
      <c r="FU244" s="197"/>
      <c r="FV244" s="198"/>
      <c r="FW244" s="198"/>
      <c r="FX244" s="198"/>
      <c r="FY244" s="198"/>
      <c r="FZ244" s="198"/>
      <c r="GA244" s="199"/>
      <c r="GB244" s="197">
        <v>2063.2570000000001</v>
      </c>
      <c r="GC244" s="198"/>
      <c r="GD244" s="198"/>
      <c r="GE244" s="198"/>
      <c r="GF244" s="198"/>
      <c r="GG244" s="198"/>
      <c r="GH244" s="199"/>
      <c r="GI244" s="197">
        <v>1153.328</v>
      </c>
      <c r="GJ244" s="198"/>
      <c r="GK244" s="198"/>
      <c r="GL244" s="198"/>
      <c r="GM244" s="198"/>
      <c r="GN244" s="198"/>
      <c r="GO244" s="199"/>
      <c r="GP244" s="197">
        <v>3359.942</v>
      </c>
      <c r="GQ244" s="198"/>
      <c r="GR244" s="198"/>
      <c r="GS244" s="198"/>
      <c r="GT244" s="198"/>
      <c r="GU244" s="198"/>
      <c r="GV244" s="199"/>
      <c r="GW244" s="197">
        <f>[2]sur!P28</f>
        <v>1891.1</v>
      </c>
      <c r="GX244" s="198">
        <f>[2]sur!Q28</f>
        <v>140</v>
      </c>
      <c r="GY244" s="198">
        <f>[2]sur!R28</f>
        <v>466.5</v>
      </c>
      <c r="GZ244" s="198">
        <f>[2]sur!S28</f>
        <v>270</v>
      </c>
      <c r="HA244" s="198"/>
      <c r="HB244" s="198"/>
      <c r="HC244" s="199">
        <f>[2]sur!V28</f>
        <v>1014.6000000000001</v>
      </c>
      <c r="HD244" s="197"/>
      <c r="HE244" s="198"/>
      <c r="HF244" s="198"/>
      <c r="HG244" s="198"/>
      <c r="HH244" s="198"/>
      <c r="HI244" s="198"/>
      <c r="HJ244" s="199"/>
      <c r="HK244" s="197">
        <v>5608.6195003977</v>
      </c>
      <c r="HL244" s="198">
        <v>1309.1571513206331</v>
      </c>
      <c r="HM244" s="198">
        <v>543.00853749752525</v>
      </c>
      <c r="HN244" s="198">
        <v>67.504866384842003</v>
      </c>
      <c r="HO244" s="198">
        <v>1900.0557267243316</v>
      </c>
      <c r="HP244" s="198"/>
      <c r="HQ244" s="198">
        <f t="shared" si="16"/>
        <v>1788.8932184703676</v>
      </c>
      <c r="HR244" s="197">
        <v>105255.58500000001</v>
      </c>
      <c r="HT244" s="198">
        <v>56214.923999999999</v>
      </c>
      <c r="HU244" s="198">
        <v>9622.0889999999999</v>
      </c>
      <c r="HV244" s="198">
        <v>22819.845000000001</v>
      </c>
      <c r="HW244" s="198">
        <v>4277.9870000000001</v>
      </c>
      <c r="HX244" s="198">
        <v>12320.74</v>
      </c>
    </row>
    <row r="245" spans="1:233">
      <c r="A245" s="202" t="s">
        <v>500</v>
      </c>
      <c r="B245" s="203">
        <v>2806.473</v>
      </c>
      <c r="C245" s="204">
        <v>57.642000000000003</v>
      </c>
      <c r="D245" s="204">
        <v>473.97300000000001</v>
      </c>
      <c r="E245" s="204">
        <v>681.274</v>
      </c>
      <c r="F245" s="204">
        <v>534.35500000000002</v>
      </c>
      <c r="G245" s="204"/>
      <c r="H245" s="205">
        <v>1059.229</v>
      </c>
      <c r="I245" s="203">
        <v>127930.6</v>
      </c>
      <c r="J245" s="204"/>
      <c r="K245" s="204"/>
      <c r="L245" s="204">
        <v>14616.4</v>
      </c>
      <c r="M245" s="204">
        <v>20760.400000000001</v>
      </c>
      <c r="N245" s="204"/>
      <c r="O245" s="205">
        <f>[3]arg!$G111</f>
        <v>75029</v>
      </c>
      <c r="P245" s="204">
        <v>6553.0420000000004</v>
      </c>
      <c r="Q245" s="204">
        <v>52.514000000000003</v>
      </c>
      <c r="R245" s="204">
        <v>487.16300000000001</v>
      </c>
      <c r="S245" s="204">
        <v>460.20400000000001</v>
      </c>
      <c r="T245" s="204">
        <v>4618.0129999999999</v>
      </c>
      <c r="U245" s="204"/>
      <c r="V245" s="205">
        <f t="shared" si="22"/>
        <v>935.14800000000014</v>
      </c>
      <c r="W245" s="204">
        <v>5097.1899999999996</v>
      </c>
      <c r="X245" s="204">
        <v>123.67</v>
      </c>
      <c r="Y245" s="204">
        <v>939.04499999999996</v>
      </c>
      <c r="Z245" s="204">
        <v>352.29</v>
      </c>
      <c r="AA245" s="204">
        <v>2433.0100000000002</v>
      </c>
      <c r="AB245" s="204"/>
      <c r="AC245" s="205">
        <f t="shared" si="14"/>
        <v>1249.1749999999993</v>
      </c>
      <c r="AD245" s="204"/>
      <c r="AE245" s="204">
        <v>32.037999999999997</v>
      </c>
      <c r="AF245" s="204">
        <v>332.33499999999998</v>
      </c>
      <c r="AG245" s="204">
        <v>518.34899999999993</v>
      </c>
      <c r="AH245" s="204">
        <v>375.34800000000001</v>
      </c>
      <c r="AI245" s="204"/>
      <c r="AJ245" s="204"/>
      <c r="AK245" s="203">
        <v>32172.039999999997</v>
      </c>
      <c r="AL245" s="204"/>
      <c r="AM245" s="204">
        <v>15136.368</v>
      </c>
      <c r="AN245" s="204">
        <v>7020.3959999999997</v>
      </c>
      <c r="AO245" s="204">
        <v>3071.2799999999997</v>
      </c>
      <c r="AP245" s="204">
        <v>6944.7599999999984</v>
      </c>
      <c r="AQ245" s="205"/>
      <c r="AR245" s="204">
        <v>935972.82756135985</v>
      </c>
      <c r="AS245" s="204">
        <v>213814.88541281997</v>
      </c>
      <c r="AT245" s="204">
        <v>97647.726779410004</v>
      </c>
      <c r="AU245" s="204">
        <v>45852.275972829993</v>
      </c>
      <c r="AV245" s="204">
        <v>314352.79008102993</v>
      </c>
      <c r="AW245" s="204"/>
      <c r="AX245" s="204">
        <v>264305.14931526995</v>
      </c>
      <c r="AY245" s="203">
        <v>63735095.935699999</v>
      </c>
      <c r="AZ245" s="204"/>
      <c r="BA245" s="204">
        <v>42476331.913599998</v>
      </c>
      <c r="BB245" s="204">
        <v>13431649.111099999</v>
      </c>
      <c r="BC245" s="204">
        <v>7827114.9102999996</v>
      </c>
      <c r="BD245" s="204"/>
      <c r="BE245" s="204"/>
      <c r="BF245" s="203">
        <v>125062446.95000002</v>
      </c>
      <c r="BG245" s="204"/>
      <c r="BH245" s="204">
        <v>77566540.730000004</v>
      </c>
      <c r="BI245" s="204">
        <v>9074790.3300000001</v>
      </c>
      <c r="BJ245" s="204">
        <v>36441777.550000012</v>
      </c>
      <c r="BK245" s="204">
        <v>1979338.34</v>
      </c>
      <c r="BL245" s="204"/>
      <c r="BM245" s="203">
        <v>6437311.9340000004</v>
      </c>
      <c r="BN245" s="204">
        <v>405969.53700000001</v>
      </c>
      <c r="BO245" s="204">
        <v>687782.28799999994</v>
      </c>
      <c r="BP245" s="204">
        <v>1914698.3559999999</v>
      </c>
      <c r="BQ245" s="204">
        <v>1724819.855</v>
      </c>
      <c r="BR245" s="204"/>
      <c r="BS245" s="204">
        <f t="shared" si="2"/>
        <v>1704041.898</v>
      </c>
      <c r="BT245" s="203"/>
      <c r="BU245" s="204"/>
      <c r="BV245" s="204"/>
      <c r="BW245" s="204"/>
      <c r="BX245" s="204"/>
      <c r="BY245" s="204"/>
      <c r="BZ245" s="204"/>
      <c r="CA245" s="203">
        <v>644.63099999999997</v>
      </c>
      <c r="CB245" s="204">
        <v>26.533000000000001</v>
      </c>
      <c r="CC245" s="204">
        <v>94.221999999999994</v>
      </c>
      <c r="CD245" s="204">
        <v>215.42500000000001</v>
      </c>
      <c r="CE245" s="204">
        <v>155.15299999999999</v>
      </c>
      <c r="CF245" s="204"/>
      <c r="CG245" s="204">
        <f>CA245-CB245-CC245-CD245-CE245</f>
        <v>153.29799999999997</v>
      </c>
      <c r="CH245" s="203">
        <v>10535838.14646</v>
      </c>
      <c r="CI245" s="204"/>
      <c r="CJ245" s="204">
        <v>4726041.0912799994</v>
      </c>
      <c r="CK245" s="204">
        <v>1355505.2474699998</v>
      </c>
      <c r="CL245" s="204">
        <v>3341224.7621800001</v>
      </c>
      <c r="CM245" s="204">
        <v>1113067.0455299998</v>
      </c>
      <c r="CN245" s="204"/>
      <c r="CO245" s="203">
        <v>8911.9630499999985</v>
      </c>
      <c r="CP245" s="204">
        <v>823.36815999999999</v>
      </c>
      <c r="CQ245" s="204">
        <v>1476.1406899999999</v>
      </c>
      <c r="CR245" s="204">
        <v>2133.8015399999999</v>
      </c>
      <c r="CS245" s="204">
        <v>2070.07996</v>
      </c>
      <c r="CT245" s="204"/>
      <c r="CU245" s="204">
        <v>2408.5726999999983</v>
      </c>
      <c r="CV245" s="203">
        <v>1620.4390000000001</v>
      </c>
      <c r="CW245" s="204">
        <v>23.257000000000001</v>
      </c>
      <c r="CX245" s="204">
        <v>272.50299999999999</v>
      </c>
      <c r="CY245" s="204">
        <v>548.76199999999994</v>
      </c>
      <c r="CZ245" s="204">
        <v>410.91199999999998</v>
      </c>
      <c r="DA245" s="204"/>
      <c r="DB245" s="204">
        <f>CV245-CW245-CX245-CY245-CZ245</f>
        <v>365.00500000000017</v>
      </c>
      <c r="DC245" s="203">
        <v>70155.437590999994</v>
      </c>
      <c r="DD245" s="204">
        <v>7568.97</v>
      </c>
      <c r="DE245" s="204">
        <v>14929.817999999999</v>
      </c>
      <c r="DF245" s="204"/>
      <c r="DG245" s="204">
        <v>17230.667000000001</v>
      </c>
      <c r="DH245" s="204"/>
      <c r="DI245" s="204">
        <f t="shared" si="23"/>
        <v>30425.982590999993</v>
      </c>
      <c r="DJ245" s="203">
        <f>1329.1+48757.2</f>
        <v>50086.299999999996</v>
      </c>
      <c r="DK245" s="204">
        <f>864.7+10634.6</f>
        <v>11499.300000000001</v>
      </c>
      <c r="DL245" s="204">
        <f>0.3+1984.2+10990.9</f>
        <v>12975.4</v>
      </c>
      <c r="DM245" s="204">
        <v>4242.6000000000004</v>
      </c>
      <c r="DN245" s="204">
        <f>15762.9-DM245</f>
        <v>11520.3</v>
      </c>
      <c r="DO245" s="204"/>
      <c r="DP245" s="204">
        <f>DJ245-SUM(DK245:DN245)</f>
        <v>9848.6999999999898</v>
      </c>
      <c r="DQ245" s="203"/>
      <c r="DR245" s="204"/>
      <c r="DS245" s="204"/>
      <c r="DT245" s="204"/>
      <c r="DU245" s="204"/>
      <c r="DV245" s="204"/>
      <c r="DW245" s="204"/>
      <c r="DX245" s="203">
        <v>122006.55167</v>
      </c>
      <c r="DY245" s="204"/>
      <c r="DZ245" s="204">
        <v>83043.197939999998</v>
      </c>
      <c r="EA245" s="204">
        <v>18406.02447</v>
      </c>
      <c r="EB245" s="204">
        <v>18422.424129999999</v>
      </c>
      <c r="EC245" s="204"/>
      <c r="ED245" s="204">
        <v>2134.9051300000001</v>
      </c>
      <c r="EE245" s="204">
        <v>195102.93799999999</v>
      </c>
      <c r="EF245" s="204">
        <v>6259.15</v>
      </c>
      <c r="EG245" s="204">
        <v>48577.318999999996</v>
      </c>
      <c r="EH245" s="204">
        <v>8977.3700000000008</v>
      </c>
      <c r="EI245" s="204">
        <v>73775.900999999998</v>
      </c>
      <c r="EJ245" s="204"/>
      <c r="EK245" s="205">
        <f>EE245-EF245-EG245-EH245-EI245</f>
        <v>57513.198000000019</v>
      </c>
      <c r="EL245" s="204">
        <v>1697622.9883279998</v>
      </c>
      <c r="EM245" s="204">
        <v>696528.99308799987</v>
      </c>
      <c r="EN245" s="204">
        <v>84290.572926000008</v>
      </c>
      <c r="EO245" s="204">
        <v>273950.979467</v>
      </c>
      <c r="EP245" s="204">
        <v>470857.74634799996</v>
      </c>
      <c r="EQ245" s="204"/>
      <c r="ER245" s="205">
        <v>171994.69650300004</v>
      </c>
      <c r="ES245" s="204">
        <v>42026.333033620002</v>
      </c>
      <c r="ET245" s="204">
        <v>3697.5516222000001</v>
      </c>
      <c r="EU245" s="204">
        <v>11395.75709239</v>
      </c>
      <c r="EV245" s="204">
        <v>5514.9057579299997</v>
      </c>
      <c r="EW245" s="204">
        <v>13051.12515598</v>
      </c>
      <c r="EX245" s="204"/>
      <c r="EY245" s="205">
        <f t="shared" si="24"/>
        <v>8366.9934051200034</v>
      </c>
      <c r="EZ245" s="204">
        <v>19267.459068501001</v>
      </c>
      <c r="FA245" s="204">
        <v>844.18190686000003</v>
      </c>
      <c r="FB245" s="204">
        <v>5259.2595029800004</v>
      </c>
      <c r="FC245" s="204">
        <v>4954.12589759002</v>
      </c>
      <c r="FD245" s="204">
        <v>4323.0034217009998</v>
      </c>
      <c r="FE245" s="204">
        <v>52.74008585</v>
      </c>
      <c r="FF245" s="204">
        <f t="shared" si="17"/>
        <v>3886.8883393699798</v>
      </c>
      <c r="FG245" s="203">
        <v>12128566.561766997</v>
      </c>
      <c r="FH245" s="204">
        <v>1451572.584364</v>
      </c>
      <c r="FI245" s="204">
        <v>2107915.1977659995</v>
      </c>
      <c r="FJ245" s="204"/>
      <c r="FK245" s="204">
        <v>1013125.688794</v>
      </c>
      <c r="FL245" s="204"/>
      <c r="FM245" s="204">
        <f t="shared" si="26"/>
        <v>7555953.0908429977</v>
      </c>
      <c r="FN245" s="203">
        <v>66829.332999999999</v>
      </c>
      <c r="FO245" s="204">
        <v>14770.031000000001</v>
      </c>
      <c r="FP245" s="204">
        <v>9347.1080000000002</v>
      </c>
      <c r="FQ245" s="204">
        <v>8215.3439999999991</v>
      </c>
      <c r="FR245" s="204">
        <v>12203.913</v>
      </c>
      <c r="FS245" s="204"/>
      <c r="FT245" s="205">
        <f t="shared" si="25"/>
        <v>22292.936999999998</v>
      </c>
      <c r="FU245" s="203">
        <v>300061.04751882941</v>
      </c>
      <c r="FV245" s="204">
        <v>21113.679715210008</v>
      </c>
      <c r="FW245" s="204">
        <v>58649.720075429854</v>
      </c>
      <c r="FX245" s="204">
        <v>62644.720469049949</v>
      </c>
      <c r="FY245" s="204">
        <v>75794.184671849624</v>
      </c>
      <c r="FZ245" s="204"/>
      <c r="GA245" s="205">
        <f>FU245-FV245-FW245-FX245-FY245</f>
        <v>81858.742587289977</v>
      </c>
      <c r="GB245" s="203">
        <v>2086.0010000000002</v>
      </c>
      <c r="GC245" s="204">
        <v>24.95</v>
      </c>
      <c r="GD245" s="204">
        <v>212.441</v>
      </c>
      <c r="GE245" s="204">
        <v>361.81299999999999</v>
      </c>
      <c r="GF245" s="204">
        <v>351.44600000000003</v>
      </c>
      <c r="GG245" s="204"/>
      <c r="GH245" s="205">
        <f>GB245-GC245-GD245-GE245-GF245</f>
        <v>1135.3510000000006</v>
      </c>
      <c r="GI245" s="203">
        <v>1174.1289999999999</v>
      </c>
      <c r="GJ245" s="204">
        <v>42.991</v>
      </c>
      <c r="GK245" s="204">
        <v>133.18100000000001</v>
      </c>
      <c r="GL245" s="204">
        <v>341.70400000000001</v>
      </c>
      <c r="GM245" s="204">
        <v>227.095</v>
      </c>
      <c r="GN245" s="204"/>
      <c r="GO245" s="205">
        <f>GI245-GJ245-GK245-GL245-GM245</f>
        <v>429.1579999999999</v>
      </c>
      <c r="GP245" s="203">
        <v>3510.7979999999998</v>
      </c>
      <c r="GQ245" s="204">
        <v>62.261000000000003</v>
      </c>
      <c r="GR245" s="204">
        <v>1033.298</v>
      </c>
      <c r="GS245" s="204">
        <v>513.10199999999998</v>
      </c>
      <c r="GT245" s="204">
        <v>636.33600000000001</v>
      </c>
      <c r="GU245" s="204"/>
      <c r="GV245" s="205">
        <f>GP245-GQ245-GR245-GS245-GT245</f>
        <v>1265.8009999999997</v>
      </c>
      <c r="GW245" s="203">
        <f>[2]sur!P29</f>
        <v>1928.8000000000002</v>
      </c>
      <c r="GX245" s="204">
        <f>[2]sur!Q29</f>
        <v>140.4</v>
      </c>
      <c r="GY245" s="204">
        <f>[2]sur!R29</f>
        <v>486.5</v>
      </c>
      <c r="GZ245" s="204">
        <f>[2]sur!S29</f>
        <v>277.10000000000002</v>
      </c>
      <c r="HA245" s="204"/>
      <c r="HB245" s="204"/>
      <c r="HC245" s="205">
        <f>[2]sur!V29</f>
        <v>1024.8000000000002</v>
      </c>
      <c r="HD245" s="203">
        <f>'[2]t&amp;t'!W377</f>
        <v>40410.699999999997</v>
      </c>
      <c r="HE245" s="204">
        <f>'[2]t&amp;t'!X377</f>
        <v>2463.5</v>
      </c>
      <c r="HF245" s="204">
        <f>'[2]t&amp;t'!Y377</f>
        <v>3222.1</v>
      </c>
      <c r="HG245" s="204">
        <f>'[2]t&amp;t'!Z377</f>
        <v>6774</v>
      </c>
      <c r="HH245" s="204">
        <f>'[2]t&amp;t'!AA377</f>
        <v>12240</v>
      </c>
      <c r="HI245" s="204"/>
      <c r="HJ245" s="205">
        <f>'[2]t&amp;t'!AC377</f>
        <v>15711.100000000002</v>
      </c>
      <c r="HK245" s="203">
        <v>6092.9608424855996</v>
      </c>
      <c r="HL245" s="204">
        <v>1407.5294173600296</v>
      </c>
      <c r="HM245" s="204">
        <v>606.87406067648635</v>
      </c>
      <c r="HN245" s="204">
        <v>76.016632802466773</v>
      </c>
      <c r="HO245" s="204">
        <v>2053.5448834868994</v>
      </c>
      <c r="HP245" s="204"/>
      <c r="HQ245" s="204">
        <f t="shared" si="16"/>
        <v>1948.9958481597178</v>
      </c>
      <c r="HR245" s="203">
        <v>107298.08900000001</v>
      </c>
      <c r="HS245" s="206"/>
      <c r="HT245" s="204">
        <v>55908.271999999997</v>
      </c>
      <c r="HU245" s="204">
        <v>10264.653</v>
      </c>
      <c r="HV245" s="204">
        <v>24174.37</v>
      </c>
      <c r="HW245" s="204">
        <v>4334.78</v>
      </c>
      <c r="HX245" s="204">
        <v>12616.013999999999</v>
      </c>
      <c r="HY245" s="198"/>
    </row>
    <row r="246" spans="1:233">
      <c r="A246" s="185" t="s">
        <v>675</v>
      </c>
      <c r="B246" s="197">
        <v>2813.5160000000001</v>
      </c>
      <c r="C246" s="198"/>
      <c r="D246" s="198"/>
      <c r="E246" s="198"/>
      <c r="F246" s="198"/>
      <c r="G246" s="198"/>
      <c r="H246" s="199"/>
      <c r="I246" s="197">
        <v>131388.9</v>
      </c>
      <c r="J246" s="198"/>
      <c r="K246" s="198"/>
      <c r="L246" s="198">
        <v>14877.6</v>
      </c>
      <c r="M246" s="198">
        <v>21603.7</v>
      </c>
      <c r="N246" s="198"/>
      <c r="O246" s="199">
        <f>[3]arg!$G112</f>
        <v>76566.2</v>
      </c>
      <c r="P246" s="198">
        <v>6660.0349999999999</v>
      </c>
      <c r="Q246" s="198">
        <v>50.841999999999999</v>
      </c>
      <c r="R246" s="198">
        <v>505.48500000000001</v>
      </c>
      <c r="S246" s="198">
        <v>472.12200000000001</v>
      </c>
      <c r="T246" s="198">
        <v>4605.0690000000004</v>
      </c>
      <c r="U246" s="198"/>
      <c r="V246" s="199">
        <f t="shared" si="22"/>
        <v>1026.5169999999998</v>
      </c>
      <c r="W246" s="198">
        <v>5145.7470000000003</v>
      </c>
      <c r="X246" s="198">
        <v>123.66200000000001</v>
      </c>
      <c r="Y246" s="198">
        <v>971.69499999999994</v>
      </c>
      <c r="Z246" s="198">
        <v>354.483</v>
      </c>
      <c r="AA246" s="198">
        <v>2436.8519999999999</v>
      </c>
      <c r="AB246" s="198"/>
      <c r="AC246" s="199">
        <f t="shared" si="14"/>
        <v>1259.0550000000003</v>
      </c>
      <c r="AD246" s="198"/>
      <c r="AE246" s="198">
        <v>32.930999999999997</v>
      </c>
      <c r="AF246" s="198">
        <v>336.83</v>
      </c>
      <c r="AG246" s="198">
        <v>496.98</v>
      </c>
      <c r="AH246" s="198">
        <v>374.661</v>
      </c>
      <c r="AI246" s="198"/>
      <c r="AJ246" s="198"/>
      <c r="AK246" s="197"/>
      <c r="AL246" s="198"/>
      <c r="AM246" s="198"/>
      <c r="AN246" s="198"/>
      <c r="AO246" s="198"/>
      <c r="AP246" s="198"/>
      <c r="AQ246" s="199"/>
      <c r="AR246" s="198">
        <v>944980.44640126009</v>
      </c>
      <c r="AS246" s="198">
        <v>215368.85973539003</v>
      </c>
      <c r="AT246" s="198">
        <v>96860.652300010013</v>
      </c>
      <c r="AU246" s="198">
        <v>46355.359085289994</v>
      </c>
      <c r="AV246" s="198">
        <v>320838.25370818994</v>
      </c>
      <c r="AW246" s="198"/>
      <c r="AX246" s="198">
        <v>265557.32157238014</v>
      </c>
      <c r="AY246" s="197">
        <v>59120695</v>
      </c>
      <c r="AZ246" s="198"/>
      <c r="BA246" s="198">
        <v>37245665</v>
      </c>
      <c r="BB246" s="198">
        <v>13764362</v>
      </c>
      <c r="BC246" s="198">
        <v>8110668</v>
      </c>
      <c r="BD246" s="198"/>
      <c r="BE246" s="198"/>
      <c r="BF246" s="197">
        <v>125471775.75999998</v>
      </c>
      <c r="BG246" s="198"/>
      <c r="BH246" s="198">
        <v>77523292.579999983</v>
      </c>
      <c r="BI246" s="198">
        <v>9238844.9699999988</v>
      </c>
      <c r="BJ246" s="198">
        <v>36731009.310000002</v>
      </c>
      <c r="BK246" s="198">
        <v>1978628.9</v>
      </c>
      <c r="BL246" s="198"/>
      <c r="BM246" s="197">
        <v>6518058.3289999999</v>
      </c>
      <c r="BN246" s="198">
        <v>392567.304</v>
      </c>
      <c r="BO246" s="198">
        <v>669235.978</v>
      </c>
      <c r="BP246" s="198">
        <v>1936140.9210000001</v>
      </c>
      <c r="BQ246" s="198">
        <v>1776273.943</v>
      </c>
      <c r="BR246" s="198"/>
      <c r="BS246" s="198">
        <f t="shared" si="2"/>
        <v>1743840.1830000002</v>
      </c>
      <c r="BT246" s="197"/>
      <c r="BU246" s="198"/>
      <c r="BV246" s="198"/>
      <c r="BW246" s="198"/>
      <c r="BX246" s="198"/>
      <c r="BY246" s="198"/>
      <c r="BZ246" s="198"/>
      <c r="CA246" s="197">
        <v>652.01800000000003</v>
      </c>
      <c r="CB246" s="198"/>
      <c r="CC246" s="198"/>
      <c r="CD246" s="198"/>
      <c r="CE246" s="198"/>
      <c r="CF246" s="198"/>
      <c r="CG246" s="198"/>
      <c r="CH246" s="197">
        <v>10644524.16492</v>
      </c>
      <c r="CI246" s="198"/>
      <c r="CJ246" s="198">
        <v>4771905.7897000005</v>
      </c>
      <c r="CK246" s="198">
        <v>1380956.1924999999</v>
      </c>
      <c r="CL246" s="198">
        <v>3361388.2694899994</v>
      </c>
      <c r="CM246" s="198">
        <v>1130273.9132299998</v>
      </c>
      <c r="CN246" s="198"/>
      <c r="CO246" s="197">
        <v>8981.0917499999996</v>
      </c>
      <c r="CP246" s="198">
        <v>822.31972999999994</v>
      </c>
      <c r="CQ246" s="198">
        <v>1493.26118</v>
      </c>
      <c r="CR246" s="198">
        <v>2146.96369</v>
      </c>
      <c r="CS246" s="198">
        <v>2096.5458699999999</v>
      </c>
      <c r="CT246" s="198"/>
      <c r="CU246" s="198">
        <v>2422.0012800000004</v>
      </c>
      <c r="CV246" s="197">
        <v>1617.527</v>
      </c>
      <c r="CW246" s="198"/>
      <c r="CX246" s="198"/>
      <c r="CY246" s="198"/>
      <c r="CZ246" s="198"/>
      <c r="DA246" s="198"/>
      <c r="DB246" s="198"/>
      <c r="DC246" s="197">
        <v>70825.767999999996</v>
      </c>
      <c r="DD246" s="198">
        <v>7662.0680000000002</v>
      </c>
      <c r="DE246" s="198">
        <v>15325.311</v>
      </c>
      <c r="DF246" s="198"/>
      <c r="DG246" s="198">
        <v>17879.371999999999</v>
      </c>
      <c r="DH246" s="198"/>
      <c r="DI246" s="198">
        <f t="shared" si="23"/>
        <v>29959.016999999996</v>
      </c>
      <c r="DJ246" s="197">
        <f>2844.5+48233</f>
        <v>51077.5</v>
      </c>
      <c r="DK246" s="198">
        <f>2263.5+9686.1</f>
        <v>11949.6</v>
      </c>
      <c r="DL246" s="198">
        <f>0.1+2028.1+11939.6</f>
        <v>13967.8</v>
      </c>
      <c r="DM246" s="198">
        <v>3989.4</v>
      </c>
      <c r="DN246" s="198">
        <f>15126-DM246</f>
        <v>11136.6</v>
      </c>
      <c r="DO246" s="198"/>
      <c r="DP246" s="198">
        <f t="shared" ref="DP246:DP257" si="27">DJ246-SUM(DK246:DN246)</f>
        <v>10034.099999999999</v>
      </c>
      <c r="DQ246" s="197"/>
      <c r="DR246" s="198"/>
      <c r="DS246" s="198"/>
      <c r="DT246" s="198"/>
      <c r="DU246" s="198"/>
      <c r="DV246" s="198"/>
      <c r="DW246" s="198"/>
      <c r="DX246" s="197">
        <v>124319.10345000001</v>
      </c>
      <c r="DY246" s="198"/>
      <c r="DZ246" s="198">
        <v>84063.375310000003</v>
      </c>
      <c r="EA246" s="198">
        <v>19039.89687</v>
      </c>
      <c r="EB246" s="198">
        <v>19203.781269999999</v>
      </c>
      <c r="EC246" s="198"/>
      <c r="ED246" s="198">
        <v>2012.0500099999999</v>
      </c>
      <c r="EE246" s="198"/>
      <c r="EF246" s="198"/>
      <c r="EG246" s="198"/>
      <c r="EH246" s="198"/>
      <c r="EI246" s="198"/>
      <c r="EJ246" s="198"/>
      <c r="EK246" s="199"/>
      <c r="EL246" s="198">
        <v>1719579.3767409993</v>
      </c>
      <c r="EM246" s="198">
        <v>711312.58691199985</v>
      </c>
      <c r="EN246" s="198">
        <v>81461.333617999975</v>
      </c>
      <c r="EO246" s="198">
        <v>279260.91868100007</v>
      </c>
      <c r="EP246" s="198">
        <v>471721.96647399996</v>
      </c>
      <c r="EQ246" s="198"/>
      <c r="ER246" s="199">
        <v>175822.57104899999</v>
      </c>
      <c r="ES246" s="198">
        <v>42869.30767255</v>
      </c>
      <c r="ET246" s="198"/>
      <c r="EU246" s="198">
        <v>22461.696811729998</v>
      </c>
      <c r="EV246" s="198">
        <v>5643.28786107</v>
      </c>
      <c r="EW246" s="198">
        <v>13376.969880870001</v>
      </c>
      <c r="EX246" s="198"/>
      <c r="EY246" s="199">
        <f t="shared" si="24"/>
        <v>1387.3531188800007</v>
      </c>
      <c r="EZ246" s="198">
        <v>19470.819078091001</v>
      </c>
      <c r="FA246" s="198">
        <v>871.75815996999995</v>
      </c>
      <c r="FB246" s="198">
        <v>5341.0792250699997</v>
      </c>
      <c r="FC246" s="198">
        <v>5006.4028916400002</v>
      </c>
      <c r="FD246" s="198">
        <v>4321.9853762610001</v>
      </c>
      <c r="FE246" s="198">
        <v>54.5786780199997</v>
      </c>
      <c r="FF246" s="198">
        <f t="shared" si="17"/>
        <v>3929.5934251500021</v>
      </c>
      <c r="FG246" s="197">
        <v>12704820.399929002</v>
      </c>
      <c r="FH246" s="198">
        <v>1452393.4641190004</v>
      </c>
      <c r="FI246" s="198">
        <v>2371408.4649840002</v>
      </c>
      <c r="FJ246" s="198"/>
      <c r="FK246" s="198">
        <v>1222795.33198</v>
      </c>
      <c r="FL246" s="198"/>
      <c r="FM246" s="198">
        <f t="shared" si="26"/>
        <v>7658223.1388460016</v>
      </c>
      <c r="FN246" s="197">
        <v>67901.748000000007</v>
      </c>
      <c r="FO246" s="198">
        <v>14522.815000000001</v>
      </c>
      <c r="FP246" s="198">
        <v>9358.34</v>
      </c>
      <c r="FQ246" s="198">
        <v>8205.6869999999999</v>
      </c>
      <c r="FR246" s="198">
        <v>13257.85</v>
      </c>
      <c r="FS246" s="198"/>
      <c r="FT246" s="199">
        <f t="shared" si="25"/>
        <v>22557.056000000011</v>
      </c>
      <c r="FU246" s="197"/>
      <c r="FV246" s="198"/>
      <c r="FW246" s="198"/>
      <c r="FX246" s="198"/>
      <c r="FY246" s="198"/>
      <c r="FZ246" s="198"/>
      <c r="GA246" s="199"/>
      <c r="GB246" s="197">
        <v>2098.799</v>
      </c>
      <c r="GC246" s="198"/>
      <c r="GD246" s="198"/>
      <c r="GE246" s="198"/>
      <c r="GF246" s="198"/>
      <c r="GG246" s="198"/>
      <c r="GH246" s="199"/>
      <c r="GI246" s="197">
        <v>1171.5609999999999</v>
      </c>
      <c r="GJ246" s="198"/>
      <c r="GK246" s="198"/>
      <c r="GL246" s="198"/>
      <c r="GM246" s="198"/>
      <c r="GN246" s="198"/>
      <c r="GO246" s="199"/>
      <c r="GP246" s="197">
        <v>3541.7350000000001</v>
      </c>
      <c r="GQ246" s="198"/>
      <c r="GR246" s="198"/>
      <c r="GS246" s="198"/>
      <c r="GT246" s="198"/>
      <c r="GU246" s="198"/>
      <c r="GV246" s="199"/>
      <c r="GW246" s="197">
        <f>[2]sur!P30</f>
        <v>1955.1</v>
      </c>
      <c r="GX246" s="198">
        <f>[2]sur!Q30</f>
        <v>139.89999999999998</v>
      </c>
      <c r="GY246" s="198">
        <f>[2]sur!R30</f>
        <v>497.79999999999995</v>
      </c>
      <c r="GZ246" s="198">
        <f>[2]sur!S30</f>
        <v>293.3</v>
      </c>
      <c r="HA246" s="198"/>
      <c r="HB246" s="198"/>
      <c r="HC246" s="199">
        <f>[2]sur!V30</f>
        <v>1024.0999999999999</v>
      </c>
      <c r="HD246" s="197"/>
      <c r="HE246" s="198"/>
      <c r="HF246" s="198"/>
      <c r="HG246" s="198"/>
      <c r="HH246" s="198"/>
      <c r="HI246" s="198"/>
      <c r="HJ246" s="199"/>
      <c r="HK246" s="197">
        <v>5996.6456923061996</v>
      </c>
      <c r="HL246" s="198">
        <v>1437.2055280925206</v>
      </c>
      <c r="HM246" s="198">
        <v>605.82039329035524</v>
      </c>
      <c r="HN246" s="198">
        <v>69.399434200908516</v>
      </c>
      <c r="HO246" s="198">
        <v>2109.5872275562547</v>
      </c>
      <c r="HP246" s="198"/>
      <c r="HQ246" s="198">
        <f t="shared" si="16"/>
        <v>1774.6331091661605</v>
      </c>
      <c r="HR246" s="197">
        <v>105625.11599999999</v>
      </c>
      <c r="HT246" s="198">
        <v>53331.411</v>
      </c>
      <c r="HU246" s="198">
        <v>10477.012000000001</v>
      </c>
      <c r="HV246" s="198">
        <v>25031.976999999999</v>
      </c>
      <c r="HW246" s="198">
        <v>4216.3040000000001</v>
      </c>
      <c r="HX246" s="198">
        <v>12568.412</v>
      </c>
    </row>
    <row r="247" spans="1:233">
      <c r="A247" s="185" t="s">
        <v>490</v>
      </c>
      <c r="B247" s="197">
        <v>2823.9490000000001</v>
      </c>
      <c r="C247" s="198"/>
      <c r="D247" s="198"/>
      <c r="E247" s="198"/>
      <c r="F247" s="198"/>
      <c r="G247" s="198"/>
      <c r="H247" s="199"/>
      <c r="I247" s="197">
        <v>132578.6</v>
      </c>
      <c r="J247" s="198"/>
      <c r="K247" s="198"/>
      <c r="L247" s="198">
        <v>15240</v>
      </c>
      <c r="M247" s="198">
        <v>22415</v>
      </c>
      <c r="N247" s="198"/>
      <c r="O247" s="199">
        <f>[3]arg!$G113</f>
        <v>76485.5</v>
      </c>
      <c r="P247" s="198">
        <v>6604.915</v>
      </c>
      <c r="Q247" s="198">
        <v>51.866999999999997</v>
      </c>
      <c r="R247" s="198">
        <v>471.97399999999999</v>
      </c>
      <c r="S247" s="198">
        <v>447.65499999999997</v>
      </c>
      <c r="T247" s="198">
        <v>4646.201</v>
      </c>
      <c r="U247" s="198"/>
      <c r="V247" s="199">
        <f t="shared" si="22"/>
        <v>987.21799999999985</v>
      </c>
      <c r="W247" s="198">
        <v>5248.0739999999996</v>
      </c>
      <c r="X247" s="198">
        <v>121.759</v>
      </c>
      <c r="Y247" s="198">
        <v>972.74800000000005</v>
      </c>
      <c r="Z247" s="198">
        <v>359.12299999999999</v>
      </c>
      <c r="AA247" s="198">
        <v>2451.076</v>
      </c>
      <c r="AB247" s="198"/>
      <c r="AC247" s="199">
        <f t="shared" si="14"/>
        <v>1343.367999999999</v>
      </c>
      <c r="AD247" s="198"/>
      <c r="AE247" s="198">
        <v>31.824000000000002</v>
      </c>
      <c r="AF247" s="198">
        <v>333.14600000000002</v>
      </c>
      <c r="AG247" s="198">
        <v>510.19799999999998</v>
      </c>
      <c r="AH247" s="198">
        <v>376.36700000000002</v>
      </c>
      <c r="AI247" s="198"/>
      <c r="AJ247" s="198"/>
      <c r="AK247" s="197"/>
      <c r="AL247" s="198"/>
      <c r="AM247" s="198"/>
      <c r="AN247" s="198"/>
      <c r="AO247" s="198"/>
      <c r="AP247" s="198"/>
      <c r="AQ247" s="199"/>
      <c r="AR247" s="198">
        <v>959540.44843930006</v>
      </c>
      <c r="AS247" s="198">
        <v>218842.21683954005</v>
      </c>
      <c r="AT247" s="198">
        <v>98918.472913089965</v>
      </c>
      <c r="AU247" s="198">
        <v>47169.162441379995</v>
      </c>
      <c r="AV247" s="198">
        <v>326880.72816026001</v>
      </c>
      <c r="AW247" s="198"/>
      <c r="AX247" s="198">
        <v>267729.86808503012</v>
      </c>
      <c r="AY247" s="197">
        <v>59736476</v>
      </c>
      <c r="AZ247" s="198"/>
      <c r="BA247" s="198">
        <v>37656759</v>
      </c>
      <c r="BB247" s="198">
        <v>13937875</v>
      </c>
      <c r="BC247" s="198">
        <v>8141842</v>
      </c>
      <c r="BD247" s="198"/>
      <c r="BE247" s="198"/>
      <c r="BF247" s="197">
        <v>127102761.63000001</v>
      </c>
      <c r="BG247" s="198"/>
      <c r="BH247" s="198">
        <v>78590384.710000008</v>
      </c>
      <c r="BI247" s="198">
        <v>9455272.4999999981</v>
      </c>
      <c r="BJ247" s="198">
        <v>37060616.060000002</v>
      </c>
      <c r="BK247" s="198">
        <v>1996488.36</v>
      </c>
      <c r="BL247" s="198"/>
      <c r="BM247" s="197">
        <v>6669043.7309999997</v>
      </c>
      <c r="BN247" s="198">
        <v>397072.79000000004</v>
      </c>
      <c r="BO247" s="198">
        <v>691818.94799999997</v>
      </c>
      <c r="BP247" s="198">
        <v>1989931.544</v>
      </c>
      <c r="BQ247" s="198">
        <v>1816818.889</v>
      </c>
      <c r="BR247" s="198"/>
      <c r="BS247" s="198">
        <f t="shared" si="2"/>
        <v>1773401.5599999996</v>
      </c>
      <c r="BT247" s="197"/>
      <c r="BU247" s="198"/>
      <c r="BV247" s="198"/>
      <c r="BW247" s="198"/>
      <c r="BX247" s="198"/>
      <c r="BY247" s="198"/>
      <c r="BZ247" s="198"/>
      <c r="CA247" s="197">
        <v>653.98299999999995</v>
      </c>
      <c r="CB247" s="198"/>
      <c r="CC247" s="198"/>
      <c r="CD247" s="198"/>
      <c r="CE247" s="198"/>
      <c r="CF247" s="198"/>
      <c r="CG247" s="198"/>
      <c r="CH247" s="197">
        <v>10728897.366429999</v>
      </c>
      <c r="CI247" s="198"/>
      <c r="CJ247" s="198">
        <v>4810203.6595299998</v>
      </c>
      <c r="CK247" s="198">
        <v>1403366.2524900001</v>
      </c>
      <c r="CL247" s="198">
        <v>3375809.8998699998</v>
      </c>
      <c r="CM247" s="198">
        <v>1139517.5545400002</v>
      </c>
      <c r="CN247" s="198"/>
      <c r="CO247" s="197">
        <v>9041.1319399999975</v>
      </c>
      <c r="CP247" s="198">
        <v>832.37973999999997</v>
      </c>
      <c r="CQ247" s="198">
        <v>1481.7760900000001</v>
      </c>
      <c r="CR247" s="198">
        <v>2174.7647099999999</v>
      </c>
      <c r="CS247" s="198">
        <v>2083.0340099999999</v>
      </c>
      <c r="CT247" s="198"/>
      <c r="CU247" s="198">
        <v>2469.177389999998</v>
      </c>
      <c r="CV247" s="197">
        <v>1636.473</v>
      </c>
      <c r="CW247" s="198"/>
      <c r="CX247" s="198"/>
      <c r="CY247" s="198"/>
      <c r="CZ247" s="198"/>
      <c r="DA247" s="198"/>
      <c r="DB247" s="198"/>
      <c r="DC247" s="197">
        <v>71208.455000000002</v>
      </c>
      <c r="DD247" s="198">
        <v>7617.9</v>
      </c>
      <c r="DE247" s="198">
        <v>15427.668</v>
      </c>
      <c r="DF247" s="198"/>
      <c r="DG247" s="198">
        <v>18318.129000000001</v>
      </c>
      <c r="DH247" s="198"/>
      <c r="DI247" s="198">
        <f t="shared" si="23"/>
        <v>29844.758000000002</v>
      </c>
      <c r="DJ247" s="197">
        <f>2869.4+48973.6</f>
        <v>51843</v>
      </c>
      <c r="DK247" s="198">
        <f>2371.9+10005.4</f>
        <v>12377.3</v>
      </c>
      <c r="DL247" s="198">
        <f>2033.2+12138.1</f>
        <v>14171.300000000001</v>
      </c>
      <c r="DM247" s="198">
        <v>5001.3</v>
      </c>
      <c r="DN247" s="198">
        <f>14976.8-DM247</f>
        <v>9975.5</v>
      </c>
      <c r="DO247" s="198"/>
      <c r="DP247" s="198">
        <f t="shared" si="27"/>
        <v>10317.600000000006</v>
      </c>
      <c r="DQ247" s="197"/>
      <c r="DR247" s="198"/>
      <c r="DS247" s="198"/>
      <c r="DT247" s="198"/>
      <c r="DU247" s="198"/>
      <c r="DV247" s="198"/>
      <c r="DW247" s="198"/>
      <c r="DX247" s="197">
        <v>126418.8045</v>
      </c>
      <c r="DY247" s="198"/>
      <c r="DZ247" s="198">
        <v>85558.386200000008</v>
      </c>
      <c r="EA247" s="198">
        <v>19439.082420000002</v>
      </c>
      <c r="EB247" s="198">
        <v>19367.75822</v>
      </c>
      <c r="EC247" s="198"/>
      <c r="ED247" s="198">
        <v>2053.5776599999999</v>
      </c>
      <c r="EE247" s="198"/>
      <c r="EF247" s="198"/>
      <c r="EG247" s="198"/>
      <c r="EH247" s="198"/>
      <c r="EI247" s="198"/>
      <c r="EJ247" s="198"/>
      <c r="EK247" s="199"/>
      <c r="EL247" s="198">
        <v>1736024.245294</v>
      </c>
      <c r="EM247" s="198">
        <v>725796.84983399988</v>
      </c>
      <c r="EN247" s="198">
        <v>85939.694344000032</v>
      </c>
      <c r="EO247" s="198">
        <v>281917.52962000004</v>
      </c>
      <c r="EP247" s="198">
        <v>475532.98392199993</v>
      </c>
      <c r="EQ247" s="198"/>
      <c r="ER247" s="199">
        <v>166837.18757600005</v>
      </c>
      <c r="ES247" s="198">
        <v>43928.182580950001</v>
      </c>
      <c r="ET247" s="198"/>
      <c r="EU247" s="198">
        <v>23283.061432760001</v>
      </c>
      <c r="EV247" s="198">
        <v>5735.4996138500001</v>
      </c>
      <c r="EW247" s="198">
        <v>13543.15743162</v>
      </c>
      <c r="EX247" s="198"/>
      <c r="EY247" s="199">
        <f t="shared" si="24"/>
        <v>1366.4641027199996</v>
      </c>
      <c r="EZ247" s="198">
        <v>19589.859721941</v>
      </c>
      <c r="FA247" s="198">
        <v>858.04621916999997</v>
      </c>
      <c r="FB247" s="198">
        <v>5387.0232720200001</v>
      </c>
      <c r="FC247" s="198">
        <v>5045.72678318</v>
      </c>
      <c r="FD247" s="198">
        <v>4364.5432920810099</v>
      </c>
      <c r="FE247" s="198">
        <v>55.778882779999897</v>
      </c>
      <c r="FF247" s="198">
        <f t="shared" si="17"/>
        <v>3934.5201554899913</v>
      </c>
      <c r="FG247" s="197">
        <v>13568034.108056001</v>
      </c>
      <c r="FH247" s="198">
        <v>1482093.6755479998</v>
      </c>
      <c r="FI247" s="198">
        <v>2440803.4488500003</v>
      </c>
      <c r="FJ247" s="198"/>
      <c r="FK247" s="198">
        <v>1293416.4415769998</v>
      </c>
      <c r="FL247" s="198"/>
      <c r="FM247" s="198">
        <f t="shared" si="26"/>
        <v>8351720.5420810012</v>
      </c>
      <c r="FN247" s="197">
        <v>68572.968999999997</v>
      </c>
      <c r="FO247" s="198">
        <v>14291.482</v>
      </c>
      <c r="FP247" s="198">
        <v>9424.259</v>
      </c>
      <c r="FQ247" s="198">
        <v>8247.8549999999996</v>
      </c>
      <c r="FR247" s="198">
        <v>13500.126</v>
      </c>
      <c r="FS247" s="198"/>
      <c r="FT247" s="199">
        <f t="shared" si="25"/>
        <v>23109.246999999996</v>
      </c>
      <c r="FU247" s="197"/>
      <c r="FV247" s="198"/>
      <c r="FW247" s="198"/>
      <c r="FX247" s="198"/>
      <c r="FY247" s="198"/>
      <c r="FZ247" s="198"/>
      <c r="GA247" s="199"/>
      <c r="GB247" s="197">
        <v>2123.944</v>
      </c>
      <c r="GC247" s="198"/>
      <c r="GD247" s="198"/>
      <c r="GE247" s="198"/>
      <c r="GF247" s="198"/>
      <c r="GG247" s="198"/>
      <c r="GH247" s="199"/>
      <c r="GI247" s="197">
        <v>1175.7270000000001</v>
      </c>
      <c r="GJ247" s="198"/>
      <c r="GK247" s="198"/>
      <c r="GL247" s="198"/>
      <c r="GM247" s="198"/>
      <c r="GN247" s="198"/>
      <c r="GO247" s="199"/>
      <c r="GP247" s="197">
        <v>3542.1750000000002</v>
      </c>
      <c r="GQ247" s="198"/>
      <c r="GR247" s="198"/>
      <c r="GS247" s="198"/>
      <c r="GT247" s="198"/>
      <c r="GU247" s="198"/>
      <c r="GV247" s="199"/>
      <c r="GW247" s="197">
        <f>[2]sur!P31</f>
        <v>1992.8000000000002</v>
      </c>
      <c r="GX247" s="198">
        <f>[2]sur!Q31</f>
        <v>147.9</v>
      </c>
      <c r="GY247" s="198">
        <f>[2]sur!R31</f>
        <v>495.5</v>
      </c>
      <c r="GZ247" s="198">
        <f>[2]sur!S31</f>
        <v>304.39999999999998</v>
      </c>
      <c r="HA247" s="198"/>
      <c r="HB247" s="198"/>
      <c r="HC247" s="199">
        <f>[2]sur!V31</f>
        <v>1045</v>
      </c>
      <c r="HD247" s="197"/>
      <c r="HE247" s="198"/>
      <c r="HF247" s="198"/>
      <c r="HG247" s="198"/>
      <c r="HH247" s="198"/>
      <c r="HI247" s="198"/>
      <c r="HJ247" s="199"/>
      <c r="HK247" s="197">
        <v>6029.6140346574002</v>
      </c>
      <c r="HL247" s="198">
        <v>1413.4080038659881</v>
      </c>
      <c r="HM247" s="198">
        <v>596.50833286607281</v>
      </c>
      <c r="HN247" s="198">
        <v>71.207384925837843</v>
      </c>
      <c r="HO247" s="198">
        <v>2119.4247118333078</v>
      </c>
      <c r="HP247" s="198"/>
      <c r="HQ247" s="198">
        <f t="shared" si="16"/>
        <v>1829.065601166194</v>
      </c>
      <c r="HR247" s="197">
        <v>107109.022</v>
      </c>
      <c r="HT247" s="198">
        <v>53257.709000000003</v>
      </c>
      <c r="HU247" s="198">
        <v>10819.204</v>
      </c>
      <c r="HV247" s="198">
        <v>25863.98</v>
      </c>
      <c r="HW247" s="198">
        <v>4188.9219999999996</v>
      </c>
      <c r="HX247" s="198">
        <v>12979.207</v>
      </c>
    </row>
    <row r="248" spans="1:233">
      <c r="A248" s="185" t="s">
        <v>491</v>
      </c>
      <c r="B248" s="197">
        <v>2854.62</v>
      </c>
      <c r="C248" s="198">
        <v>59.680999999999997</v>
      </c>
      <c r="D248" s="198">
        <v>478.411</v>
      </c>
      <c r="E248" s="198">
        <v>698.46199999999999</v>
      </c>
      <c r="F248" s="198">
        <v>533.96500000000003</v>
      </c>
      <c r="G248" s="198"/>
      <c r="H248" s="199">
        <v>1084.1010000000001</v>
      </c>
      <c r="I248" s="197">
        <v>134761.5</v>
      </c>
      <c r="J248" s="198"/>
      <c r="K248" s="198"/>
      <c r="L248" s="198">
        <v>15472.3</v>
      </c>
      <c r="M248" s="198">
        <v>22780.799999999999</v>
      </c>
      <c r="N248" s="198"/>
      <c r="O248" s="199">
        <f>[3]arg!$G114</f>
        <v>77601.8</v>
      </c>
      <c r="P248" s="198">
        <v>6592.451</v>
      </c>
      <c r="Q248" s="198">
        <v>52.741</v>
      </c>
      <c r="R248" s="198">
        <v>478.14400000000001</v>
      </c>
      <c r="S248" s="198">
        <v>406.108</v>
      </c>
      <c r="T248" s="198">
        <v>4669.7669999999998</v>
      </c>
      <c r="U248" s="198"/>
      <c r="V248" s="199">
        <f t="shared" si="22"/>
        <v>985.6909999999998</v>
      </c>
      <c r="W248" s="198">
        <v>5167.4740000000002</v>
      </c>
      <c r="X248" s="198">
        <v>117.264</v>
      </c>
      <c r="Y248" s="198">
        <v>942.77700000000004</v>
      </c>
      <c r="Z248" s="198">
        <v>350.774</v>
      </c>
      <c r="AA248" s="198">
        <v>2461.0129999999999</v>
      </c>
      <c r="AB248" s="198"/>
      <c r="AC248" s="199">
        <f t="shared" si="14"/>
        <v>1295.6460000000002</v>
      </c>
      <c r="AD248" s="198"/>
      <c r="AE248" s="198">
        <v>32.253999999999998</v>
      </c>
      <c r="AF248" s="198">
        <v>323.14600000000002</v>
      </c>
      <c r="AG248" s="198">
        <v>516.31999999999994</v>
      </c>
      <c r="AH248" s="198">
        <v>377.995</v>
      </c>
      <c r="AI248" s="198"/>
      <c r="AJ248" s="198"/>
      <c r="AK248" s="197">
        <v>32042.564999999999</v>
      </c>
      <c r="AL248" s="198"/>
      <c r="AM248" s="198">
        <v>14531.391000000001</v>
      </c>
      <c r="AN248" s="198">
        <v>6954.57</v>
      </c>
      <c r="AO248" s="198">
        <v>3145.6170000000002</v>
      </c>
      <c r="AP248" s="198">
        <v>7409.4930000000004</v>
      </c>
      <c r="AQ248" s="199"/>
      <c r="AR248" s="198">
        <v>993073.56257526984</v>
      </c>
      <c r="AS248" s="198">
        <v>230587.39099148</v>
      </c>
      <c r="AT248" s="198">
        <v>102017.53851721001</v>
      </c>
      <c r="AU248" s="198">
        <v>48416.33610279001</v>
      </c>
      <c r="AV248" s="198">
        <v>334348.93237078999</v>
      </c>
      <c r="AW248" s="198"/>
      <c r="AX248" s="198">
        <v>277703.36459299986</v>
      </c>
      <c r="AY248" s="197">
        <v>60199553</v>
      </c>
      <c r="AZ248" s="198"/>
      <c r="BA248" s="198">
        <v>37801847</v>
      </c>
      <c r="BB248" s="198">
        <v>14137729</v>
      </c>
      <c r="BC248" s="198">
        <v>8259977.0000000009</v>
      </c>
      <c r="BD248" s="198"/>
      <c r="BE248" s="198"/>
      <c r="BF248" s="197">
        <v>128695950.43999998</v>
      </c>
      <c r="BG248" s="198"/>
      <c r="BH248" s="198">
        <v>79615777.329999983</v>
      </c>
      <c r="BI248" s="198">
        <v>9648278.879999999</v>
      </c>
      <c r="BJ248" s="198">
        <v>37421792.279999994</v>
      </c>
      <c r="BK248" s="198">
        <v>2010101.95</v>
      </c>
      <c r="BL248" s="198"/>
      <c r="BM248" s="197">
        <v>6841860.7029999997</v>
      </c>
      <c r="BN248" s="198">
        <v>389644.17600000004</v>
      </c>
      <c r="BO248" s="198">
        <v>731569.88199999998</v>
      </c>
      <c r="BP248" s="198">
        <v>2036440.213</v>
      </c>
      <c r="BQ248" s="198">
        <v>1861819.304</v>
      </c>
      <c r="BR248" s="198"/>
      <c r="BS248" s="198">
        <f t="shared" si="2"/>
        <v>1822387.1280000005</v>
      </c>
      <c r="BT248" s="197"/>
      <c r="BU248" s="198"/>
      <c r="BV248" s="198"/>
      <c r="BW248" s="198"/>
      <c r="BX248" s="198"/>
      <c r="BY248" s="198"/>
      <c r="BZ248" s="198"/>
      <c r="CA248" s="197">
        <v>629.726</v>
      </c>
      <c r="CB248" s="198">
        <v>25.699000000000002</v>
      </c>
      <c r="CC248" s="198">
        <v>90.221999999999994</v>
      </c>
      <c r="CD248" s="198">
        <v>221.023</v>
      </c>
      <c r="CE248" s="198">
        <v>133.21299999999999</v>
      </c>
      <c r="CF248" s="198"/>
      <c r="CG248" s="198">
        <f>CA248-CB248-CC248-CD248-CE248</f>
        <v>159.56900000000005</v>
      </c>
      <c r="CH248" s="197">
        <v>10870543.605659999</v>
      </c>
      <c r="CI248" s="198"/>
      <c r="CJ248" s="198">
        <v>4888235.1688299999</v>
      </c>
      <c r="CK248" s="198">
        <v>1433319.3287499999</v>
      </c>
      <c r="CL248" s="198">
        <v>3388570.4326399993</v>
      </c>
      <c r="CM248" s="198">
        <v>1160418.6754399999</v>
      </c>
      <c r="CN248" s="198"/>
      <c r="CO248" s="197">
        <v>9133.605599999999</v>
      </c>
      <c r="CP248" s="198">
        <v>866.01513999999997</v>
      </c>
      <c r="CQ248" s="198">
        <v>1581.33905</v>
      </c>
      <c r="CR248" s="198">
        <v>2196.3484800000001</v>
      </c>
      <c r="CS248" s="198">
        <v>2105.8742400000001</v>
      </c>
      <c r="CT248" s="198"/>
      <c r="CU248" s="198">
        <v>2384.0286899999996</v>
      </c>
      <c r="CV248" s="197">
        <v>1655.848</v>
      </c>
      <c r="CW248" s="198">
        <v>23.478000000000002</v>
      </c>
      <c r="CX248" s="198">
        <v>274.57100000000003</v>
      </c>
      <c r="CY248" s="198">
        <v>562.99199999999996</v>
      </c>
      <c r="CZ248" s="198">
        <v>414.47399999999999</v>
      </c>
      <c r="DA248" s="198"/>
      <c r="DB248" s="198">
        <f>CV248-CW248-CX248-CY248-CZ248</f>
        <v>380.33300000000003</v>
      </c>
      <c r="DC248" s="197">
        <v>70556.456000000006</v>
      </c>
      <c r="DD248" s="198">
        <v>7548.8239999999996</v>
      </c>
      <c r="DE248" s="198">
        <v>15037.672</v>
      </c>
      <c r="DF248" s="198"/>
      <c r="DG248" s="198">
        <v>17931.432000000001</v>
      </c>
      <c r="DH248" s="198"/>
      <c r="DI248" s="198">
        <f t="shared" si="23"/>
        <v>30038.528000000006</v>
      </c>
      <c r="DJ248" s="197">
        <f>3233.9+49309.4</f>
        <v>52543.3</v>
      </c>
      <c r="DK248" s="198">
        <f>2651.1+10378.3</f>
        <v>13029.4</v>
      </c>
      <c r="DL248" s="198">
        <f>2078.2+11593.7</f>
        <v>13671.900000000001</v>
      </c>
      <c r="DM248" s="198">
        <v>4736.8999999999996</v>
      </c>
      <c r="DN248" s="198">
        <f>15085.3-4736.9</f>
        <v>10348.4</v>
      </c>
      <c r="DO248" s="198"/>
      <c r="DP248" s="198">
        <f t="shared" si="27"/>
        <v>10756.699999999997</v>
      </c>
      <c r="DQ248" s="197"/>
      <c r="DR248" s="198"/>
      <c r="DS248" s="198"/>
      <c r="DT248" s="198"/>
      <c r="DU248" s="198"/>
      <c r="DV248" s="198"/>
      <c r="DW248" s="198"/>
      <c r="DX248" s="197">
        <v>128708.68062</v>
      </c>
      <c r="DY248" s="198"/>
      <c r="DZ248" s="198">
        <v>86867.33759000001</v>
      </c>
      <c r="EA248" s="198">
        <v>20031.592410000001</v>
      </c>
      <c r="EB248" s="198">
        <v>19768.753350000003</v>
      </c>
      <c r="EC248" s="198"/>
      <c r="ED248" s="198">
        <v>2040.9972700000001</v>
      </c>
      <c r="EE248" s="198">
        <v>194847.00200000001</v>
      </c>
      <c r="EF248" s="198">
        <v>6549.9939999999997</v>
      </c>
      <c r="EG248" s="198">
        <v>46065.188999999998</v>
      </c>
      <c r="EH248" s="198">
        <v>10031.486999999999</v>
      </c>
      <c r="EI248" s="198">
        <v>78127.584000000003</v>
      </c>
      <c r="EJ248" s="198"/>
      <c r="EK248" s="199">
        <f>EE248-EF248-EG248-EH248-EI248</f>
        <v>54072.748000000021</v>
      </c>
      <c r="EL248" s="198">
        <v>1761678.9932819996</v>
      </c>
      <c r="EM248" s="198">
        <v>737376.4638619998</v>
      </c>
      <c r="EN248" s="198">
        <v>81984.044339</v>
      </c>
      <c r="EO248" s="198">
        <v>282447.57004700002</v>
      </c>
      <c r="EP248" s="198">
        <v>479804.43931199994</v>
      </c>
      <c r="EQ248" s="198"/>
      <c r="ER248" s="199">
        <v>180066.475725</v>
      </c>
      <c r="ES248" s="198">
        <v>44348.218231040999</v>
      </c>
      <c r="ET248" s="198"/>
      <c r="EU248" s="198">
        <v>23562.037521640999</v>
      </c>
      <c r="EV248" s="198">
        <v>5815.6892019500001</v>
      </c>
      <c r="EW248" s="198">
        <v>13622.974033760001</v>
      </c>
      <c r="EX248" s="198"/>
      <c r="EY248" s="199">
        <f t="shared" si="24"/>
        <v>1347.5174736899971</v>
      </c>
      <c r="EZ248" s="198">
        <v>20035.061743261002</v>
      </c>
      <c r="FA248" s="198">
        <v>927.29722374000005</v>
      </c>
      <c r="FB248" s="198">
        <v>5331.0889372800002</v>
      </c>
      <c r="FC248" s="198">
        <v>5070.2738408100004</v>
      </c>
      <c r="FD248" s="198">
        <v>4410.7182393410103</v>
      </c>
      <c r="FE248" s="198">
        <v>56.933332839999998</v>
      </c>
      <c r="FF248" s="198">
        <f t="shared" si="17"/>
        <v>4295.6835020899898</v>
      </c>
      <c r="FG248" s="197">
        <v>14090753.011277998</v>
      </c>
      <c r="FH248" s="198">
        <v>1423141.1497840001</v>
      </c>
      <c r="FI248" s="198">
        <v>3102094.4764</v>
      </c>
      <c r="FJ248" s="198"/>
      <c r="FK248" s="198">
        <v>1317197.408977</v>
      </c>
      <c r="FL248" s="198"/>
      <c r="FM248" s="198">
        <f t="shared" si="26"/>
        <v>8248319.9761169981</v>
      </c>
      <c r="FN248" s="197">
        <v>67261.722999999998</v>
      </c>
      <c r="FO248" s="198">
        <v>13544.567999999999</v>
      </c>
      <c r="FP248" s="198">
        <v>9434.9529999999995</v>
      </c>
      <c r="FQ248" s="198">
        <v>8057.3050000000003</v>
      </c>
      <c r="FR248" s="198">
        <v>13680.511</v>
      </c>
      <c r="FS248" s="198"/>
      <c r="FT248" s="199">
        <f t="shared" si="25"/>
        <v>22544.385999999999</v>
      </c>
      <c r="FU248" s="197">
        <v>315673.48606065934</v>
      </c>
      <c r="FV248" s="198">
        <v>22705.214940909995</v>
      </c>
      <c r="FW248" s="198">
        <v>58108.189688459708</v>
      </c>
      <c r="FX248" s="198">
        <v>65428.777680309999</v>
      </c>
      <c r="FY248" s="198">
        <v>80539.367165359668</v>
      </c>
      <c r="FZ248" s="198"/>
      <c r="GA248" s="199">
        <f>FU248-FV248-FW248-FX248-FY248</f>
        <v>88891.936585619987</v>
      </c>
      <c r="GB248" s="197">
        <v>1959.95</v>
      </c>
      <c r="GC248" s="198">
        <v>24.710999999999999</v>
      </c>
      <c r="GD248" s="198">
        <v>208.74600000000001</v>
      </c>
      <c r="GE248" s="198">
        <v>372.57799999999997</v>
      </c>
      <c r="GF248" s="198">
        <v>366.923</v>
      </c>
      <c r="GG248" s="198"/>
      <c r="GH248" s="199">
        <f>GB248-GC248-GD248-GE248-GF248</f>
        <v>986.99199999999996</v>
      </c>
      <c r="GI248" s="197">
        <v>1176.462</v>
      </c>
      <c r="GJ248" s="198">
        <v>42.298000000000002</v>
      </c>
      <c r="GK248" s="198">
        <v>123.64700000000001</v>
      </c>
      <c r="GL248" s="198">
        <v>340.99599999999998</v>
      </c>
      <c r="GM248" s="198">
        <v>212.47800000000001</v>
      </c>
      <c r="GN248" s="198"/>
      <c r="GO248" s="199">
        <f>GI248-GJ248-GK248-GL248-GM248</f>
        <v>457.04299999999995</v>
      </c>
      <c r="GP248" s="197">
        <v>3533.8690000000001</v>
      </c>
      <c r="GQ248" s="198">
        <v>67.438999999999993</v>
      </c>
      <c r="GR248" s="198">
        <v>1056.2</v>
      </c>
      <c r="GS248" s="198">
        <v>525.07100000000003</v>
      </c>
      <c r="GT248" s="198">
        <v>633.62599999999998</v>
      </c>
      <c r="GU248" s="198"/>
      <c r="GV248" s="199">
        <f>GP248-GQ248-GR248-GS248-GT248</f>
        <v>1251.5330000000006</v>
      </c>
      <c r="GW248" s="197">
        <f>[2]sur!P32</f>
        <v>2057.5</v>
      </c>
      <c r="GX248" s="198">
        <f>[2]sur!Q32</f>
        <v>148.69999999999999</v>
      </c>
      <c r="GY248" s="198">
        <f>[2]sur!R32</f>
        <v>506.70000000000005</v>
      </c>
      <c r="GZ248" s="198">
        <f>[2]sur!S32</f>
        <v>310.39999999999998</v>
      </c>
      <c r="HA248" s="198"/>
      <c r="HB248" s="198"/>
      <c r="HC248" s="199">
        <f>[2]sur!V32</f>
        <v>1091.6999999999998</v>
      </c>
      <c r="HD248" s="197">
        <f>'[2]t&amp;t'!W380</f>
        <v>42344.800000000003</v>
      </c>
      <c r="HE248" s="198">
        <f>'[2]t&amp;t'!X380</f>
        <v>2790.8</v>
      </c>
      <c r="HF248" s="198">
        <f>'[2]t&amp;t'!Y380</f>
        <v>3392.6000000000004</v>
      </c>
      <c r="HG248" s="198">
        <f>'[2]t&amp;t'!Z380</f>
        <v>7305.3</v>
      </c>
      <c r="HH248" s="198">
        <f>'[2]t&amp;t'!AA380</f>
        <v>12255.999999999998</v>
      </c>
      <c r="HI248" s="198"/>
      <c r="HJ248" s="199">
        <f>'[2]t&amp;t'!AC380</f>
        <v>16600.099999999999</v>
      </c>
      <c r="HK248" s="197">
        <v>6333.0025749698007</v>
      </c>
      <c r="HL248" s="198">
        <v>1468.8768811981979</v>
      </c>
      <c r="HM248" s="198">
        <v>616.94683956137737</v>
      </c>
      <c r="HN248" s="198">
        <v>72.004798165951698</v>
      </c>
      <c r="HO248" s="198">
        <v>2237.5633524277187</v>
      </c>
      <c r="HP248" s="198"/>
      <c r="HQ248" s="198">
        <f t="shared" si="16"/>
        <v>1937.6107036165545</v>
      </c>
      <c r="HR248" s="197">
        <v>108738.41099999999</v>
      </c>
      <c r="HT248" s="198">
        <v>53627.103999999999</v>
      </c>
      <c r="HU248" s="198">
        <v>11116.478999999999</v>
      </c>
      <c r="HV248" s="198">
        <v>26523.127</v>
      </c>
      <c r="HW248" s="198">
        <v>4190.7359999999999</v>
      </c>
      <c r="HX248" s="198">
        <v>13280.965</v>
      </c>
    </row>
    <row r="249" spans="1:233">
      <c r="A249" s="185" t="s">
        <v>492</v>
      </c>
      <c r="B249" s="197">
        <v>2872.6480000000001</v>
      </c>
      <c r="C249" s="198"/>
      <c r="D249" s="198"/>
      <c r="E249" s="198"/>
      <c r="F249" s="198"/>
      <c r="G249" s="198"/>
      <c r="H249" s="199"/>
      <c r="I249" s="197">
        <v>139389.29999999999</v>
      </c>
      <c r="J249" s="198"/>
      <c r="K249" s="198"/>
      <c r="L249" s="198">
        <v>15905.8</v>
      </c>
      <c r="M249" s="198">
        <v>23929.7</v>
      </c>
      <c r="N249" s="198"/>
      <c r="O249" s="199">
        <f>[3]arg!$G115</f>
        <v>80720.600000000006</v>
      </c>
      <c r="P249" s="198">
        <v>6588.5060000000003</v>
      </c>
      <c r="Q249" s="198">
        <v>53.529000000000003</v>
      </c>
      <c r="R249" s="198">
        <v>468.51499999999999</v>
      </c>
      <c r="S249" s="198">
        <v>447.86500000000001</v>
      </c>
      <c r="T249" s="198">
        <v>4712.6419999999998</v>
      </c>
      <c r="U249" s="198"/>
      <c r="V249" s="199">
        <f t="shared" si="22"/>
        <v>905.95499999999993</v>
      </c>
      <c r="W249" s="198">
        <v>5209.5</v>
      </c>
      <c r="X249" s="198">
        <v>115.697</v>
      </c>
      <c r="Y249" s="198">
        <v>918.471</v>
      </c>
      <c r="Z249" s="198">
        <v>366.06099999999998</v>
      </c>
      <c r="AA249" s="198">
        <v>2500.962</v>
      </c>
      <c r="AB249" s="198"/>
      <c r="AC249" s="199">
        <f t="shared" si="14"/>
        <v>1308.3090000000002</v>
      </c>
      <c r="AD249" s="198"/>
      <c r="AE249" s="198">
        <v>33.356999999999999</v>
      </c>
      <c r="AF249" s="198">
        <v>338.92699999999996</v>
      </c>
      <c r="AG249" s="198">
        <v>522.29300000000001</v>
      </c>
      <c r="AH249" s="198">
        <v>376.77</v>
      </c>
      <c r="AI249" s="198"/>
      <c r="AJ249" s="198"/>
      <c r="AK249" s="197"/>
      <c r="AL249" s="198"/>
      <c r="AM249" s="198"/>
      <c r="AN249" s="198"/>
      <c r="AO249" s="198"/>
      <c r="AP249" s="198"/>
      <c r="AQ249" s="199"/>
      <c r="AR249" s="198">
        <v>1018124.0764308701</v>
      </c>
      <c r="AS249" s="198">
        <v>237429.23910862001</v>
      </c>
      <c r="AT249" s="198">
        <v>104585.31799775003</v>
      </c>
      <c r="AU249" s="198">
        <v>49698.804177309998</v>
      </c>
      <c r="AV249" s="198">
        <v>342919.71870178997</v>
      </c>
      <c r="AW249" s="198"/>
      <c r="AX249" s="198">
        <v>283490.99644540017</v>
      </c>
      <c r="AY249" s="197">
        <v>61904136</v>
      </c>
      <c r="AZ249" s="198"/>
      <c r="BA249" s="198">
        <v>39113946</v>
      </c>
      <c r="BB249" s="198">
        <v>14420145</v>
      </c>
      <c r="BC249" s="198">
        <v>8370045</v>
      </c>
      <c r="BD249" s="198"/>
      <c r="BE249" s="198"/>
      <c r="BF249" s="197">
        <v>130008937.87</v>
      </c>
      <c r="BG249" s="198"/>
      <c r="BH249" s="198">
        <v>80215264.879999995</v>
      </c>
      <c r="BI249" s="198">
        <v>9702656.6800000016</v>
      </c>
      <c r="BJ249" s="198">
        <v>38021380.450000003</v>
      </c>
      <c r="BK249" s="198">
        <v>2069635.8600000003</v>
      </c>
      <c r="BL249" s="198"/>
      <c r="BM249" s="197">
        <v>7050142.5410000002</v>
      </c>
      <c r="BN249" s="198">
        <v>390719.40700000001</v>
      </c>
      <c r="BO249" s="198">
        <v>734571.54999999993</v>
      </c>
      <c r="BP249" s="198">
        <v>2100726.5120000001</v>
      </c>
      <c r="BQ249" s="198">
        <v>1916499.219</v>
      </c>
      <c r="BR249" s="198"/>
      <c r="BS249" s="198">
        <f t="shared" si="2"/>
        <v>1907625.8530000001</v>
      </c>
      <c r="BT249" s="197"/>
      <c r="BU249" s="198"/>
      <c r="BV249" s="198"/>
      <c r="BW249" s="198"/>
      <c r="BX249" s="198"/>
      <c r="BY249" s="198"/>
      <c r="BZ249" s="198"/>
      <c r="CA249" s="197">
        <v>642.32600000000002</v>
      </c>
      <c r="CB249" s="198"/>
      <c r="CC249" s="198"/>
      <c r="CD249" s="198"/>
      <c r="CE249" s="198"/>
      <c r="CF249" s="198"/>
      <c r="CG249" s="198"/>
      <c r="CH249" s="197">
        <v>11067557.588000001</v>
      </c>
      <c r="CI249" s="198"/>
      <c r="CJ249" s="198">
        <v>5011437.9546600003</v>
      </c>
      <c r="CK249" s="198">
        <v>1468258.0696900003</v>
      </c>
      <c r="CL249" s="198">
        <v>3393125.1069300002</v>
      </c>
      <c r="CM249" s="198">
        <v>1194736.4567199997</v>
      </c>
      <c r="CN249" s="198"/>
      <c r="CO249" s="197">
        <v>9189.1098099999981</v>
      </c>
      <c r="CP249" s="198">
        <v>872.40672999999992</v>
      </c>
      <c r="CQ249" s="198">
        <v>1548.84006</v>
      </c>
      <c r="CR249" s="198">
        <v>2210.6670399999998</v>
      </c>
      <c r="CS249" s="198">
        <v>2150.2640200000001</v>
      </c>
      <c r="CT249" s="198"/>
      <c r="CU249" s="198">
        <v>2406.931959999999</v>
      </c>
      <c r="CV249" s="197">
        <v>1652.675</v>
      </c>
      <c r="CW249" s="198"/>
      <c r="CX249" s="198"/>
      <c r="CY249" s="198"/>
      <c r="CZ249" s="198"/>
      <c r="DA249" s="198"/>
      <c r="DB249" s="198"/>
      <c r="DC249" s="197">
        <v>70749.769</v>
      </c>
      <c r="DD249" s="198">
        <v>7719.3209999999999</v>
      </c>
      <c r="DE249" s="198">
        <v>14897.932000000001</v>
      </c>
      <c r="DF249" s="198"/>
      <c r="DG249" s="198">
        <v>18153.578000000001</v>
      </c>
      <c r="DH249" s="198"/>
      <c r="DI249" s="198">
        <f t="shared" si="23"/>
        <v>29978.938000000002</v>
      </c>
      <c r="DJ249" s="197">
        <f>3024.9+50097.3</f>
        <v>53122.200000000004</v>
      </c>
      <c r="DK249" s="198">
        <f>2379.1+11395</f>
        <v>13774.1</v>
      </c>
      <c r="DL249" s="198">
        <f>2001+11534.9</f>
        <v>13535.9</v>
      </c>
      <c r="DM249" s="198">
        <v>5145.7</v>
      </c>
      <c r="DN249" s="198">
        <f>15419.7-DM249</f>
        <v>10274</v>
      </c>
      <c r="DO249" s="198"/>
      <c r="DP249" s="198">
        <f t="shared" si="27"/>
        <v>10392.500000000007</v>
      </c>
      <c r="DQ249" s="197"/>
      <c r="DR249" s="198"/>
      <c r="DS249" s="198"/>
      <c r="DT249" s="198"/>
      <c r="DU249" s="198"/>
      <c r="DV249" s="198"/>
      <c r="DW249" s="198"/>
      <c r="DX249" s="197">
        <v>129757.713</v>
      </c>
      <c r="DY249" s="198"/>
      <c r="DZ249" s="198">
        <v>86758.384890000001</v>
      </c>
      <c r="EA249" s="198">
        <v>20491.995139999999</v>
      </c>
      <c r="EB249" s="198">
        <v>20463.46614</v>
      </c>
      <c r="EC249" s="198"/>
      <c r="ED249" s="198">
        <v>2043.8668300000002</v>
      </c>
      <c r="EE249" s="198"/>
      <c r="EF249" s="198"/>
      <c r="EG249" s="198"/>
      <c r="EH249" s="198"/>
      <c r="EI249" s="198"/>
      <c r="EJ249" s="198"/>
      <c r="EK249" s="199"/>
      <c r="EL249" s="198">
        <v>1780787.6007410004</v>
      </c>
      <c r="EM249" s="198">
        <v>753085.33929899998</v>
      </c>
      <c r="EN249" s="198">
        <v>83578.027252</v>
      </c>
      <c r="EO249" s="198">
        <v>286248.66998200002</v>
      </c>
      <c r="EP249" s="198">
        <v>483950.41689400002</v>
      </c>
      <c r="EQ249" s="198"/>
      <c r="ER249" s="199">
        <v>173925.14731299999</v>
      </c>
      <c r="ES249" s="198">
        <v>44695.826938194703</v>
      </c>
      <c r="ET249" s="198"/>
      <c r="EU249" s="198">
        <v>23622.643083044699</v>
      </c>
      <c r="EV249" s="198">
        <v>5925.0490120300001</v>
      </c>
      <c r="EW249" s="198">
        <v>13828.916700559999</v>
      </c>
      <c r="EX249" s="198"/>
      <c r="EY249" s="199">
        <f t="shared" si="24"/>
        <v>1319.2181425600047</v>
      </c>
      <c r="EZ249" s="198">
        <v>20387.009805515401</v>
      </c>
      <c r="FA249" s="198">
        <v>950.67889283</v>
      </c>
      <c r="FB249" s="198">
        <v>5402.9017450844003</v>
      </c>
      <c r="FC249" s="198">
        <v>5108.44533495002</v>
      </c>
      <c r="FD249" s="198">
        <v>4438.7025270309996</v>
      </c>
      <c r="FE249" s="198">
        <v>57.73973642</v>
      </c>
      <c r="FF249" s="198">
        <f t="shared" si="17"/>
        <v>4486.2813056199802</v>
      </c>
      <c r="FG249" s="197">
        <v>14051318.832424</v>
      </c>
      <c r="FH249" s="198">
        <v>1398615.7158869999</v>
      </c>
      <c r="FI249" s="198">
        <v>3158635.821618</v>
      </c>
      <c r="FJ249" s="198"/>
      <c r="FK249" s="198">
        <v>1366809.4811830001</v>
      </c>
      <c r="FL249" s="198"/>
      <c r="FM249" s="198">
        <f>FG249-SUM(FH249:FK249)</f>
        <v>8127257.8137360001</v>
      </c>
      <c r="FN249" s="197">
        <v>70806.478000000003</v>
      </c>
      <c r="FO249" s="198">
        <v>14402.696</v>
      </c>
      <c r="FP249" s="198">
        <v>10124.371999999999</v>
      </c>
      <c r="FQ249" s="198">
        <v>8470.9989999999998</v>
      </c>
      <c r="FR249" s="198">
        <v>14190.300999999999</v>
      </c>
      <c r="FS249" s="198"/>
      <c r="FT249" s="199">
        <f t="shared" si="25"/>
        <v>23618.110000000008</v>
      </c>
      <c r="FU249" s="197"/>
      <c r="FV249" s="198"/>
      <c r="FW249" s="198"/>
      <c r="FX249" s="198"/>
      <c r="FY249" s="198"/>
      <c r="FZ249" s="198"/>
      <c r="GA249" s="199"/>
      <c r="GB249" s="197">
        <v>1971.5530000000001</v>
      </c>
      <c r="GC249" s="198"/>
      <c r="GD249" s="198"/>
      <c r="GE249" s="198"/>
      <c r="GF249" s="198"/>
      <c r="GG249" s="198"/>
      <c r="GH249" s="199"/>
      <c r="GI249" s="197">
        <v>1194.0930000000001</v>
      </c>
      <c r="GJ249" s="198"/>
      <c r="GK249" s="198"/>
      <c r="GL249" s="198"/>
      <c r="GM249" s="198"/>
      <c r="GN249" s="198"/>
      <c r="GO249" s="199"/>
      <c r="GP249" s="197">
        <v>3567.0650000000001</v>
      </c>
      <c r="GQ249" s="198"/>
      <c r="GR249" s="198"/>
      <c r="GS249" s="198"/>
      <c r="GT249" s="198"/>
      <c r="GU249" s="198"/>
      <c r="GV249" s="199"/>
      <c r="GW249" s="197">
        <f>[2]sur!P33</f>
        <v>2109.8000000000002</v>
      </c>
      <c r="GX249" s="198">
        <f>[2]sur!Q33</f>
        <v>161.19999999999999</v>
      </c>
      <c r="GY249" s="198">
        <f>[2]sur!R33</f>
        <v>516.6</v>
      </c>
      <c r="GZ249" s="198">
        <f>[2]sur!S33</f>
        <v>322.8</v>
      </c>
      <c r="HA249" s="198"/>
      <c r="HB249" s="198"/>
      <c r="HC249" s="199">
        <f>[2]sur!V33</f>
        <v>1109.2</v>
      </c>
      <c r="HD249" s="197"/>
      <c r="HE249" s="198"/>
      <c r="HF249" s="198"/>
      <c r="HG249" s="198"/>
      <c r="HH249" s="198"/>
      <c r="HI249" s="198"/>
      <c r="HJ249" s="199"/>
      <c r="HK249" s="197">
        <v>6384.0553230908999</v>
      </c>
      <c r="HL249" s="198">
        <v>1502.1743996391535</v>
      </c>
      <c r="HM249" s="198">
        <v>655.13280479144169</v>
      </c>
      <c r="HN249" s="198">
        <v>74.080985820276709</v>
      </c>
      <c r="HO249" s="198">
        <v>2302.6720780011397</v>
      </c>
      <c r="HP249" s="198"/>
      <c r="HQ249" s="198">
        <f t="shared" si="16"/>
        <v>1849.9950548388892</v>
      </c>
      <c r="HR249" s="197">
        <v>112437.807</v>
      </c>
      <c r="HT249" s="198">
        <v>55435.970999999998</v>
      </c>
      <c r="HU249" s="198">
        <v>11479.308000000001</v>
      </c>
      <c r="HV249" s="198">
        <v>27285.69</v>
      </c>
      <c r="HW249" s="198">
        <v>4251.9660000000003</v>
      </c>
      <c r="HX249" s="198">
        <v>13984.871999999999</v>
      </c>
    </row>
    <row r="250" spans="1:233">
      <c r="A250" s="185" t="s">
        <v>493</v>
      </c>
      <c r="B250" s="197">
        <v>2925.5410000000002</v>
      </c>
      <c r="C250" s="198"/>
      <c r="D250" s="198"/>
      <c r="E250" s="198"/>
      <c r="F250" s="198"/>
      <c r="G250" s="198"/>
      <c r="H250" s="199"/>
      <c r="I250" s="197">
        <v>141390.79999999999</v>
      </c>
      <c r="J250" s="198"/>
      <c r="K250" s="198"/>
      <c r="L250" s="198">
        <v>16225.7</v>
      </c>
      <c r="M250" s="198">
        <v>24692.6</v>
      </c>
      <c r="N250" s="198"/>
      <c r="O250" s="199">
        <f>[3]arg!$G116</f>
        <v>81496.299999999988</v>
      </c>
      <c r="P250" s="198">
        <v>6654.4049999999997</v>
      </c>
      <c r="Q250" s="198">
        <v>46.412999999999997</v>
      </c>
      <c r="R250" s="198">
        <v>462.28199999999998</v>
      </c>
      <c r="S250" s="198">
        <v>454.93099999999998</v>
      </c>
      <c r="T250" s="198">
        <v>4738.1989999999996</v>
      </c>
      <c r="U250" s="198"/>
      <c r="V250" s="199">
        <f t="shared" si="22"/>
        <v>952.58000000000084</v>
      </c>
      <c r="W250" s="198">
        <v>5212.5330000000004</v>
      </c>
      <c r="X250" s="198">
        <v>125.70699999999999</v>
      </c>
      <c r="Y250" s="198">
        <v>932.72</v>
      </c>
      <c r="Z250" s="198">
        <v>350.45</v>
      </c>
      <c r="AA250" s="198">
        <v>2493.21</v>
      </c>
      <c r="AB250" s="198"/>
      <c r="AC250" s="199">
        <f t="shared" si="14"/>
        <v>1310.4459999999999</v>
      </c>
      <c r="AD250" s="198"/>
      <c r="AE250" s="198">
        <v>34.878</v>
      </c>
      <c r="AF250" s="198">
        <v>348.01500000000004</v>
      </c>
      <c r="AG250" s="198">
        <v>539.87099999999998</v>
      </c>
      <c r="AH250" s="198">
        <v>364.51900000000001</v>
      </c>
      <c r="AI250" s="198"/>
      <c r="AJ250" s="198"/>
      <c r="AK250" s="197"/>
      <c r="AL250" s="198"/>
      <c r="AM250" s="198"/>
      <c r="AN250" s="198"/>
      <c r="AO250" s="198"/>
      <c r="AP250" s="198"/>
      <c r="AQ250" s="199"/>
      <c r="AR250" s="198">
        <v>1044896.6102780299</v>
      </c>
      <c r="AS250" s="198">
        <v>241513.95273479997</v>
      </c>
      <c r="AT250" s="198">
        <v>106976.13391395999</v>
      </c>
      <c r="AU250" s="198">
        <v>51017.729681819997</v>
      </c>
      <c r="AV250" s="198">
        <v>351411.60460524011</v>
      </c>
      <c r="AW250" s="198"/>
      <c r="AX250" s="198">
        <v>293977.18934220989</v>
      </c>
      <c r="AY250" s="197">
        <v>62859554</v>
      </c>
      <c r="AZ250" s="198"/>
      <c r="BA250" s="198">
        <v>39898702</v>
      </c>
      <c r="BB250" s="198">
        <v>14612685</v>
      </c>
      <c r="BC250" s="198">
        <v>8348166.9999999991</v>
      </c>
      <c r="BD250" s="198"/>
      <c r="BE250" s="198"/>
      <c r="BF250" s="197">
        <v>131470600.13999997</v>
      </c>
      <c r="BG250" s="198"/>
      <c r="BH250" s="198">
        <v>81217471.11999999</v>
      </c>
      <c r="BI250" s="198">
        <v>9574431.160000002</v>
      </c>
      <c r="BJ250" s="198">
        <v>38541987.749999985</v>
      </c>
      <c r="BK250" s="198">
        <v>2136710.11</v>
      </c>
      <c r="BL250" s="198"/>
      <c r="BM250" s="197">
        <v>7372513.233</v>
      </c>
      <c r="BN250" s="198">
        <v>356072.81799999997</v>
      </c>
      <c r="BO250" s="198">
        <v>776479.91300000006</v>
      </c>
      <c r="BP250" s="198">
        <v>2233129.5390000003</v>
      </c>
      <c r="BQ250" s="198">
        <v>2082109.3160000001</v>
      </c>
      <c r="BR250" s="198"/>
      <c r="BS250" s="198">
        <f t="shared" si="2"/>
        <v>1924721.6469999989</v>
      </c>
      <c r="BT250" s="197"/>
      <c r="BU250" s="198"/>
      <c r="BV250" s="198"/>
      <c r="BW250" s="198"/>
      <c r="BX250" s="198"/>
      <c r="BY250" s="198"/>
      <c r="BZ250" s="198"/>
      <c r="CA250" s="197">
        <v>647.93799999999999</v>
      </c>
      <c r="CB250" s="198"/>
      <c r="CC250" s="198"/>
      <c r="CD250" s="198"/>
      <c r="CE250" s="198"/>
      <c r="CF250" s="198"/>
      <c r="CG250" s="198"/>
      <c r="CH250" s="197">
        <v>11328657.834769998</v>
      </c>
      <c r="CI250" s="198"/>
      <c r="CJ250" s="198">
        <v>5165422.8406999987</v>
      </c>
      <c r="CK250" s="198">
        <v>1471382.1224199999</v>
      </c>
      <c r="CL250" s="198">
        <v>3466184.9885499999</v>
      </c>
      <c r="CM250" s="198">
        <v>1225667.8830999997</v>
      </c>
      <c r="CN250" s="198"/>
      <c r="CO250" s="197">
        <v>9184.6519900000003</v>
      </c>
      <c r="CP250" s="198">
        <v>849.86009999999999</v>
      </c>
      <c r="CQ250" s="198">
        <v>1534.12166</v>
      </c>
      <c r="CR250" s="198">
        <v>2225.82701</v>
      </c>
      <c r="CS250" s="198">
        <v>2167.5727900000002</v>
      </c>
      <c r="CT250" s="198"/>
      <c r="CU250" s="198">
        <v>2407.2704300000005</v>
      </c>
      <c r="CV250" s="197">
        <v>1668.615</v>
      </c>
      <c r="CW250" s="198"/>
      <c r="CX250" s="198"/>
      <c r="CY250" s="198"/>
      <c r="CZ250" s="198"/>
      <c r="DA250" s="198"/>
      <c r="DB250" s="198"/>
      <c r="DC250" s="197">
        <v>71229.179000000004</v>
      </c>
      <c r="DD250" s="198">
        <v>7645.0820000000003</v>
      </c>
      <c r="DE250" s="198">
        <v>14831.938</v>
      </c>
      <c r="DF250" s="198"/>
      <c r="DG250" s="198">
        <v>18442.725999999999</v>
      </c>
      <c r="DH250" s="198"/>
      <c r="DI250" s="198">
        <f t="shared" si="23"/>
        <v>30309.433000000001</v>
      </c>
      <c r="DJ250" s="197">
        <f>2819.5+51407.8</f>
        <v>54227.3</v>
      </c>
      <c r="DK250" s="198">
        <f>2346.5+10538.4</f>
        <v>12884.9</v>
      </c>
      <c r="DL250" s="198">
        <f>1898.1+11875.8</f>
        <v>13773.9</v>
      </c>
      <c r="DM250" s="198">
        <v>5304.3</v>
      </c>
      <c r="DN250" s="198">
        <f>16183-DM250</f>
        <v>10878.7</v>
      </c>
      <c r="DO250" s="198"/>
      <c r="DP250" s="198">
        <f t="shared" si="27"/>
        <v>11385.5</v>
      </c>
      <c r="DQ250" s="197"/>
      <c r="DR250" s="198"/>
      <c r="DS250" s="198"/>
      <c r="DT250" s="198"/>
      <c r="DU250" s="198"/>
      <c r="DV250" s="198"/>
      <c r="DW250" s="198"/>
      <c r="DX250" s="197">
        <v>131833.33160999999</v>
      </c>
      <c r="DY250" s="198"/>
      <c r="DZ250" s="198">
        <v>88124.74268000001</v>
      </c>
      <c r="EA250" s="198">
        <v>20880.692910000002</v>
      </c>
      <c r="EB250" s="198">
        <v>20707.568420000003</v>
      </c>
      <c r="EC250" s="198"/>
      <c r="ED250" s="198">
        <v>2120.3276000000001</v>
      </c>
      <c r="EE250" s="198"/>
      <c r="EF250" s="198"/>
      <c r="EG250" s="198"/>
      <c r="EH250" s="198"/>
      <c r="EI250" s="198"/>
      <c r="EJ250" s="198"/>
      <c r="EK250" s="199"/>
      <c r="EL250" s="198">
        <v>1813052.2971759995</v>
      </c>
      <c r="EM250" s="198">
        <v>758734.45585999999</v>
      </c>
      <c r="EN250" s="198">
        <v>95501.589346000008</v>
      </c>
      <c r="EO250" s="198">
        <v>290136.03759800002</v>
      </c>
      <c r="EP250" s="198">
        <v>486466.40542900015</v>
      </c>
      <c r="EQ250" s="198"/>
      <c r="ER250" s="199">
        <v>182213.80897200003</v>
      </c>
      <c r="ES250" s="198">
        <v>45045.898999999998</v>
      </c>
      <c r="ET250" s="198">
        <v>4155.3</v>
      </c>
      <c r="EU250" s="198">
        <v>13696.4</v>
      </c>
      <c r="EV250" s="198">
        <v>6064.6</v>
      </c>
      <c r="EW250" s="198">
        <v>14048.9</v>
      </c>
      <c r="EX250" s="198"/>
      <c r="EY250" s="199">
        <f t="shared" si="24"/>
        <v>7080.6989999999951</v>
      </c>
      <c r="EZ250" s="198">
        <v>20709.214789870999</v>
      </c>
      <c r="FA250" s="198">
        <v>1040.2239392399999</v>
      </c>
      <c r="FB250" s="198">
        <v>5451.8505957800098</v>
      </c>
      <c r="FC250" s="198">
        <v>5225.7163458899904</v>
      </c>
      <c r="FD250" s="198">
        <v>4463.6931070810397</v>
      </c>
      <c r="FE250" s="198">
        <v>58.722248019999597</v>
      </c>
      <c r="FF250" s="198">
        <f t="shared" si="17"/>
        <v>4527.7308018799586</v>
      </c>
      <c r="FG250" s="197">
        <v>14218693.147745999</v>
      </c>
      <c r="FH250" s="198">
        <v>1478749.066844</v>
      </c>
      <c r="FI250" s="198">
        <v>3242884.8465220002</v>
      </c>
      <c r="FJ250" s="198"/>
      <c r="FK250" s="198">
        <v>1433679.877868</v>
      </c>
      <c r="FL250" s="198"/>
      <c r="FM250" s="198">
        <f>FG250-SUM(FH250:FK250)</f>
        <v>8063379.3565119989</v>
      </c>
      <c r="FN250" s="197">
        <v>72834.740000000005</v>
      </c>
      <c r="FO250" s="198">
        <v>15056.44</v>
      </c>
      <c r="FP250" s="198">
        <v>10393.047</v>
      </c>
      <c r="FQ250" s="198">
        <v>8618.259</v>
      </c>
      <c r="FR250" s="198">
        <v>14675.716</v>
      </c>
      <c r="FS250" s="198"/>
      <c r="FT250" s="199">
        <f t="shared" si="25"/>
        <v>24091.278000000006</v>
      </c>
      <c r="FU250" s="197"/>
      <c r="FV250" s="198"/>
      <c r="FW250" s="198"/>
      <c r="FX250" s="198"/>
      <c r="FY250" s="198"/>
      <c r="FZ250" s="198"/>
      <c r="GA250" s="199"/>
      <c r="GB250" s="197">
        <v>1988.857</v>
      </c>
      <c r="GC250" s="198"/>
      <c r="GD250" s="198"/>
      <c r="GE250" s="198"/>
      <c r="GF250" s="198"/>
      <c r="GG250" s="198"/>
      <c r="GH250" s="199"/>
      <c r="GI250" s="197">
        <v>1210.354</v>
      </c>
      <c r="GJ250" s="198"/>
      <c r="GK250" s="198"/>
      <c r="GL250" s="198"/>
      <c r="GM250" s="198"/>
      <c r="GN250" s="198"/>
      <c r="GO250" s="199"/>
      <c r="GP250" s="197">
        <v>3603.9110000000001</v>
      </c>
      <c r="GQ250" s="198"/>
      <c r="GR250" s="198"/>
      <c r="GS250" s="198"/>
      <c r="GT250" s="198"/>
      <c r="GU250" s="198"/>
      <c r="GV250" s="199"/>
      <c r="GW250" s="197">
        <f>[2]sur!P34</f>
        <v>2148.3999999999996</v>
      </c>
      <c r="GX250" s="198">
        <f>[2]sur!Q34</f>
        <v>169.2</v>
      </c>
      <c r="GY250" s="198">
        <f>[2]sur!R34</f>
        <v>533</v>
      </c>
      <c r="GZ250" s="198">
        <f>[2]sur!S34</f>
        <v>334.4</v>
      </c>
      <c r="HA250" s="198"/>
      <c r="HB250" s="198"/>
      <c r="HC250" s="199">
        <f>[2]sur!V34</f>
        <v>1111.7999999999997</v>
      </c>
      <c r="HD250" s="197"/>
      <c r="HE250" s="198"/>
      <c r="HF250" s="198"/>
      <c r="HG250" s="198"/>
      <c r="HH250" s="198"/>
      <c r="HI250" s="198"/>
      <c r="HJ250" s="199"/>
      <c r="HK250" s="197">
        <v>7506.5163755907997</v>
      </c>
      <c r="HL250" s="198">
        <v>1545.3286839515727</v>
      </c>
      <c r="HM250" s="198">
        <v>675.29082927649517</v>
      </c>
      <c r="HN250" s="198">
        <v>82.241339855105736</v>
      </c>
      <c r="HO250" s="198">
        <v>3263.4986922604908</v>
      </c>
      <c r="HP250" s="198"/>
      <c r="HQ250" s="198">
        <f t="shared" si="16"/>
        <v>1940.1568302471346</v>
      </c>
      <c r="HR250" s="197">
        <v>115722.379</v>
      </c>
      <c r="HT250" s="198">
        <v>56803.156000000003</v>
      </c>
      <c r="HU250" s="198">
        <v>11816.754999999999</v>
      </c>
      <c r="HV250" s="198">
        <v>28179.105</v>
      </c>
      <c r="HW250" s="198">
        <v>4317.0309999999999</v>
      </c>
      <c r="HX250" s="198">
        <v>14606.332</v>
      </c>
    </row>
    <row r="251" spans="1:233">
      <c r="A251" s="185" t="s">
        <v>494</v>
      </c>
      <c r="B251" s="197">
        <v>2940.7959999999998</v>
      </c>
      <c r="C251" s="198">
        <v>64.02</v>
      </c>
      <c r="D251" s="198">
        <v>519.80799999999999</v>
      </c>
      <c r="E251" s="198">
        <v>708.36699999999996</v>
      </c>
      <c r="F251" s="198">
        <v>547.75800000000004</v>
      </c>
      <c r="G251" s="198"/>
      <c r="H251" s="199">
        <v>1100.8430000000001</v>
      </c>
      <c r="I251" s="197">
        <v>142020.70000000001</v>
      </c>
      <c r="J251" s="198"/>
      <c r="K251" s="198"/>
      <c r="L251" s="198">
        <v>16544.3</v>
      </c>
      <c r="M251" s="198">
        <v>25183.7</v>
      </c>
      <c r="N251" s="198"/>
      <c r="O251" s="199">
        <f>[3]arg!$G117</f>
        <v>81367.099999999991</v>
      </c>
      <c r="P251" s="198">
        <v>6660.7240000000002</v>
      </c>
      <c r="Q251" s="198">
        <v>49.664000000000001</v>
      </c>
      <c r="R251" s="198">
        <v>435.55600000000004</v>
      </c>
      <c r="S251" s="198">
        <v>462.27800000000002</v>
      </c>
      <c r="T251" s="198">
        <v>4755.2280000000001</v>
      </c>
      <c r="U251" s="198"/>
      <c r="V251" s="199">
        <f t="shared" si="22"/>
        <v>957.9980000000005</v>
      </c>
      <c r="W251" s="198">
        <v>5281.0919999999996</v>
      </c>
      <c r="X251" s="198">
        <v>115.149</v>
      </c>
      <c r="Y251" s="198">
        <v>936.74800000000005</v>
      </c>
      <c r="Z251" s="198">
        <v>366.327</v>
      </c>
      <c r="AA251" s="198">
        <v>2499.1579999999999</v>
      </c>
      <c r="AB251" s="198"/>
      <c r="AC251" s="199">
        <f t="shared" si="14"/>
        <v>1363.7099999999996</v>
      </c>
      <c r="AD251" s="198"/>
      <c r="AE251" s="198">
        <v>36.880000000000003</v>
      </c>
      <c r="AF251" s="198">
        <v>354.70600000000002</v>
      </c>
      <c r="AG251" s="198">
        <v>552.14300000000003</v>
      </c>
      <c r="AH251" s="198">
        <v>368.93</v>
      </c>
      <c r="AI251" s="198"/>
      <c r="AJ251" s="198"/>
      <c r="AK251" s="197">
        <v>33067.322999999997</v>
      </c>
      <c r="AL251" s="198"/>
      <c r="AM251" s="198">
        <v>15035.49</v>
      </c>
      <c r="AN251" s="198">
        <v>6925.5030000000006</v>
      </c>
      <c r="AO251" s="198">
        <v>3201.4049999999997</v>
      </c>
      <c r="AP251" s="198">
        <v>7902.7740000000003</v>
      </c>
      <c r="AQ251" s="199"/>
      <c r="AR251" s="198">
        <v>1067691.8801930703</v>
      </c>
      <c r="AS251" s="198">
        <v>244752.28855451997</v>
      </c>
      <c r="AT251" s="198">
        <v>110866.27453535001</v>
      </c>
      <c r="AU251" s="198">
        <v>52577.861884979997</v>
      </c>
      <c r="AV251" s="198">
        <v>357056.79108551011</v>
      </c>
      <c r="AW251" s="198"/>
      <c r="AX251" s="198">
        <v>302438.66413271014</v>
      </c>
      <c r="AY251" s="197">
        <v>64175856</v>
      </c>
      <c r="AZ251" s="198"/>
      <c r="BA251" s="198">
        <v>40863219</v>
      </c>
      <c r="BB251" s="198">
        <v>14932247</v>
      </c>
      <c r="BC251" s="198">
        <v>8380389.9999999991</v>
      </c>
      <c r="BD251" s="198"/>
      <c r="BE251" s="198"/>
      <c r="BF251" s="197">
        <v>134680327.26999998</v>
      </c>
      <c r="BG251" s="198"/>
      <c r="BH251" s="198">
        <v>83955110.139999986</v>
      </c>
      <c r="BI251" s="198">
        <v>9811702.1400000006</v>
      </c>
      <c r="BJ251" s="198">
        <v>38705971.93999999</v>
      </c>
      <c r="BK251" s="198">
        <v>2207543.0499999998</v>
      </c>
      <c r="BL251" s="198"/>
      <c r="BM251" s="197">
        <v>7462213.4440000001</v>
      </c>
      <c r="BN251" s="198">
        <v>414170.315</v>
      </c>
      <c r="BO251" s="198">
        <v>876009.27799999993</v>
      </c>
      <c r="BP251" s="198">
        <v>2051279.577</v>
      </c>
      <c r="BQ251" s="198">
        <v>2013150.848</v>
      </c>
      <c r="BR251" s="198"/>
      <c r="BS251" s="198">
        <f t="shared" si="2"/>
        <v>2107603.426</v>
      </c>
      <c r="BT251" s="197"/>
      <c r="BU251" s="198"/>
      <c r="BV251" s="198"/>
      <c r="BW251" s="198"/>
      <c r="BX251" s="198"/>
      <c r="BY251" s="198"/>
      <c r="BZ251" s="198"/>
      <c r="CA251" s="197">
        <v>649.524</v>
      </c>
      <c r="CB251" s="198">
        <v>24.788</v>
      </c>
      <c r="CC251" s="198">
        <v>92.331999999999994</v>
      </c>
      <c r="CD251" s="198">
        <v>221.392</v>
      </c>
      <c r="CE251" s="198">
        <v>145.84399999999999</v>
      </c>
      <c r="CF251" s="198"/>
      <c r="CG251" s="198">
        <f>CA251-CB251-CC251-CD251-CE251</f>
        <v>165.16800000000001</v>
      </c>
      <c r="CH251" s="197">
        <v>11595178.467769999</v>
      </c>
      <c r="CI251" s="198"/>
      <c r="CJ251" s="198">
        <v>5299999.3285600003</v>
      </c>
      <c r="CK251" s="198">
        <v>1511902.25783</v>
      </c>
      <c r="CL251" s="198">
        <v>3491880.4917700002</v>
      </c>
      <c r="CM251" s="198">
        <v>1291396.3896100002</v>
      </c>
      <c r="CN251" s="198"/>
      <c r="CO251" s="197">
        <v>9230.671699999999</v>
      </c>
      <c r="CP251" s="198">
        <v>831.67207999999994</v>
      </c>
      <c r="CQ251" s="198">
        <v>1530.7793700000002</v>
      </c>
      <c r="CR251" s="198">
        <v>2237.6833300000003</v>
      </c>
      <c r="CS251" s="198">
        <v>2182.4390400000002</v>
      </c>
      <c r="CT251" s="198"/>
      <c r="CU251" s="198">
        <v>2448.0978799999989</v>
      </c>
      <c r="CV251" s="197">
        <v>1682.2260000000001</v>
      </c>
      <c r="CW251" s="198">
        <v>33.805</v>
      </c>
      <c r="CX251" s="198">
        <v>282.96300000000002</v>
      </c>
      <c r="CY251" s="198">
        <v>574.75599999999997</v>
      </c>
      <c r="CZ251" s="198">
        <v>423.78500000000003</v>
      </c>
      <c r="DA251" s="198"/>
      <c r="DB251" s="198">
        <f>CV251-CW251-CX251-CY251-CZ251</f>
        <v>366.91700000000009</v>
      </c>
      <c r="DC251" s="197">
        <v>71814.906000000003</v>
      </c>
      <c r="DD251" s="198">
        <v>7777.9889999999996</v>
      </c>
      <c r="DE251" s="198">
        <v>14795.475</v>
      </c>
      <c r="DF251" s="198"/>
      <c r="DG251" s="198">
        <v>18649.591</v>
      </c>
      <c r="DH251" s="198"/>
      <c r="DI251" s="198">
        <f t="shared" si="23"/>
        <v>30591.851000000002</v>
      </c>
      <c r="DJ251" s="197">
        <f>2719.5+50835.4</f>
        <v>53554.9</v>
      </c>
      <c r="DK251" s="198">
        <f>2166.3+10162.5</f>
        <v>12328.8</v>
      </c>
      <c r="DL251" s="198">
        <f>1984.6+11681.5</f>
        <v>13666.1</v>
      </c>
      <c r="DM251" s="198">
        <v>5411.5</v>
      </c>
      <c r="DN251" s="198">
        <f>16190-DM251</f>
        <v>10778.5</v>
      </c>
      <c r="DO251" s="198"/>
      <c r="DP251" s="198">
        <f t="shared" si="27"/>
        <v>11370</v>
      </c>
      <c r="DQ251" s="197"/>
      <c r="DR251" s="198"/>
      <c r="DS251" s="198"/>
      <c r="DT251" s="198"/>
      <c r="DU251" s="198"/>
      <c r="DV251" s="198"/>
      <c r="DW251" s="198"/>
      <c r="DX251" s="197">
        <v>133892.79373999999</v>
      </c>
      <c r="DY251" s="198"/>
      <c r="DZ251" s="198">
        <v>89391.659650000001</v>
      </c>
      <c r="EA251" s="198">
        <v>21349.309260000002</v>
      </c>
      <c r="EB251" s="198">
        <v>21022.724549999999</v>
      </c>
      <c r="EC251" s="198"/>
      <c r="ED251" s="198">
        <v>2129.1002899999999</v>
      </c>
      <c r="EE251" s="198">
        <v>215973.639</v>
      </c>
      <c r="EF251" s="198">
        <v>9051.2759999999998</v>
      </c>
      <c r="EG251" s="198">
        <v>54206.467000000004</v>
      </c>
      <c r="EH251" s="198">
        <v>11092.749</v>
      </c>
      <c r="EI251" s="198">
        <v>80292.350000000006</v>
      </c>
      <c r="EJ251" s="198"/>
      <c r="EK251" s="199">
        <f>EE251-EF251-EG251-EH251-EI251</f>
        <v>61330.796999999962</v>
      </c>
      <c r="EL251" s="198">
        <v>1815186.4493210001</v>
      </c>
      <c r="EM251" s="198">
        <v>770023.96654099994</v>
      </c>
      <c r="EN251" s="198">
        <v>86763.16651000001</v>
      </c>
      <c r="EO251" s="198">
        <v>293442.49145199999</v>
      </c>
      <c r="EP251" s="198">
        <v>489619.14669099997</v>
      </c>
      <c r="EQ251" s="198"/>
      <c r="ER251" s="199">
        <v>175337.67812499998</v>
      </c>
      <c r="ES251" s="198">
        <v>45615.383999999998</v>
      </c>
      <c r="ET251" s="198">
        <v>4115.5</v>
      </c>
      <c r="EU251" s="198">
        <v>13803.7</v>
      </c>
      <c r="EV251" s="198">
        <v>6170.9</v>
      </c>
      <c r="EW251" s="198">
        <v>14132.8</v>
      </c>
      <c r="EX251" s="198"/>
      <c r="EY251" s="199">
        <f t="shared" si="24"/>
        <v>7392.4840000000004</v>
      </c>
      <c r="EZ251" s="198">
        <v>21117.959416302001</v>
      </c>
      <c r="FA251" s="198">
        <v>1094.05462835</v>
      </c>
      <c r="FB251" s="198">
        <v>5690.8750698110098</v>
      </c>
      <c r="FC251" s="198">
        <v>5288.93938514</v>
      </c>
      <c r="FD251" s="198">
        <v>4474.5989690510296</v>
      </c>
      <c r="FE251" s="198">
        <v>60.361882779999902</v>
      </c>
      <c r="FF251" s="198">
        <f t="shared" si="17"/>
        <v>4569.4913639499619</v>
      </c>
      <c r="FG251" s="197">
        <v>14068117.548279997</v>
      </c>
      <c r="FH251" s="198">
        <v>1492946.4867429999</v>
      </c>
      <c r="FI251" s="198">
        <v>3224084.836563</v>
      </c>
      <c r="FJ251" s="198"/>
      <c r="FK251" s="198">
        <v>1474661.4200739998</v>
      </c>
      <c r="FL251" s="198"/>
      <c r="FM251" s="198">
        <f>FG251-SUM(FH251:FK251)</f>
        <v>7876424.8048999971</v>
      </c>
      <c r="FN251" s="197">
        <v>76431.732999999993</v>
      </c>
      <c r="FO251" s="198">
        <v>15814.233</v>
      </c>
      <c r="FP251" s="198">
        <v>10871.722</v>
      </c>
      <c r="FQ251" s="198">
        <v>9079.5519999999997</v>
      </c>
      <c r="FR251" s="198">
        <v>15220.255999999999</v>
      </c>
      <c r="FS251" s="198"/>
      <c r="FT251" s="199">
        <f t="shared" si="25"/>
        <v>25445.969999999994</v>
      </c>
      <c r="FU251" s="197">
        <v>333176.38753070892</v>
      </c>
      <c r="FV251" s="198">
        <v>27010.047529139974</v>
      </c>
      <c r="FW251" s="198">
        <v>53811.807780419527</v>
      </c>
      <c r="FX251" s="198">
        <v>68587.740314329974</v>
      </c>
      <c r="FY251" s="198">
        <v>83369.230489479465</v>
      </c>
      <c r="FZ251" s="198"/>
      <c r="GA251" s="199">
        <f>FU251-FV251-FW251-FX251-FY251</f>
        <v>100397.56141733998</v>
      </c>
      <c r="GB251" s="197">
        <v>2047.19</v>
      </c>
      <c r="GC251" s="198">
        <v>25.091000000000001</v>
      </c>
      <c r="GD251" s="198">
        <v>210.71600000000001</v>
      </c>
      <c r="GE251" s="198">
        <v>380.34399999999999</v>
      </c>
      <c r="GF251" s="198">
        <v>377.29</v>
      </c>
      <c r="GG251" s="198"/>
      <c r="GH251" s="199">
        <f>GB251-GC251-GD251-GE251-GF251</f>
        <v>1053.7490000000003</v>
      </c>
      <c r="GI251" s="197">
        <v>1207.3879999999999</v>
      </c>
      <c r="GJ251" s="198">
        <v>49.128999999999998</v>
      </c>
      <c r="GK251" s="198">
        <v>133.767</v>
      </c>
      <c r="GL251" s="198">
        <v>347.27499999999998</v>
      </c>
      <c r="GM251" s="198">
        <v>228.214</v>
      </c>
      <c r="GN251" s="198"/>
      <c r="GO251" s="199">
        <f>GI251-GJ251-GK251-GL251-GM251</f>
        <v>449.00299999999999</v>
      </c>
      <c r="GP251" s="197">
        <v>3645.393</v>
      </c>
      <c r="GQ251" s="198">
        <v>72.727000000000004</v>
      </c>
      <c r="GR251" s="198">
        <v>1086.8900000000001</v>
      </c>
      <c r="GS251" s="198">
        <v>501.68299999999999</v>
      </c>
      <c r="GT251" s="198">
        <v>680.45600000000002</v>
      </c>
      <c r="GU251" s="198"/>
      <c r="GV251" s="199">
        <f>GP251-GQ251-GR251-GS251-GT251</f>
        <v>1303.6369999999997</v>
      </c>
      <c r="GW251" s="197">
        <f>[2]sur!P35</f>
        <v>2186.4</v>
      </c>
      <c r="GX251" s="198">
        <f>[2]sur!Q35</f>
        <v>164.10000000000002</v>
      </c>
      <c r="GY251" s="198">
        <f>[2]sur!R35</f>
        <v>535.5</v>
      </c>
      <c r="GZ251" s="198">
        <f>[2]sur!S35</f>
        <v>347.6</v>
      </c>
      <c r="HA251" s="198"/>
      <c r="HB251" s="198"/>
      <c r="HC251" s="199">
        <f>[2]sur!V35</f>
        <v>1139.1999999999998</v>
      </c>
      <c r="HD251" s="197">
        <f>'[2]t&amp;t'!W383</f>
        <v>42406</v>
      </c>
      <c r="HE251" s="198">
        <f>'[2]t&amp;t'!X383</f>
        <v>2971.3999999999996</v>
      </c>
      <c r="HF251" s="198">
        <f>'[2]t&amp;t'!Y383</f>
        <v>3594.2999999999997</v>
      </c>
      <c r="HG251" s="198">
        <f>'[2]t&amp;t'!Z383</f>
        <v>7665.7999999999993</v>
      </c>
      <c r="HH251" s="198">
        <f>'[2]t&amp;t'!AA383</f>
        <v>12259.300000000001</v>
      </c>
      <c r="HI251" s="198"/>
      <c r="HJ251" s="199">
        <f>'[2]t&amp;t'!AC383</f>
        <v>15915.199999999999</v>
      </c>
      <c r="HK251" s="197">
        <v>7736.8450283248003</v>
      </c>
      <c r="HL251" s="198">
        <v>1595.6939189407071</v>
      </c>
      <c r="HM251" s="198">
        <v>699.17702964924194</v>
      </c>
      <c r="HN251" s="198">
        <v>85.806554446599705</v>
      </c>
      <c r="HO251" s="198">
        <v>3355.4855298554139</v>
      </c>
      <c r="HP251" s="198"/>
      <c r="HQ251" s="198">
        <f t="shared" si="16"/>
        <v>2000.6819954328366</v>
      </c>
      <c r="HR251" s="197">
        <v>118724.55</v>
      </c>
      <c r="HT251" s="198">
        <v>57435.678999999996</v>
      </c>
      <c r="HU251" s="198">
        <v>12309.085999999999</v>
      </c>
      <c r="HV251" s="198">
        <v>28993.666000000001</v>
      </c>
      <c r="HW251" s="198">
        <v>4461.1930000000002</v>
      </c>
      <c r="HX251" s="198">
        <v>15524.925999999999</v>
      </c>
    </row>
    <row r="252" spans="1:233">
      <c r="A252" s="185" t="s">
        <v>495</v>
      </c>
      <c r="B252" s="197">
        <v>2979.5230000000001</v>
      </c>
      <c r="C252" s="198"/>
      <c r="D252" s="198"/>
      <c r="E252" s="198"/>
      <c r="F252" s="198"/>
      <c r="G252" s="198"/>
      <c r="H252" s="199"/>
      <c r="I252" s="197">
        <v>142897.60000000001</v>
      </c>
      <c r="J252" s="198"/>
      <c r="K252" s="198"/>
      <c r="L252" s="198">
        <v>16919.900000000001</v>
      </c>
      <c r="M252" s="198">
        <v>25388.5</v>
      </c>
      <c r="N252" s="198"/>
      <c r="O252" s="199">
        <f>[3]arg!$G118</f>
        <v>81633.600000000006</v>
      </c>
      <c r="P252" s="198">
        <v>6703.5680000000002</v>
      </c>
      <c r="Q252" s="198">
        <v>47.887</v>
      </c>
      <c r="R252" s="198">
        <v>449.87799999999999</v>
      </c>
      <c r="S252" s="198">
        <v>437.85899999999998</v>
      </c>
      <c r="T252" s="198">
        <v>4842.1090000000004</v>
      </c>
      <c r="U252" s="198"/>
      <c r="V252" s="199">
        <f t="shared" si="22"/>
        <v>925.83500000000004</v>
      </c>
      <c r="W252" s="198">
        <v>5352.5060000000003</v>
      </c>
      <c r="X252" s="198">
        <v>117.2</v>
      </c>
      <c r="Y252" s="198">
        <v>943.27799999999991</v>
      </c>
      <c r="Z252" s="198">
        <v>382.21699999999998</v>
      </c>
      <c r="AA252" s="198">
        <v>2520.8090000000002</v>
      </c>
      <c r="AB252" s="198"/>
      <c r="AC252" s="199">
        <f t="shared" si="14"/>
        <v>1389.002</v>
      </c>
      <c r="AD252" s="198"/>
      <c r="AE252" s="198">
        <v>40.83</v>
      </c>
      <c r="AF252" s="198">
        <v>364.16099999999994</v>
      </c>
      <c r="AG252" s="198">
        <v>562.14499999999998</v>
      </c>
      <c r="AH252" s="198">
        <v>365.78699999999998</v>
      </c>
      <c r="AI252" s="198"/>
      <c r="AJ252" s="198"/>
      <c r="AK252" s="197"/>
      <c r="AL252" s="198"/>
      <c r="AM252" s="198"/>
      <c r="AN252" s="198"/>
      <c r="AO252" s="198"/>
      <c r="AP252" s="198"/>
      <c r="AQ252" s="199"/>
      <c r="AR252" s="198">
        <v>1085895.4987246802</v>
      </c>
      <c r="AS252" s="198">
        <v>248315.67955464002</v>
      </c>
      <c r="AT252" s="198">
        <v>112814.29867817</v>
      </c>
      <c r="AU252" s="198">
        <v>54218.492587739995</v>
      </c>
      <c r="AV252" s="198">
        <v>365374.51356667007</v>
      </c>
      <c r="AW252" s="198"/>
      <c r="AX252" s="198">
        <v>305172.5143374601</v>
      </c>
      <c r="AY252" s="197">
        <v>64904676</v>
      </c>
      <c r="AZ252" s="198"/>
      <c r="BA252" s="198">
        <v>41209000</v>
      </c>
      <c r="BB252" s="198">
        <v>15265769</v>
      </c>
      <c r="BC252" s="198">
        <v>8429907</v>
      </c>
      <c r="BD252" s="198"/>
      <c r="BE252" s="198"/>
      <c r="BF252" s="197">
        <v>136442686.19999999</v>
      </c>
      <c r="BG252" s="198"/>
      <c r="BH252" s="198">
        <v>84851381.960000008</v>
      </c>
      <c r="BI252" s="198">
        <v>10090667.200000001</v>
      </c>
      <c r="BJ252" s="198">
        <v>39224557.839999996</v>
      </c>
      <c r="BK252" s="198">
        <v>2276079.2000000002</v>
      </c>
      <c r="BL252" s="198"/>
      <c r="BM252" s="197">
        <v>7677568.3420000002</v>
      </c>
      <c r="BN252" s="198">
        <v>367840.076</v>
      </c>
      <c r="BO252" s="198">
        <v>836757.31900000002</v>
      </c>
      <c r="BP252" s="198">
        <v>2395319.0640000002</v>
      </c>
      <c r="BQ252" s="198">
        <v>2104614.5929999999</v>
      </c>
      <c r="BR252" s="198"/>
      <c r="BS252" s="198">
        <f t="shared" si="2"/>
        <v>1973037.29</v>
      </c>
      <c r="BT252" s="197"/>
      <c r="BU252" s="198"/>
      <c r="BV252" s="198"/>
      <c r="BW252" s="198"/>
      <c r="BX252" s="198"/>
      <c r="BY252" s="198"/>
      <c r="BZ252" s="198"/>
      <c r="CA252" s="197">
        <v>653.35799999999995</v>
      </c>
      <c r="CB252" s="198"/>
      <c r="CC252" s="198"/>
      <c r="CD252" s="198"/>
      <c r="CE252" s="198"/>
      <c r="CF252" s="198"/>
      <c r="CG252" s="198"/>
      <c r="CH252" s="197">
        <v>11898426.65024</v>
      </c>
      <c r="CI252" s="198"/>
      <c r="CJ252" s="198">
        <v>5423228.7628299994</v>
      </c>
      <c r="CK252" s="198">
        <v>1554400.3849899999</v>
      </c>
      <c r="CL252" s="198">
        <v>3590886.5097800009</v>
      </c>
      <c r="CM252" s="198">
        <v>1329910.9926399998</v>
      </c>
      <c r="CN252" s="198"/>
      <c r="CO252" s="197">
        <v>9246.2569499999991</v>
      </c>
      <c r="CP252" s="198">
        <v>826.87911999999994</v>
      </c>
      <c r="CQ252" s="198">
        <v>1504.8500900000001</v>
      </c>
      <c r="CR252" s="198">
        <v>2248.3929900000003</v>
      </c>
      <c r="CS252" s="198">
        <v>2195.9955099999997</v>
      </c>
      <c r="CT252" s="198"/>
      <c r="CU252" s="198">
        <v>2470.1392399999995</v>
      </c>
      <c r="CV252" s="197">
        <v>1693.1679999999999</v>
      </c>
      <c r="CW252" s="198"/>
      <c r="CX252" s="198"/>
      <c r="CY252" s="198"/>
      <c r="CZ252" s="198"/>
      <c r="DA252" s="198"/>
      <c r="DB252" s="198"/>
      <c r="DC252" s="197">
        <v>72034.751999999993</v>
      </c>
      <c r="DD252" s="198">
        <v>7688.4669999999996</v>
      </c>
      <c r="DE252" s="198">
        <v>14824.755999999999</v>
      </c>
      <c r="DF252" s="198"/>
      <c r="DG252" s="198">
        <v>18703.310000000001</v>
      </c>
      <c r="DH252" s="198"/>
      <c r="DI252" s="198">
        <f t="shared" si="23"/>
        <v>30818.218999999994</v>
      </c>
      <c r="DJ252" s="197">
        <f>3042+51455.3</f>
        <v>54497.3</v>
      </c>
      <c r="DK252" s="198">
        <f>2467.6+10528.1</f>
        <v>12995.7</v>
      </c>
      <c r="DL252" s="198">
        <f>1970.2+11920.4</f>
        <v>13890.6</v>
      </c>
      <c r="DM252" s="198">
        <v>4952.6000000000004</v>
      </c>
      <c r="DN252" s="198">
        <f>15860.3-DM252</f>
        <v>10907.699999999999</v>
      </c>
      <c r="DO252" s="198"/>
      <c r="DP252" s="198">
        <f t="shared" si="27"/>
        <v>11750.700000000004</v>
      </c>
      <c r="DQ252" s="197"/>
      <c r="DR252" s="198"/>
      <c r="DS252" s="198"/>
      <c r="DT252" s="198"/>
      <c r="DU252" s="198"/>
      <c r="DV252" s="198"/>
      <c r="DW252" s="198"/>
      <c r="DX252" s="197">
        <v>135725.41309000002</v>
      </c>
      <c r="DY252" s="198"/>
      <c r="DZ252" s="198">
        <v>89946.597330000004</v>
      </c>
      <c r="EA252" s="198">
        <v>21803.761149999998</v>
      </c>
      <c r="EB252" s="198">
        <v>21805.721260000002</v>
      </c>
      <c r="EC252" s="198"/>
      <c r="ED252" s="198">
        <v>2169.3333600000001</v>
      </c>
      <c r="EE252" s="198"/>
      <c r="EF252" s="198"/>
      <c r="EG252" s="198"/>
      <c r="EH252" s="198"/>
      <c r="EI252" s="198"/>
      <c r="EJ252" s="198"/>
      <c r="EK252" s="199"/>
      <c r="EL252" s="198">
        <v>1831251.2278199999</v>
      </c>
      <c r="EM252" s="198">
        <v>783820.65897900006</v>
      </c>
      <c r="EN252" s="198">
        <v>91227.331213000027</v>
      </c>
      <c r="EO252" s="198">
        <v>297104.94527699996</v>
      </c>
      <c r="EP252" s="198">
        <v>487420.07432900002</v>
      </c>
      <c r="EQ252" s="198"/>
      <c r="ER252" s="199">
        <v>171678.21802899998</v>
      </c>
      <c r="ES252" s="198">
        <v>46476.080999999998</v>
      </c>
      <c r="ET252" s="198">
        <v>4136.8</v>
      </c>
      <c r="EU252" s="198">
        <v>15194.9</v>
      </c>
      <c r="EV252" s="198">
        <v>6269.6</v>
      </c>
      <c r="EW252" s="198">
        <v>14204</v>
      </c>
      <c r="EX252" s="198"/>
      <c r="EY252" s="199">
        <f t="shared" si="24"/>
        <v>6670.7809999999954</v>
      </c>
      <c r="EZ252" s="198">
        <v>21425.482819100998</v>
      </c>
      <c r="FA252" s="198">
        <v>1155.8766674200001</v>
      </c>
      <c r="FB252" s="198">
        <v>5799.1545768400001</v>
      </c>
      <c r="FC252" s="198">
        <v>5342.7519570100003</v>
      </c>
      <c r="FD252" s="198">
        <v>4512.3161383409797</v>
      </c>
      <c r="FE252" s="198">
        <v>63.515279400000097</v>
      </c>
      <c r="FF252" s="198">
        <f t="shared" si="17"/>
        <v>4615.3834794900167</v>
      </c>
      <c r="FG252" s="197">
        <v>14463127.44679</v>
      </c>
      <c r="FH252" s="198">
        <v>1760768.7845099999</v>
      </c>
      <c r="FI252" s="198">
        <v>2682941.0689939996</v>
      </c>
      <c r="FJ252" s="198"/>
      <c r="FK252" s="198">
        <v>1481104.5136099998</v>
      </c>
      <c r="FL252" s="198"/>
      <c r="FM252" s="198">
        <f>FG252-SUM(FH252:FK252)</f>
        <v>8538313.0796760023</v>
      </c>
      <c r="FN252" s="197">
        <v>76648.539000000004</v>
      </c>
      <c r="FO252" s="198">
        <v>15789.745999999999</v>
      </c>
      <c r="FP252" s="198">
        <v>11003.294</v>
      </c>
      <c r="FQ252" s="198">
        <v>8933.6640000000007</v>
      </c>
      <c r="FR252" s="198">
        <v>15303.33</v>
      </c>
      <c r="FS252" s="198"/>
      <c r="FT252" s="199">
        <f t="shared" si="25"/>
        <v>25618.505000000005</v>
      </c>
      <c r="FU252" s="197"/>
      <c r="FV252" s="198"/>
      <c r="FW252" s="198"/>
      <c r="FX252" s="198"/>
      <c r="FY252" s="198"/>
      <c r="FZ252" s="198"/>
      <c r="GA252" s="199"/>
      <c r="GB252" s="197">
        <v>2048.8960000000002</v>
      </c>
      <c r="GC252" s="198"/>
      <c r="GD252" s="198"/>
      <c r="GE252" s="198"/>
      <c r="GF252" s="198"/>
      <c r="GG252" s="198"/>
      <c r="GH252" s="199"/>
      <c r="GI252" s="197">
        <v>1203.386</v>
      </c>
      <c r="GJ252" s="198"/>
      <c r="GK252" s="198"/>
      <c r="GL252" s="198"/>
      <c r="GM252" s="198"/>
      <c r="GN252" s="198"/>
      <c r="GO252" s="199"/>
      <c r="GP252" s="197">
        <v>3688.076</v>
      </c>
      <c r="GQ252" s="198"/>
      <c r="GR252" s="198"/>
      <c r="GS252" s="198"/>
      <c r="GT252" s="198"/>
      <c r="GU252" s="198"/>
      <c r="GV252" s="199"/>
      <c r="GW252" s="197">
        <f>[2]sur!P36</f>
        <v>2253.6000000000004</v>
      </c>
      <c r="GX252" s="198">
        <f>[2]sur!Q36</f>
        <v>172.7</v>
      </c>
      <c r="GY252" s="198">
        <f>[2]sur!R36</f>
        <v>546.4</v>
      </c>
      <c r="GZ252" s="198">
        <f>[2]sur!S36</f>
        <v>357.4</v>
      </c>
      <c r="HA252" s="198"/>
      <c r="HB252" s="198"/>
      <c r="HC252" s="199">
        <f>[2]sur!V36</f>
        <v>1177.1000000000004</v>
      </c>
      <c r="HD252" s="197"/>
      <c r="HE252" s="198"/>
      <c r="HF252" s="198"/>
      <c r="HG252" s="198"/>
      <c r="HH252" s="198"/>
      <c r="HI252" s="198"/>
      <c r="HJ252" s="199"/>
      <c r="HK252" s="197">
        <v>7697.0107054675009</v>
      </c>
      <c r="HL252" s="198">
        <v>1561.634392225543</v>
      </c>
      <c r="HM252" s="198">
        <v>666.46554931968274</v>
      </c>
      <c r="HN252" s="198">
        <v>91.295982250713806</v>
      </c>
      <c r="HO252" s="198">
        <v>3387.4547111873562</v>
      </c>
      <c r="HP252" s="198"/>
      <c r="HQ252" s="198">
        <f t="shared" si="16"/>
        <v>1990.1600704842058</v>
      </c>
      <c r="HR252" s="197">
        <v>119535.554</v>
      </c>
      <c r="HT252" s="198">
        <v>57024.275999999998</v>
      </c>
      <c r="HU252" s="198">
        <v>12655.032999999999</v>
      </c>
      <c r="HV252" s="198">
        <v>29473.701000000001</v>
      </c>
      <c r="HW252" s="198">
        <v>4516.9030000000002</v>
      </c>
      <c r="HX252" s="198">
        <v>15865.641</v>
      </c>
    </row>
    <row r="253" spans="1:233">
      <c r="A253" s="185" t="s">
        <v>496</v>
      </c>
      <c r="B253" s="197">
        <v>2996.2190000000001</v>
      </c>
      <c r="C253" s="198"/>
      <c r="D253" s="198"/>
      <c r="E253" s="198"/>
      <c r="F253" s="198"/>
      <c r="G253" s="198"/>
      <c r="H253" s="199"/>
      <c r="I253" s="197">
        <v>145652.70000000001</v>
      </c>
      <c r="J253" s="198"/>
      <c r="K253" s="198"/>
      <c r="L253" s="198">
        <v>17200.599999999999</v>
      </c>
      <c r="M253" s="198">
        <v>25770.1</v>
      </c>
      <c r="N253" s="198"/>
      <c r="O253" s="199">
        <f>[3]arg!$G119</f>
        <v>83940.200000000012</v>
      </c>
      <c r="P253" s="198">
        <v>6837.37</v>
      </c>
      <c r="Q253" s="198">
        <v>49.555</v>
      </c>
      <c r="R253" s="198">
        <v>421.53300000000002</v>
      </c>
      <c r="S253" s="198">
        <v>446.005</v>
      </c>
      <c r="T253" s="198">
        <v>4844.7139999999999</v>
      </c>
      <c r="U253" s="198"/>
      <c r="V253" s="199">
        <f t="shared" si="22"/>
        <v>1075.5629999999992</v>
      </c>
      <c r="W253" s="198">
        <v>5404.067</v>
      </c>
      <c r="X253" s="198">
        <v>116.039</v>
      </c>
      <c r="Y253" s="198">
        <v>938.71199999999999</v>
      </c>
      <c r="Z253" s="198">
        <v>372.65</v>
      </c>
      <c r="AA253" s="198">
        <v>2550.5079999999998</v>
      </c>
      <c r="AB253" s="198"/>
      <c r="AC253" s="199">
        <f t="shared" si="14"/>
        <v>1426.1580000000008</v>
      </c>
      <c r="AD253" s="198"/>
      <c r="AE253" s="198">
        <v>41.503</v>
      </c>
      <c r="AF253" s="198">
        <v>364.637</v>
      </c>
      <c r="AG253" s="198">
        <v>571.78200000000004</v>
      </c>
      <c r="AH253" s="198">
        <v>379.55500000000001</v>
      </c>
      <c r="AI253" s="198"/>
      <c r="AJ253" s="198"/>
      <c r="AK253" s="197"/>
      <c r="AL253" s="198"/>
      <c r="AM253" s="198"/>
      <c r="AN253" s="198"/>
      <c r="AO253" s="198"/>
      <c r="AP253" s="198"/>
      <c r="AQ253" s="199"/>
      <c r="AR253" s="198">
        <v>1110292.00593934</v>
      </c>
      <c r="AS253" s="198">
        <v>254474.09371807001</v>
      </c>
      <c r="AT253" s="198">
        <v>117441.13731842002</v>
      </c>
      <c r="AU253" s="198">
        <v>56177.231985890001</v>
      </c>
      <c r="AV253" s="198">
        <v>370983.78123112</v>
      </c>
      <c r="AW253" s="198"/>
      <c r="AX253" s="198">
        <v>311215.76168583997</v>
      </c>
      <c r="AY253" s="197">
        <v>65731757</v>
      </c>
      <c r="AZ253" s="198"/>
      <c r="BA253" s="198">
        <v>41689510</v>
      </c>
      <c r="BB253" s="198">
        <v>15571313</v>
      </c>
      <c r="BC253" s="198">
        <v>8470934</v>
      </c>
      <c r="BD253" s="198"/>
      <c r="BE253" s="198"/>
      <c r="BF253" s="197">
        <v>138385219.83999997</v>
      </c>
      <c r="BG253" s="198"/>
      <c r="BH253" s="198">
        <v>86527809.409999982</v>
      </c>
      <c r="BI253" s="198">
        <v>9913057.790000001</v>
      </c>
      <c r="BJ253" s="198">
        <v>39610748.57</v>
      </c>
      <c r="BK253" s="198">
        <v>2333604.0699999998</v>
      </c>
      <c r="BL253" s="198"/>
      <c r="BM253" s="197">
        <v>7783909.0429999996</v>
      </c>
      <c r="BN253" s="198">
        <v>353905.00299999997</v>
      </c>
      <c r="BO253" s="198">
        <v>840093.56800000009</v>
      </c>
      <c r="BP253" s="198">
        <v>2431889.9240000001</v>
      </c>
      <c r="BQ253" s="198">
        <v>2144140.6839999999</v>
      </c>
      <c r="BR253" s="198"/>
      <c r="BS253" s="198">
        <f t="shared" si="2"/>
        <v>2013879.8640000001</v>
      </c>
      <c r="BT253" s="197"/>
      <c r="BU253" s="198"/>
      <c r="BV253" s="198"/>
      <c r="BW253" s="198"/>
      <c r="BX253" s="198"/>
      <c r="BY253" s="198"/>
      <c r="BZ253" s="198"/>
      <c r="CA253" s="197">
        <v>662.96500000000003</v>
      </c>
      <c r="CB253" s="198"/>
      <c r="CC253" s="198"/>
      <c r="CD253" s="198"/>
      <c r="CE253" s="198"/>
      <c r="CF253" s="198"/>
      <c r="CG253" s="198"/>
      <c r="CH253" s="197">
        <v>12352141.469629999</v>
      </c>
      <c r="CI253" s="198"/>
      <c r="CJ253" s="198">
        <v>5652593.8331199987</v>
      </c>
      <c r="CK253" s="198">
        <v>1594314.6369499997</v>
      </c>
      <c r="CL253" s="198">
        <v>3737933.3783900007</v>
      </c>
      <c r="CM253" s="198">
        <v>1367299.6211699999</v>
      </c>
      <c r="CN253" s="198"/>
      <c r="CO253" s="197">
        <v>9313.1170199999997</v>
      </c>
      <c r="CP253" s="198">
        <v>823.91932999999995</v>
      </c>
      <c r="CQ253" s="198">
        <v>1498.0084999999999</v>
      </c>
      <c r="CR253" s="198">
        <v>2255.77144</v>
      </c>
      <c r="CS253" s="198">
        <v>2229.1418900000003</v>
      </c>
      <c r="CT253" s="198"/>
      <c r="CU253" s="198">
        <v>2506.2758599999993</v>
      </c>
      <c r="CV253" s="197">
        <v>1711.8040000000001</v>
      </c>
      <c r="CW253" s="198"/>
      <c r="CX253" s="198"/>
      <c r="CY253" s="198"/>
      <c r="CZ253" s="198"/>
      <c r="DA253" s="198"/>
      <c r="DB253" s="198"/>
      <c r="DC253" s="197">
        <v>72404.012000000002</v>
      </c>
      <c r="DD253" s="198">
        <v>7897.7929999999997</v>
      </c>
      <c r="DE253" s="198">
        <v>14660.415999999999</v>
      </c>
      <c r="DF253" s="198"/>
      <c r="DG253" s="198">
        <v>18914.955999999998</v>
      </c>
      <c r="DH253" s="198"/>
      <c r="DI253" s="198">
        <f t="shared" si="23"/>
        <v>30930.847000000009</v>
      </c>
      <c r="DJ253" s="197">
        <f>2549.7+53110.4</f>
        <v>55660.1</v>
      </c>
      <c r="DK253" s="198">
        <f>2024.5+10041</f>
        <v>12065.5</v>
      </c>
      <c r="DL253" s="198">
        <f>1973.5+12832.8</f>
        <v>14806.3</v>
      </c>
      <c r="DM253" s="198">
        <v>4825.6000000000004</v>
      </c>
      <c r="DN253" s="198">
        <f>16157-DM253</f>
        <v>11331.4</v>
      </c>
      <c r="DO253" s="198"/>
      <c r="DP253" s="198">
        <f t="shared" si="27"/>
        <v>12631.299999999996</v>
      </c>
      <c r="DQ253" s="197"/>
      <c r="DR253" s="198"/>
      <c r="DS253" s="198"/>
      <c r="DT253" s="198"/>
      <c r="DU253" s="198"/>
      <c r="DV253" s="198"/>
      <c r="DW253" s="198"/>
      <c r="DX253" s="197">
        <v>136971.94199000002</v>
      </c>
      <c r="DY253" s="198"/>
      <c r="DZ253" s="198">
        <v>90113.85126000001</v>
      </c>
      <c r="EA253" s="198">
        <v>22099.733399999997</v>
      </c>
      <c r="EB253" s="198">
        <v>22657.169000000002</v>
      </c>
      <c r="EC253" s="198"/>
      <c r="ED253" s="198">
        <v>2101.1883199999997</v>
      </c>
      <c r="EE253" s="198"/>
      <c r="EF253" s="198"/>
      <c r="EG253" s="198"/>
      <c r="EH253" s="198"/>
      <c r="EI253" s="198"/>
      <c r="EJ253" s="198"/>
      <c r="EK253" s="199"/>
      <c r="EL253" s="198">
        <v>1856205.4273740009</v>
      </c>
      <c r="EM253" s="198">
        <v>803464.7296529999</v>
      </c>
      <c r="EN253" s="198">
        <v>93319.719612000001</v>
      </c>
      <c r="EO253" s="198">
        <v>296632.92358399997</v>
      </c>
      <c r="EP253" s="198">
        <v>487804.37859099987</v>
      </c>
      <c r="EQ253" s="198"/>
      <c r="ER253" s="199">
        <v>174983.67597899999</v>
      </c>
      <c r="ES253" s="198">
        <v>47215.701000000001</v>
      </c>
      <c r="ET253" s="198">
        <v>4108.3</v>
      </c>
      <c r="EU253" s="198">
        <v>15527.1</v>
      </c>
      <c r="EV253" s="198">
        <v>6362.4</v>
      </c>
      <c r="EW253" s="198">
        <v>14227.5</v>
      </c>
      <c r="EX253" s="198"/>
      <c r="EY253" s="199">
        <f t="shared" si="24"/>
        <v>6990.400999999998</v>
      </c>
      <c r="EZ253" s="198">
        <v>21870.536627951002</v>
      </c>
      <c r="FA253" s="198">
        <v>1226.1891541499999</v>
      </c>
      <c r="FB253" s="198">
        <v>5961.3497761610097</v>
      </c>
      <c r="FC253" s="198">
        <v>5399.7343315600001</v>
      </c>
      <c r="FD253" s="198">
        <v>4543.3666819500204</v>
      </c>
      <c r="FE253" s="198">
        <v>65.787618359999897</v>
      </c>
      <c r="FF253" s="198">
        <f t="shared" si="17"/>
        <v>4739.8966841299707</v>
      </c>
      <c r="FG253" s="197">
        <v>14782742.149500998</v>
      </c>
      <c r="FH253" s="198">
        <v>1788603.0219610003</v>
      </c>
      <c r="FI253" s="198">
        <v>2757131.654048</v>
      </c>
      <c r="FJ253" s="198"/>
      <c r="FK253" s="198">
        <v>1515596.757218</v>
      </c>
      <c r="FL253" s="198"/>
      <c r="FM253" s="198">
        <f>FG253-SUM(FH253:FK253)</f>
        <v>8721410.716273997</v>
      </c>
      <c r="FN253" s="197">
        <v>80032.649000000005</v>
      </c>
      <c r="FO253" s="198">
        <v>16103.53</v>
      </c>
      <c r="FP253" s="198">
        <v>11591.273999999999</v>
      </c>
      <c r="FQ253" s="198">
        <v>9453.0400000000009</v>
      </c>
      <c r="FR253" s="198">
        <v>15885.855</v>
      </c>
      <c r="FS253" s="198"/>
      <c r="FT253" s="199">
        <f t="shared" si="25"/>
        <v>26998.950000000012</v>
      </c>
      <c r="FU253" s="197"/>
      <c r="FV253" s="198"/>
      <c r="FW253" s="198"/>
      <c r="FX253" s="198"/>
      <c r="FY253" s="198"/>
      <c r="FZ253" s="198"/>
      <c r="GA253" s="199"/>
      <c r="GB253" s="197">
        <v>2070.105</v>
      </c>
      <c r="GC253" s="198"/>
      <c r="GD253" s="198"/>
      <c r="GE253" s="198"/>
      <c r="GF253" s="198"/>
      <c r="GG253" s="198"/>
      <c r="GH253" s="199"/>
      <c r="GI253" s="197">
        <v>1220.5239999999999</v>
      </c>
      <c r="GJ253" s="198"/>
      <c r="GK253" s="198"/>
      <c r="GL253" s="198"/>
      <c r="GM253" s="198"/>
      <c r="GN253" s="198"/>
      <c r="GO253" s="199"/>
      <c r="GP253" s="197">
        <v>3711.1550000000002</v>
      </c>
      <c r="GQ253" s="198"/>
      <c r="GR253" s="198"/>
      <c r="GS253" s="198"/>
      <c r="GT253" s="198"/>
      <c r="GU253" s="198"/>
      <c r="GV253" s="199"/>
      <c r="GW253" s="197">
        <f>[2]sur!P37</f>
        <v>2307.3000000000002</v>
      </c>
      <c r="GX253" s="198">
        <f>[2]sur!Q37</f>
        <v>167.39999999999998</v>
      </c>
      <c r="GY253" s="198">
        <f>[2]sur!R37</f>
        <v>558.70000000000005</v>
      </c>
      <c r="GZ253" s="198">
        <f>[2]sur!S37</f>
        <v>366.8</v>
      </c>
      <c r="HA253" s="198"/>
      <c r="HB253" s="198"/>
      <c r="HC253" s="199">
        <f>[2]sur!V37</f>
        <v>1214.3999999999999</v>
      </c>
      <c r="HD253" s="197"/>
      <c r="HE253" s="198"/>
      <c r="HF253" s="198"/>
      <c r="HG253" s="198"/>
      <c r="HH253" s="198"/>
      <c r="HI253" s="198"/>
      <c r="HJ253" s="199"/>
      <c r="HK253" s="197">
        <v>7804.2087355035001</v>
      </c>
      <c r="HL253" s="198">
        <v>1562.7886943325163</v>
      </c>
      <c r="HM253" s="198">
        <v>672.87744935166199</v>
      </c>
      <c r="HN253" s="198">
        <v>94.940209342489482</v>
      </c>
      <c r="HO253" s="198">
        <v>3404.9112650559432</v>
      </c>
      <c r="HP253" s="198"/>
      <c r="HQ253" s="198">
        <f t="shared" si="16"/>
        <v>2068.6911174208885</v>
      </c>
      <c r="HR253" s="197">
        <v>121930.955</v>
      </c>
      <c r="HT253" s="198">
        <v>57819.040999999997</v>
      </c>
      <c r="HU253" s="198">
        <v>13039.037</v>
      </c>
      <c r="HV253" s="198">
        <v>30107.245999999999</v>
      </c>
      <c r="HW253" s="198">
        <v>4566.4979999999996</v>
      </c>
      <c r="HX253" s="198">
        <v>16399.133000000002</v>
      </c>
    </row>
    <row r="254" spans="1:233">
      <c r="A254" s="185" t="s">
        <v>497</v>
      </c>
      <c r="B254" s="197">
        <v>3019.3829999999998</v>
      </c>
      <c r="C254" s="198">
        <v>62.456000000000003</v>
      </c>
      <c r="D254" s="198">
        <v>538.41600000000005</v>
      </c>
      <c r="E254" s="198">
        <v>724.005</v>
      </c>
      <c r="F254" s="198">
        <v>560.18100000000004</v>
      </c>
      <c r="G254" s="198"/>
      <c r="H254" s="199">
        <v>1134.325</v>
      </c>
      <c r="I254" s="197">
        <v>148231.1</v>
      </c>
      <c r="J254" s="198"/>
      <c r="K254" s="198"/>
      <c r="L254" s="198">
        <v>17560.900000000001</v>
      </c>
      <c r="M254" s="198">
        <v>26211.5</v>
      </c>
      <c r="N254" s="198"/>
      <c r="O254" s="199">
        <f>[3]arg!$G120</f>
        <v>85628.1</v>
      </c>
      <c r="P254" s="198">
        <v>6823.0609999999997</v>
      </c>
      <c r="Q254" s="198">
        <v>44.274999999999999</v>
      </c>
      <c r="R254" s="198">
        <v>428.05700000000002</v>
      </c>
      <c r="S254" s="198">
        <v>421.892</v>
      </c>
      <c r="T254" s="198">
        <v>4880.8159999999998</v>
      </c>
      <c r="U254" s="198"/>
      <c r="V254" s="199">
        <f t="shared" si="22"/>
        <v>1048.0210000000006</v>
      </c>
      <c r="W254" s="198">
        <v>5454.1989999999996</v>
      </c>
      <c r="X254" s="198">
        <v>111.45699999999999</v>
      </c>
      <c r="Y254" s="198">
        <v>942.64300000000003</v>
      </c>
      <c r="Z254" s="198">
        <v>395.51299999999998</v>
      </c>
      <c r="AA254" s="198">
        <v>2571.1840000000002</v>
      </c>
      <c r="AB254" s="198"/>
      <c r="AC254" s="199">
        <f t="shared" si="14"/>
        <v>1433.4019999999991</v>
      </c>
      <c r="AD254" s="198"/>
      <c r="AE254" s="198">
        <v>41.792000000000002</v>
      </c>
      <c r="AF254" s="198">
        <v>364.42899999999997</v>
      </c>
      <c r="AG254" s="198">
        <v>572.91800000000001</v>
      </c>
      <c r="AH254" s="198">
        <v>382.63299999999998</v>
      </c>
      <c r="AI254" s="198"/>
      <c r="AJ254" s="198"/>
      <c r="AK254" s="197">
        <v>34090.6512</v>
      </c>
      <c r="AL254" s="198"/>
      <c r="AM254" s="198">
        <v>15338.683470000002</v>
      </c>
      <c r="AN254" s="198">
        <v>7026.27448</v>
      </c>
      <c r="AO254" s="198">
        <v>3370.38967</v>
      </c>
      <c r="AP254" s="198">
        <v>8355.3035799999998</v>
      </c>
      <c r="AQ254" s="199"/>
      <c r="AR254" s="198">
        <v>1152791.9622961699</v>
      </c>
      <c r="AS254" s="198">
        <v>269513.76689118001</v>
      </c>
      <c r="AT254" s="198">
        <v>120429.60568356</v>
      </c>
      <c r="AU254" s="198">
        <v>58131.961673630001</v>
      </c>
      <c r="AV254" s="198">
        <v>380079.68462968001</v>
      </c>
      <c r="AW254" s="198"/>
      <c r="AX254" s="198">
        <v>324636.9434181198</v>
      </c>
      <c r="AY254" s="197">
        <v>66810361.000000007</v>
      </c>
      <c r="AZ254" s="198"/>
      <c r="BA254" s="198">
        <v>42460644</v>
      </c>
      <c r="BB254" s="198">
        <v>15832761</v>
      </c>
      <c r="BC254" s="198">
        <v>8516956</v>
      </c>
      <c r="BD254" s="198"/>
      <c r="BE254" s="198"/>
      <c r="BF254" s="197">
        <v>141628605.00999999</v>
      </c>
      <c r="BG254" s="198"/>
      <c r="BH254" s="198">
        <v>89033945.339999989</v>
      </c>
      <c r="BI254" s="198">
        <v>10141336.42</v>
      </c>
      <c r="BJ254" s="198">
        <v>40050618.869999997</v>
      </c>
      <c r="BK254" s="198">
        <v>2402704.38</v>
      </c>
      <c r="BL254" s="198"/>
      <c r="BM254" s="197">
        <v>7887752.6859999998</v>
      </c>
      <c r="BN254" s="198">
        <v>362583.58199999999</v>
      </c>
      <c r="BO254" s="198">
        <v>852740.74699999997</v>
      </c>
      <c r="BP254" s="198">
        <v>2459254.0350000001</v>
      </c>
      <c r="BQ254" s="198">
        <v>2227660.1830000002</v>
      </c>
      <c r="BR254" s="198"/>
      <c r="BS254" s="198">
        <f t="shared" si="2"/>
        <v>1985514.1389999995</v>
      </c>
      <c r="BT254" s="197"/>
      <c r="BU254" s="198"/>
      <c r="BV254" s="198"/>
      <c r="BW254" s="198"/>
      <c r="BX254" s="198"/>
      <c r="BY254" s="198"/>
      <c r="BZ254" s="198"/>
      <c r="CA254" s="197">
        <v>672.77599999999995</v>
      </c>
      <c r="CB254" s="198">
        <v>34.118000000000002</v>
      </c>
      <c r="CC254" s="198">
        <v>97.531000000000006</v>
      </c>
      <c r="CD254" s="198">
        <v>227.238</v>
      </c>
      <c r="CE254" s="198">
        <v>152.43899999999999</v>
      </c>
      <c r="CF254" s="198"/>
      <c r="CG254" s="198">
        <f>CA254-CB254-CC254-CD254-CE254</f>
        <v>161.44999999999996</v>
      </c>
      <c r="CH254" s="197">
        <v>12728018.234209999</v>
      </c>
      <c r="CI254" s="198"/>
      <c r="CJ254" s="198">
        <v>5834599.4241500013</v>
      </c>
      <c r="CK254" s="198">
        <v>1641675.7923799998</v>
      </c>
      <c r="CL254" s="198">
        <v>3846047.6231</v>
      </c>
      <c r="CM254" s="198">
        <v>1405695.3945800001</v>
      </c>
      <c r="CN254" s="198"/>
      <c r="CO254" s="197">
        <v>9338.9498999999996</v>
      </c>
      <c r="CP254" s="198">
        <v>815.09102000000007</v>
      </c>
      <c r="CQ254" s="198">
        <v>1509.4873500000001</v>
      </c>
      <c r="CR254" s="198">
        <v>2261.0101500000001</v>
      </c>
      <c r="CS254" s="198">
        <v>2253.7921000000001</v>
      </c>
      <c r="CT254" s="198"/>
      <c r="CU254" s="198">
        <v>2499.5692800000011</v>
      </c>
      <c r="CV254" s="197">
        <v>1739.5820000000001</v>
      </c>
      <c r="CW254" s="198">
        <v>36.857999999999997</v>
      </c>
      <c r="CX254" s="198">
        <v>306.39400000000001</v>
      </c>
      <c r="CY254" s="198">
        <v>577.91999999999996</v>
      </c>
      <c r="CZ254" s="198">
        <v>444.57499999999999</v>
      </c>
      <c r="DA254" s="198"/>
      <c r="DB254" s="198">
        <f>CV254-CW254-CX254-CY254-CZ254</f>
        <v>373.83500000000021</v>
      </c>
      <c r="DC254" s="197">
        <v>72795.622000000003</v>
      </c>
      <c r="DD254" s="198">
        <v>8085.3580000000002</v>
      </c>
      <c r="DE254" s="198">
        <v>14597.846</v>
      </c>
      <c r="DF254" s="198"/>
      <c r="DG254" s="198">
        <v>19152.858</v>
      </c>
      <c r="DH254" s="198"/>
      <c r="DI254" s="198">
        <f t="shared" si="23"/>
        <v>30959.560000000005</v>
      </c>
      <c r="DJ254" s="197">
        <f>2768.8+53500.8</f>
        <v>56269.600000000006</v>
      </c>
      <c r="DK254" s="198">
        <f>2031.8+10382</f>
        <v>12413.8</v>
      </c>
      <c r="DL254" s="198">
        <f>1.7+1901.9+13258.9</f>
        <v>15162.5</v>
      </c>
      <c r="DM254" s="198">
        <f>5053</f>
        <v>5053</v>
      </c>
      <c r="DN254" s="198">
        <f>15919.8-DM254</f>
        <v>10866.8</v>
      </c>
      <c r="DO254" s="198"/>
      <c r="DP254" s="198">
        <f t="shared" si="27"/>
        <v>12773.500000000007</v>
      </c>
      <c r="DQ254" s="197"/>
      <c r="DR254" s="198"/>
      <c r="DS254" s="198"/>
      <c r="DT254" s="198"/>
      <c r="DU254" s="198"/>
      <c r="DV254" s="198"/>
      <c r="DW254" s="198"/>
      <c r="DX254" s="197">
        <v>138714.77365000002</v>
      </c>
      <c r="DY254" s="198"/>
      <c r="DZ254" s="198">
        <v>91305.462339999998</v>
      </c>
      <c r="EA254" s="198">
        <v>22432.67092</v>
      </c>
      <c r="EB254" s="198">
        <v>22725.094399999998</v>
      </c>
      <c r="EC254" s="198"/>
      <c r="ED254" s="198">
        <v>2251.5460099999996</v>
      </c>
      <c r="EE254" s="198">
        <v>233120.91099999999</v>
      </c>
      <c r="EF254" s="198">
        <v>9212.3009999999995</v>
      </c>
      <c r="EG254" s="198">
        <v>58941.415999999997</v>
      </c>
      <c r="EH254" s="198">
        <v>12086.321</v>
      </c>
      <c r="EI254" s="198">
        <v>87643.505999999994</v>
      </c>
      <c r="EJ254" s="198"/>
      <c r="EK254" s="198">
        <f>EE254-EF254-EG254-EH254-EI254</f>
        <v>65237.366999999998</v>
      </c>
      <c r="EL254" s="198">
        <v>1869558.3716519999</v>
      </c>
      <c r="EM254" s="198">
        <v>813616.39668299991</v>
      </c>
      <c r="EN254" s="198">
        <v>99010.304403000016</v>
      </c>
      <c r="EO254" s="198">
        <v>299949.02745900006</v>
      </c>
      <c r="EP254" s="198">
        <v>486335.89070800005</v>
      </c>
      <c r="EQ254" s="198"/>
      <c r="ER254" s="198">
        <v>170646.75242999999</v>
      </c>
      <c r="ES254" s="198">
        <v>47542.029000000002</v>
      </c>
      <c r="ET254" s="198">
        <v>3975.9</v>
      </c>
      <c r="EU254" s="198">
        <v>15669.5</v>
      </c>
      <c r="EV254" s="198">
        <v>6434.7</v>
      </c>
      <c r="EW254" s="198">
        <v>14214.2</v>
      </c>
      <c r="EX254" s="198"/>
      <c r="EY254" s="198">
        <f t="shared" si="24"/>
        <v>7247.7289999999994</v>
      </c>
      <c r="EZ254" s="197">
        <v>22211.709913701001</v>
      </c>
      <c r="FA254" s="198">
        <v>1276.3077879299999</v>
      </c>
      <c r="FB254" s="198">
        <v>6171.2682087699995</v>
      </c>
      <c r="FC254" s="198">
        <v>5456.1481103799897</v>
      </c>
      <c r="FD254" s="198">
        <v>4594.7343143509897</v>
      </c>
      <c r="FE254" s="198">
        <v>62.177600529999999</v>
      </c>
      <c r="FF254" s="198">
        <f t="shared" si="17"/>
        <v>4713.2514922700211</v>
      </c>
      <c r="FG254" s="197">
        <v>15516496.261829</v>
      </c>
      <c r="FH254" s="198">
        <v>1855706.8808210001</v>
      </c>
      <c r="FI254" s="198">
        <v>2952948.481927</v>
      </c>
      <c r="FJ254" s="198"/>
      <c r="FK254" s="198">
        <v>1573096.31751</v>
      </c>
      <c r="FL254" s="198"/>
      <c r="FM254" s="198">
        <f t="shared" ref="FM254:FM265" si="28">FG254-SUM(FH254:FK254)</f>
        <v>9134744.5815709997</v>
      </c>
      <c r="FN254" s="197">
        <v>82113.134999999995</v>
      </c>
      <c r="FO254" s="198">
        <v>16331.727000000001</v>
      </c>
      <c r="FP254" s="198">
        <v>11957.04</v>
      </c>
      <c r="FQ254" s="198">
        <v>9687.4670000000006</v>
      </c>
      <c r="FR254" s="198">
        <v>16320.846</v>
      </c>
      <c r="FS254" s="198"/>
      <c r="FT254" s="199">
        <f t="shared" si="25"/>
        <v>27816.055</v>
      </c>
      <c r="FU254" s="197">
        <v>335014.71029187931</v>
      </c>
      <c r="FV254" s="198">
        <v>25040.249902389995</v>
      </c>
      <c r="FW254" s="198">
        <v>59835.720537389483</v>
      </c>
      <c r="FX254" s="198">
        <v>69488.593264580006</v>
      </c>
      <c r="FY254" s="198">
        <v>85300.328603889779</v>
      </c>
      <c r="FZ254" s="198"/>
      <c r="GA254" s="199">
        <f>FU254-FV254-FW254-FX254-FY254</f>
        <v>95349.817983630041</v>
      </c>
      <c r="GB254" s="197">
        <v>2107.681</v>
      </c>
      <c r="GC254" s="198">
        <v>23.803999999999998</v>
      </c>
      <c r="GD254" s="198">
        <v>217.285</v>
      </c>
      <c r="GE254" s="198">
        <v>391.64800000000002</v>
      </c>
      <c r="GF254" s="198">
        <v>387.40800000000002</v>
      </c>
      <c r="GG254" s="198"/>
      <c r="GH254" s="199">
        <f>GB254-GC254-GD254-GE254-GF254</f>
        <v>1087.5360000000001</v>
      </c>
      <c r="GI254" s="197">
        <v>1220.201</v>
      </c>
      <c r="GJ254" s="198">
        <v>47.021999999999998</v>
      </c>
      <c r="GK254" s="198">
        <v>134.99</v>
      </c>
      <c r="GL254" s="198">
        <v>351.80900000000003</v>
      </c>
      <c r="GM254" s="198">
        <v>242.53100000000001</v>
      </c>
      <c r="GN254" s="198"/>
      <c r="GO254" s="199">
        <f>GI254-GJ254-GK254-GL254-GM254</f>
        <v>443.8490000000001</v>
      </c>
      <c r="GP254" s="197">
        <v>3710.694</v>
      </c>
      <c r="GQ254" s="198">
        <v>76.941999999999993</v>
      </c>
      <c r="GR254" s="198">
        <v>1071.425</v>
      </c>
      <c r="GS254" s="198">
        <v>469.75099999999998</v>
      </c>
      <c r="GT254" s="198">
        <v>774.13099999999997</v>
      </c>
      <c r="GU254" s="198"/>
      <c r="GV254" s="199">
        <f>GP254-GQ254-GR254-GS254-GT254</f>
        <v>1318.4450000000002</v>
      </c>
      <c r="GW254" s="197">
        <f>[2]sur!P38</f>
        <v>2367.8999999999996</v>
      </c>
      <c r="GX254" s="198">
        <f>[2]sur!Q38</f>
        <v>165.4</v>
      </c>
      <c r="GY254" s="198">
        <f>[2]sur!R38</f>
        <v>581.1</v>
      </c>
      <c r="GZ254" s="198">
        <f>[2]sur!S38</f>
        <v>373.20000000000005</v>
      </c>
      <c r="HA254" s="198"/>
      <c r="HB254" s="198"/>
      <c r="HC254" s="199">
        <f>[2]sur!V38</f>
        <v>1248.1999999999998</v>
      </c>
      <c r="HD254" s="197">
        <f>'[2]t&amp;t'!W386</f>
        <v>44319.8</v>
      </c>
      <c r="HE254" s="198">
        <f>'[2]t&amp;t'!X386</f>
        <v>3096.4</v>
      </c>
      <c r="HF254" s="198">
        <f>'[2]t&amp;t'!Y386</f>
        <v>3654.2</v>
      </c>
      <c r="HG254" s="198">
        <f>'[2]t&amp;t'!Z386</f>
        <v>8029.2999999999993</v>
      </c>
      <c r="HH254" s="198">
        <f>'[2]t&amp;t'!AA386</f>
        <v>12531.3</v>
      </c>
      <c r="HI254" s="198"/>
      <c r="HJ254" s="199">
        <f>'[2]t&amp;t'!AC386</f>
        <v>17008.599999999999</v>
      </c>
      <c r="HK254" s="197">
        <v>7807.5124783929996</v>
      </c>
      <c r="HL254" s="198">
        <v>1617.0138179139831</v>
      </c>
      <c r="HM254" s="198">
        <v>701.8268700068852</v>
      </c>
      <c r="HN254" s="198">
        <v>105.51255363829168</v>
      </c>
      <c r="HO254" s="198">
        <v>3319.8786455016525</v>
      </c>
      <c r="HP254" s="198"/>
      <c r="HQ254" s="198">
        <f t="shared" si="16"/>
        <v>2063.2805913321872</v>
      </c>
      <c r="HR254" s="197">
        <v>125219.268</v>
      </c>
      <c r="HT254" s="198">
        <v>59013.49</v>
      </c>
      <c r="HU254" s="198">
        <v>13517.205</v>
      </c>
      <c r="HV254" s="198">
        <v>30953.521000000001</v>
      </c>
      <c r="HW254" s="198">
        <v>4662.933</v>
      </c>
      <c r="HX254" s="198">
        <v>17072.118999999999</v>
      </c>
    </row>
    <row r="255" spans="1:233">
      <c r="A255" s="185" t="s">
        <v>498</v>
      </c>
      <c r="B255" s="197">
        <v>3061.134</v>
      </c>
      <c r="C255" s="198"/>
      <c r="D255" s="198"/>
      <c r="E255" s="198"/>
      <c r="F255" s="198"/>
      <c r="G255" s="198"/>
      <c r="H255" s="199"/>
      <c r="I255" s="197">
        <v>150543.4</v>
      </c>
      <c r="J255" s="198"/>
      <c r="K255" s="198"/>
      <c r="L255" s="198">
        <v>17997.400000000001</v>
      </c>
      <c r="M255" s="198">
        <v>26788.7</v>
      </c>
      <c r="N255" s="198"/>
      <c r="O255" s="199">
        <f>[3]arg!$G121</f>
        <v>87720.8</v>
      </c>
      <c r="P255" s="198">
        <v>6886.3879999999999</v>
      </c>
      <c r="Q255" s="198">
        <v>41.930999999999997</v>
      </c>
      <c r="R255" s="198">
        <v>436.39000000000004</v>
      </c>
      <c r="S255" s="198">
        <v>424.31299999999999</v>
      </c>
      <c r="T255" s="198">
        <v>4903.8670000000002</v>
      </c>
      <c r="U255" s="198"/>
      <c r="V255" s="199">
        <f t="shared" si="22"/>
        <v>1079.8869999999997</v>
      </c>
      <c r="W255" s="198">
        <v>5562.7920000000004</v>
      </c>
      <c r="X255" s="198">
        <v>118.831</v>
      </c>
      <c r="Y255" s="198">
        <v>971.27799999999991</v>
      </c>
      <c r="Z255" s="198">
        <v>416.88400000000001</v>
      </c>
      <c r="AA255" s="198">
        <v>2594.6909999999998</v>
      </c>
      <c r="AB255" s="198"/>
      <c r="AC255" s="199">
        <f t="shared" si="14"/>
        <v>1461.1080000000002</v>
      </c>
      <c r="AD255" s="198"/>
      <c r="AE255" s="198">
        <v>42.488</v>
      </c>
      <c r="AF255" s="198">
        <v>373.16</v>
      </c>
      <c r="AG255" s="198">
        <v>585.11199999999997</v>
      </c>
      <c r="AH255" s="198">
        <v>378.79899999999998</v>
      </c>
      <c r="AI255" s="198"/>
      <c r="AJ255" s="198"/>
      <c r="AK255" s="197"/>
      <c r="AL255" s="198"/>
      <c r="AM255" s="198"/>
      <c r="AN255" s="198"/>
      <c r="AO255" s="198"/>
      <c r="AP255" s="198"/>
      <c r="AQ255" s="199"/>
      <c r="AR255" s="198">
        <v>1185142.5764051501</v>
      </c>
      <c r="AS255" s="198">
        <v>279382.20730077004</v>
      </c>
      <c r="AT255" s="198">
        <v>122890.33197507</v>
      </c>
      <c r="AU255" s="198">
        <v>59827.78280837999</v>
      </c>
      <c r="AV255" s="198">
        <v>386692.74388540001</v>
      </c>
      <c r="AW255" s="198"/>
      <c r="AX255" s="198">
        <v>336349.51043552998</v>
      </c>
      <c r="AY255" s="197">
        <v>70116327</v>
      </c>
      <c r="AZ255" s="198"/>
      <c r="BA255" s="198">
        <v>45514994</v>
      </c>
      <c r="BB255" s="198">
        <v>16079008</v>
      </c>
      <c r="BC255" s="198">
        <v>8522325</v>
      </c>
      <c r="BD255" s="198"/>
      <c r="BE255" s="198"/>
      <c r="BF255" s="197">
        <v>145724690.40000004</v>
      </c>
      <c r="BG255" s="198"/>
      <c r="BH255" s="198">
        <v>91989069.550000012</v>
      </c>
      <c r="BI255" s="198">
        <v>10361283.4</v>
      </c>
      <c r="BJ255" s="198">
        <v>40595052.829999998</v>
      </c>
      <c r="BK255" s="198">
        <v>2779284.62</v>
      </c>
      <c r="BL255" s="198"/>
      <c r="BM255" s="197">
        <v>7971912.0240000002</v>
      </c>
      <c r="BN255" s="198">
        <v>366429.05099999998</v>
      </c>
      <c r="BO255" s="198">
        <v>851915.75</v>
      </c>
      <c r="BP255" s="198">
        <v>2522023.9029999999</v>
      </c>
      <c r="BQ255" s="198">
        <v>2200208.1669999999</v>
      </c>
      <c r="BR255" s="198"/>
      <c r="BS255" s="198">
        <f t="shared" si="2"/>
        <v>2031335.1530000009</v>
      </c>
      <c r="BT255" s="197"/>
      <c r="BU255" s="198"/>
      <c r="BV255" s="198"/>
      <c r="BW255" s="198"/>
      <c r="BX255" s="198"/>
      <c r="BY255" s="198"/>
      <c r="BZ255" s="198"/>
      <c r="CA255" s="197">
        <v>687.88699999999994</v>
      </c>
      <c r="CB255" s="198"/>
      <c r="CC255" s="198"/>
      <c r="CD255" s="198"/>
      <c r="CE255" s="198"/>
      <c r="CF255" s="198"/>
      <c r="CG255" s="198"/>
      <c r="CH255" s="197">
        <v>13004030.70468</v>
      </c>
      <c r="CI255" s="198"/>
      <c r="CJ255" s="198">
        <v>6017207.7472899985</v>
      </c>
      <c r="CK255" s="198">
        <v>1606703.1583100003</v>
      </c>
      <c r="CL255" s="198">
        <v>3915031.0995999998</v>
      </c>
      <c r="CM255" s="198">
        <v>1465088.6994800002</v>
      </c>
      <c r="CN255" s="198"/>
      <c r="CO255" s="197">
        <v>9329.1303799999987</v>
      </c>
      <c r="CP255" s="198">
        <v>811.45054000000005</v>
      </c>
      <c r="CQ255" s="198">
        <v>1493.5821000000001</v>
      </c>
      <c r="CR255" s="198">
        <v>2270.8205699999999</v>
      </c>
      <c r="CS255" s="198">
        <v>2275.3678399999999</v>
      </c>
      <c r="CT255" s="198"/>
      <c r="CU255" s="198">
        <v>2477.909329999999</v>
      </c>
      <c r="CV255" s="197">
        <v>1748.3330000000001</v>
      </c>
      <c r="CW255" s="198"/>
      <c r="CX255" s="198"/>
      <c r="CY255" s="198"/>
      <c r="CZ255" s="198"/>
      <c r="DA255" s="198"/>
      <c r="DB255" s="198"/>
      <c r="DC255" s="197">
        <v>74742.770999999993</v>
      </c>
      <c r="DD255" s="198">
        <v>8101.0770000000002</v>
      </c>
      <c r="DE255" s="198">
        <v>15069.852000000001</v>
      </c>
      <c r="DF255" s="198"/>
      <c r="DG255" s="198">
        <v>19899.560000000001</v>
      </c>
      <c r="DH255" s="198"/>
      <c r="DI255" s="198">
        <f t="shared" si="23"/>
        <v>31672.281999999988</v>
      </c>
      <c r="DJ255" s="197">
        <f>3259.1+55355.2</f>
        <v>58614.299999999996</v>
      </c>
      <c r="DK255" s="198">
        <f>1984.5+11003.4</f>
        <v>12987.9</v>
      </c>
      <c r="DL255" s="198">
        <f>1909.5+13251.7</f>
        <v>15161.2</v>
      </c>
      <c r="DM255" s="198">
        <v>5361.2</v>
      </c>
      <c r="DN255" s="198">
        <f>16886.7-DM255</f>
        <v>11525.5</v>
      </c>
      <c r="DO255" s="198"/>
      <c r="DP255" s="198">
        <f t="shared" si="27"/>
        <v>13578.5</v>
      </c>
      <c r="DQ255" s="197"/>
      <c r="DR255" s="198"/>
      <c r="DS255" s="198"/>
      <c r="DT255" s="198"/>
      <c r="DU255" s="198"/>
      <c r="DV255" s="198"/>
      <c r="DW255" s="198"/>
      <c r="DX255" s="197">
        <v>138794.89324</v>
      </c>
      <c r="DY255" s="198"/>
      <c r="DZ255" s="198">
        <v>90903.567159999991</v>
      </c>
      <c r="EA255" s="198">
        <v>22682.18462</v>
      </c>
      <c r="EB255" s="198">
        <v>22977.60194</v>
      </c>
      <c r="EC255" s="198"/>
      <c r="ED255" s="198">
        <v>2231.5395099999996</v>
      </c>
      <c r="EE255" s="198"/>
      <c r="EF255" s="198"/>
      <c r="EG255" s="198"/>
      <c r="EH255" s="198"/>
      <c r="EI255" s="198"/>
      <c r="EJ255" s="198"/>
      <c r="EK255" s="198"/>
      <c r="EL255" s="198">
        <v>1913171.7773540004</v>
      </c>
      <c r="EM255" s="198">
        <v>865215.87239199993</v>
      </c>
      <c r="EN255" s="198">
        <v>90610.683928999977</v>
      </c>
      <c r="EO255" s="198">
        <v>305142.63461900002</v>
      </c>
      <c r="EP255" s="198">
        <v>484686.96195499995</v>
      </c>
      <c r="EQ255" s="198"/>
      <c r="ER255" s="198">
        <v>167515.62447900002</v>
      </c>
      <c r="ES255" s="198">
        <v>47719.137999999999</v>
      </c>
      <c r="ET255" s="198">
        <v>3715.5</v>
      </c>
      <c r="EU255" s="198">
        <v>15727.2</v>
      </c>
      <c r="EV255" s="198">
        <v>6492.1</v>
      </c>
      <c r="EW255" s="198">
        <v>14178.8</v>
      </c>
      <c r="EX255" s="198"/>
      <c r="EY255" s="198">
        <f t="shared" si="24"/>
        <v>7605.5379999999968</v>
      </c>
      <c r="EZ255" s="197">
        <v>22518.432613311001</v>
      </c>
      <c r="FA255" s="198">
        <v>1232.8591319300001</v>
      </c>
      <c r="FB255" s="198">
        <v>6297.5515936499996</v>
      </c>
      <c r="FC255" s="198">
        <v>5518.0095925599999</v>
      </c>
      <c r="FD255" s="198">
        <v>4633.7913114510202</v>
      </c>
      <c r="FE255" s="198">
        <v>62.4819868599998</v>
      </c>
      <c r="FF255" s="198">
        <f t="shared" si="17"/>
        <v>4836.2209837199816</v>
      </c>
      <c r="FG255" s="197">
        <v>16976067.457851</v>
      </c>
      <c r="FH255" s="198">
        <v>1917004.5560020001</v>
      </c>
      <c r="FI255" s="198">
        <v>3595783.4998579994</v>
      </c>
      <c r="FJ255" s="198"/>
      <c r="FK255" s="198">
        <v>1665562.1065850002</v>
      </c>
      <c r="FL255" s="198"/>
      <c r="FM255" s="198">
        <f t="shared" si="28"/>
        <v>9797717.2954060007</v>
      </c>
      <c r="FN255" s="197">
        <v>87177.21</v>
      </c>
      <c r="FO255" s="198">
        <v>17619.896000000001</v>
      </c>
      <c r="FP255" s="198">
        <v>12932.224</v>
      </c>
      <c r="FQ255" s="198">
        <v>10151.741</v>
      </c>
      <c r="FR255" s="198">
        <v>16843.726999999999</v>
      </c>
      <c r="FS255" s="198"/>
      <c r="FT255" s="199">
        <f t="shared" si="25"/>
        <v>29629.622000000003</v>
      </c>
      <c r="FU255" s="197"/>
      <c r="FV255" s="198"/>
      <c r="FW255" s="198"/>
      <c r="FX255" s="198"/>
      <c r="FY255" s="198"/>
      <c r="FZ255" s="198"/>
      <c r="GA255" s="199"/>
      <c r="GB255" s="197">
        <v>2132.4459999999999</v>
      </c>
      <c r="GC255" s="198"/>
      <c r="GD255" s="198"/>
      <c r="GE255" s="198"/>
      <c r="GF255" s="198"/>
      <c r="GG255" s="198"/>
      <c r="GH255" s="199"/>
      <c r="GI255" s="197">
        <v>1233.97</v>
      </c>
      <c r="GJ255" s="198"/>
      <c r="GK255" s="198"/>
      <c r="GL255" s="198"/>
      <c r="GM255" s="198"/>
      <c r="GN255" s="198"/>
      <c r="GO255" s="199"/>
      <c r="GP255" s="197">
        <v>3738.6880000000001</v>
      </c>
      <c r="GQ255" s="198"/>
      <c r="GR255" s="198"/>
      <c r="GS255" s="198"/>
      <c r="GT255" s="198"/>
      <c r="GU255" s="198"/>
      <c r="GV255" s="199"/>
      <c r="GW255" s="197">
        <f>[2]sur!P39</f>
        <v>2390</v>
      </c>
      <c r="GX255" s="198">
        <f>[2]sur!Q39</f>
        <v>166.5</v>
      </c>
      <c r="GY255" s="198">
        <f>[2]sur!R39</f>
        <v>589.29999999999995</v>
      </c>
      <c r="GZ255" s="198">
        <f>[2]sur!S39</f>
        <v>379.4</v>
      </c>
      <c r="HA255" s="198"/>
      <c r="HB255" s="198"/>
      <c r="HC255" s="199">
        <f>[2]sur!V39</f>
        <v>1254.8000000000002</v>
      </c>
      <c r="HD255" s="197"/>
      <c r="HE255" s="198"/>
      <c r="HF255" s="198"/>
      <c r="HG255" s="198"/>
      <c r="HH255" s="198"/>
      <c r="HI255" s="198"/>
      <c r="HJ255" s="199"/>
      <c r="HK255" s="197">
        <v>7802.3732860033997</v>
      </c>
      <c r="HL255" s="198">
        <v>1583.2623293615216</v>
      </c>
      <c r="HM255" s="198">
        <v>703.09985666526097</v>
      </c>
      <c r="HN255" s="198">
        <v>116.73560380668259</v>
      </c>
      <c r="HO255" s="198">
        <v>3282.2164555353702</v>
      </c>
      <c r="HP255" s="198"/>
      <c r="HQ255" s="198">
        <f t="shared" si="16"/>
        <v>2117.0590406345646</v>
      </c>
      <c r="HR255" s="197">
        <v>129835.406</v>
      </c>
      <c r="HT255" s="198">
        <v>61301.339</v>
      </c>
      <c r="HU255" s="198">
        <v>14092.885</v>
      </c>
      <c r="HV255" s="198">
        <v>31537.267</v>
      </c>
      <c r="HW255" s="198">
        <v>4798.8680000000004</v>
      </c>
      <c r="HX255" s="198">
        <v>18105.046999999999</v>
      </c>
    </row>
    <row r="256" spans="1:233">
      <c r="A256" s="185" t="s">
        <v>499</v>
      </c>
      <c r="B256" s="197">
        <v>3102.7040000000002</v>
      </c>
      <c r="C256" s="198"/>
      <c r="D256" s="198"/>
      <c r="E256" s="198"/>
      <c r="F256" s="198"/>
      <c r="G256" s="198"/>
      <c r="H256" s="199"/>
      <c r="I256" s="197">
        <v>150813.9</v>
      </c>
      <c r="J256" s="198"/>
      <c r="K256" s="198"/>
      <c r="L256" s="198">
        <v>18478.2</v>
      </c>
      <c r="M256" s="198">
        <v>26926.6</v>
      </c>
      <c r="N256" s="198"/>
      <c r="O256" s="199">
        <f>[3]arg!$G122</f>
        <v>87367.4</v>
      </c>
      <c r="P256" s="198">
        <v>6948.1379999999999</v>
      </c>
      <c r="Q256" s="198">
        <v>42.728000000000002</v>
      </c>
      <c r="R256" s="198">
        <v>436.08300000000003</v>
      </c>
      <c r="S256" s="198">
        <v>429.964</v>
      </c>
      <c r="T256" s="198">
        <v>4928.9750000000004</v>
      </c>
      <c r="U256" s="198"/>
      <c r="V256" s="199">
        <f t="shared" si="22"/>
        <v>1110.3879999999999</v>
      </c>
      <c r="W256" s="198">
        <v>5617.2389999999996</v>
      </c>
      <c r="X256" s="198">
        <v>124.521</v>
      </c>
      <c r="Y256" s="198">
        <v>991.01700000000005</v>
      </c>
      <c r="Z256" s="198">
        <v>421.79300000000001</v>
      </c>
      <c r="AA256" s="198">
        <v>2601.1770000000001</v>
      </c>
      <c r="AB256" s="198"/>
      <c r="AC256" s="199">
        <f t="shared" si="14"/>
        <v>1478.7309999999998</v>
      </c>
      <c r="AD256" s="198"/>
      <c r="AE256" s="198">
        <v>43.356999999999999</v>
      </c>
      <c r="AF256" s="198">
        <v>379.48900000000003</v>
      </c>
      <c r="AG256" s="198">
        <v>589.92899999999997</v>
      </c>
      <c r="AH256" s="198">
        <v>380.68200000000002</v>
      </c>
      <c r="AI256" s="198"/>
      <c r="AJ256" s="198"/>
      <c r="AK256" s="197"/>
      <c r="AL256" s="198"/>
      <c r="AM256" s="198"/>
      <c r="AN256" s="198"/>
      <c r="AO256" s="198"/>
      <c r="AP256" s="198"/>
      <c r="AQ256" s="199"/>
      <c r="AR256" s="198">
        <v>1208348.7734605402</v>
      </c>
      <c r="AS256" s="198">
        <v>290605.30544967006</v>
      </c>
      <c r="AT256" s="198">
        <v>124554.45998876999</v>
      </c>
      <c r="AU256" s="198">
        <v>61774.112030449993</v>
      </c>
      <c r="AV256" s="198">
        <v>386407.70012865</v>
      </c>
      <c r="AW256" s="198"/>
      <c r="AX256" s="198">
        <v>345007.19586300018</v>
      </c>
      <c r="AY256" s="197">
        <v>70818103</v>
      </c>
      <c r="AZ256" s="198"/>
      <c r="BA256" s="198">
        <v>45993563</v>
      </c>
      <c r="BB256" s="198">
        <v>16271902</v>
      </c>
      <c r="BC256" s="198">
        <v>8552638</v>
      </c>
      <c r="BD256" s="198"/>
      <c r="BE256" s="198"/>
      <c r="BF256" s="197">
        <v>147704450.79999998</v>
      </c>
      <c r="BG256" s="198"/>
      <c r="BH256" s="198">
        <v>93810705.099999994</v>
      </c>
      <c r="BI256" s="198">
        <v>10294483.240000004</v>
      </c>
      <c r="BJ256" s="198">
        <v>40794410.079999998</v>
      </c>
      <c r="BK256" s="198">
        <v>2804852.38</v>
      </c>
      <c r="BL256" s="198"/>
      <c r="BM256" s="197">
        <v>7939750.0669999998</v>
      </c>
      <c r="BN256" s="198">
        <v>388469.19</v>
      </c>
      <c r="BO256" s="198">
        <v>829444.91500000004</v>
      </c>
      <c r="BP256" s="198">
        <v>2515064.9819999998</v>
      </c>
      <c r="BQ256" s="198">
        <v>2187980.4589999998</v>
      </c>
      <c r="BR256" s="198"/>
      <c r="BS256" s="198">
        <f t="shared" si="2"/>
        <v>2018790.5209999997</v>
      </c>
      <c r="BT256" s="197"/>
      <c r="BU256" s="198"/>
      <c r="BV256" s="198"/>
      <c r="BW256" s="198"/>
      <c r="BX256" s="198"/>
      <c r="BY256" s="198"/>
      <c r="BZ256" s="198"/>
      <c r="CA256" s="197">
        <v>699.74699999999996</v>
      </c>
      <c r="CB256" s="198"/>
      <c r="CC256" s="198"/>
      <c r="CD256" s="198"/>
      <c r="CE256" s="198"/>
      <c r="CF256" s="198"/>
      <c r="CG256" s="198"/>
      <c r="CH256" s="197">
        <v>13369466.180609999</v>
      </c>
      <c r="CI256" s="198"/>
      <c r="CJ256" s="198">
        <v>6172905.2507099994</v>
      </c>
      <c r="CK256" s="198">
        <v>1648640.7023900002</v>
      </c>
      <c r="CL256" s="198">
        <v>4051218.2138700001</v>
      </c>
      <c r="CM256" s="198">
        <v>1496702.01364</v>
      </c>
      <c r="CN256" s="198"/>
      <c r="CO256" s="197">
        <v>9332.7690500000008</v>
      </c>
      <c r="CP256" s="198">
        <v>815.56310999999994</v>
      </c>
      <c r="CQ256" s="198">
        <v>1490.08456</v>
      </c>
      <c r="CR256" s="198">
        <v>2274.05395</v>
      </c>
      <c r="CS256" s="198">
        <v>2304.45525</v>
      </c>
      <c r="CT256" s="198"/>
      <c r="CU256" s="198">
        <v>2448.6121800000005</v>
      </c>
      <c r="CV256" s="197">
        <v>1801.96</v>
      </c>
      <c r="CW256" s="198"/>
      <c r="CX256" s="198"/>
      <c r="CY256" s="198"/>
      <c r="CZ256" s="198"/>
      <c r="DA256" s="198"/>
      <c r="DB256" s="198"/>
      <c r="DC256" s="197">
        <v>75670.191000000006</v>
      </c>
      <c r="DD256" s="198">
        <v>8361.652</v>
      </c>
      <c r="DE256" s="198">
        <v>15321.625</v>
      </c>
      <c r="DF256" s="198"/>
      <c r="DG256" s="198">
        <v>20044.342000000001</v>
      </c>
      <c r="DH256" s="198"/>
      <c r="DI256" s="198">
        <f t="shared" si="23"/>
        <v>31942.572000000004</v>
      </c>
      <c r="DJ256" s="197">
        <f>2760.9+56549.4</f>
        <v>59310.3</v>
      </c>
      <c r="DK256" s="198">
        <f>1964.8+11248.7</f>
        <v>13213.5</v>
      </c>
      <c r="DL256" s="198">
        <f>1890.5+13439.1</f>
        <v>15329.6</v>
      </c>
      <c r="DM256" s="198">
        <v>5453.6</v>
      </c>
      <c r="DN256" s="198">
        <f>17362.2-DM256</f>
        <v>11908.6</v>
      </c>
      <c r="DO256" s="198"/>
      <c r="DP256" s="198">
        <f t="shared" si="27"/>
        <v>13405.000000000007</v>
      </c>
      <c r="DQ256" s="197"/>
      <c r="DR256" s="198"/>
      <c r="DS256" s="198"/>
      <c r="DT256" s="198"/>
      <c r="DU256" s="198"/>
      <c r="DV256" s="198"/>
      <c r="DW256" s="198"/>
      <c r="DX256" s="197">
        <v>138610.19340000002</v>
      </c>
      <c r="DY256" s="198"/>
      <c r="DZ256" s="198">
        <v>90395.040760000004</v>
      </c>
      <c r="EA256" s="198">
        <v>22877.332420000002</v>
      </c>
      <c r="EB256" s="198">
        <v>23091.285510000002</v>
      </c>
      <c r="EC256" s="198"/>
      <c r="ED256" s="198">
        <v>2246.5347200000001</v>
      </c>
      <c r="EE256" s="197"/>
      <c r="EF256" s="198"/>
      <c r="EG256" s="198"/>
      <c r="EH256" s="198"/>
      <c r="EI256" s="198"/>
      <c r="EJ256" s="198"/>
      <c r="EK256" s="198"/>
      <c r="EL256" s="197">
        <v>1928681.2640089996</v>
      </c>
      <c r="EM256" s="198">
        <v>882543.97884000011</v>
      </c>
      <c r="EN256" s="198">
        <v>87086.098740000001</v>
      </c>
      <c r="EO256" s="198">
        <v>309649.54391099996</v>
      </c>
      <c r="EP256" s="198">
        <v>484332.21243000001</v>
      </c>
      <c r="EQ256" s="198"/>
      <c r="ER256" s="198">
        <v>165069.42999399998</v>
      </c>
      <c r="ES256" s="197">
        <v>47871.788999999997</v>
      </c>
      <c r="ET256" s="198">
        <v>3683.1</v>
      </c>
      <c r="EU256" s="198">
        <v>15102.1</v>
      </c>
      <c r="EV256" s="198">
        <v>6514.4</v>
      </c>
      <c r="EW256" s="198">
        <v>14103.400000000001</v>
      </c>
      <c r="EX256" s="198"/>
      <c r="EY256" s="198">
        <f t="shared" si="24"/>
        <v>8468.788999999997</v>
      </c>
      <c r="EZ256" s="197">
        <v>22680.040868751999</v>
      </c>
      <c r="FA256" s="198">
        <v>1250.6629045899999</v>
      </c>
      <c r="FB256" s="198">
        <v>6405.4727069210003</v>
      </c>
      <c r="FC256" s="198">
        <v>5479.56873833999</v>
      </c>
      <c r="FD256" s="198">
        <v>4678.4640298209997</v>
      </c>
      <c r="FE256" s="198">
        <v>64.930025970000102</v>
      </c>
      <c r="FF256" s="198">
        <f t="shared" si="17"/>
        <v>4865.8724890800077</v>
      </c>
      <c r="FG256" s="197">
        <v>17413465.092482999</v>
      </c>
      <c r="FH256" s="198">
        <v>1989069.9727670001</v>
      </c>
      <c r="FI256" s="198">
        <v>3463165.6263609999</v>
      </c>
      <c r="FJ256" s="198"/>
      <c r="FK256" s="198">
        <v>1657835.5678910001</v>
      </c>
      <c r="FL256" s="198"/>
      <c r="FM256" s="198">
        <f t="shared" si="28"/>
        <v>10303393.925463999</v>
      </c>
      <c r="FN256" s="197">
        <v>90061.076000000001</v>
      </c>
      <c r="FO256" s="198">
        <v>18028.295999999998</v>
      </c>
      <c r="FP256" s="198">
        <v>13685.206</v>
      </c>
      <c r="FQ256" s="198">
        <v>10296.76</v>
      </c>
      <c r="FR256" s="198">
        <v>17214.133000000002</v>
      </c>
      <c r="FS256" s="198"/>
      <c r="FT256" s="199">
        <f t="shared" si="25"/>
        <v>30836.680999999997</v>
      </c>
      <c r="FU256" s="197"/>
      <c r="FV256" s="198"/>
      <c r="FW256" s="198"/>
      <c r="FX256" s="198"/>
      <c r="FY256" s="198"/>
      <c r="FZ256" s="198"/>
      <c r="GA256" s="199"/>
      <c r="GB256" s="197">
        <v>2166.2750000000001</v>
      </c>
      <c r="GC256" s="198"/>
      <c r="GD256" s="198"/>
      <c r="GE256" s="198"/>
      <c r="GF256" s="198"/>
      <c r="GG256" s="198"/>
      <c r="GH256" s="199"/>
      <c r="GI256" s="197">
        <v>1252.7059999999999</v>
      </c>
      <c r="GJ256" s="198"/>
      <c r="GK256" s="198"/>
      <c r="GL256" s="198"/>
      <c r="GM256" s="198"/>
      <c r="GN256" s="198"/>
      <c r="GO256" s="199"/>
      <c r="GP256" s="197">
        <v>3781.4589999999998</v>
      </c>
      <c r="GQ256" s="198"/>
      <c r="GR256" s="198"/>
      <c r="GS256" s="198"/>
      <c r="GT256" s="198"/>
      <c r="GU256" s="198"/>
      <c r="GV256" s="199"/>
      <c r="GW256" s="197">
        <f>[2]sur!P40</f>
        <v>2428.1999999999998</v>
      </c>
      <c r="GX256" s="198">
        <f>[2]sur!Q40</f>
        <v>170.6</v>
      </c>
      <c r="GY256" s="198">
        <f>[2]sur!R40</f>
        <v>600.29999999999995</v>
      </c>
      <c r="GZ256" s="198">
        <f>[2]sur!S40</f>
        <v>387.59999999999997</v>
      </c>
      <c r="HA256" s="198"/>
      <c r="HB256" s="198"/>
      <c r="HC256" s="199">
        <f>[2]sur!V40</f>
        <v>1269.7</v>
      </c>
      <c r="HD256" s="197"/>
      <c r="HE256" s="198"/>
      <c r="HF256" s="198"/>
      <c r="HG256" s="198"/>
      <c r="HH256" s="198"/>
      <c r="HI256" s="198"/>
      <c r="HJ256" s="199"/>
      <c r="HK256" s="197">
        <v>7713.6380865810997</v>
      </c>
      <c r="HL256" s="198">
        <v>1547.8839047622589</v>
      </c>
      <c r="HM256" s="198">
        <v>705.36241389713143</v>
      </c>
      <c r="HN256" s="198">
        <v>117.35443924965639</v>
      </c>
      <c r="HO256" s="198">
        <v>3260.7382546842878</v>
      </c>
      <c r="HP256" s="198"/>
      <c r="HQ256" s="198">
        <f t="shared" si="16"/>
        <v>2082.2990739877655</v>
      </c>
      <c r="HR256" s="197">
        <v>133232.23300000001</v>
      </c>
      <c r="HT256" s="198">
        <v>63522.421000000002</v>
      </c>
      <c r="HU256" s="198">
        <v>14550.259</v>
      </c>
      <c r="HV256" s="198">
        <v>31627.591</v>
      </c>
      <c r="HW256" s="198">
        <v>4935.3649999999998</v>
      </c>
      <c r="HX256" s="198">
        <v>18596.597000000002</v>
      </c>
      <c r="HY256" s="198"/>
    </row>
    <row r="257" spans="1:233">
      <c r="A257" s="202" t="s">
        <v>500</v>
      </c>
      <c r="B257" s="203">
        <v>3163.489</v>
      </c>
      <c r="C257" s="204">
        <v>58.884999999999998</v>
      </c>
      <c r="D257" s="204">
        <v>530.05899999999997</v>
      </c>
      <c r="E257" s="204">
        <v>731.78399999999999</v>
      </c>
      <c r="F257" s="204">
        <v>583.03700000000003</v>
      </c>
      <c r="G257" s="204"/>
      <c r="H257" s="205">
        <v>1259.7239999999999</v>
      </c>
      <c r="I257" s="203">
        <v>149975.20000000001</v>
      </c>
      <c r="J257" s="204"/>
      <c r="K257" s="204"/>
      <c r="L257" s="204">
        <v>18860.5</v>
      </c>
      <c r="M257" s="204">
        <v>26873.8</v>
      </c>
      <c r="N257" s="204"/>
      <c r="O257" s="205">
        <f>[3]arg!$G123</f>
        <v>87109.299999999988</v>
      </c>
      <c r="P257" s="204">
        <v>6997.3379999999997</v>
      </c>
      <c r="Q257" s="204">
        <v>41.139000000000003</v>
      </c>
      <c r="R257" s="204">
        <v>427.47499999999997</v>
      </c>
      <c r="S257" s="204">
        <v>445.96100000000001</v>
      </c>
      <c r="T257" s="204">
        <v>4989.07</v>
      </c>
      <c r="U257" s="204"/>
      <c r="V257" s="205">
        <f t="shared" si="22"/>
        <v>1093.6929999999993</v>
      </c>
      <c r="W257" s="204">
        <v>5727.5879999999997</v>
      </c>
      <c r="X257" s="204">
        <v>129.61983000000001</v>
      </c>
      <c r="Y257" s="204">
        <v>979.0505599999999</v>
      </c>
      <c r="Z257" s="204">
        <v>425.85057</v>
      </c>
      <c r="AA257" s="204">
        <v>2634.4949100000003</v>
      </c>
      <c r="AB257" s="204"/>
      <c r="AC257" s="205">
        <f t="shared" si="14"/>
        <v>1558.5721300000005</v>
      </c>
      <c r="AD257" s="204"/>
      <c r="AE257" s="204">
        <v>41.295000000000002</v>
      </c>
      <c r="AF257" s="204">
        <v>368.81799999999998</v>
      </c>
      <c r="AG257" s="204">
        <v>596.28399999999999</v>
      </c>
      <c r="AH257" s="204">
        <v>381.44299999999998</v>
      </c>
      <c r="AI257" s="204"/>
      <c r="AJ257" s="204"/>
      <c r="AK257" s="203">
        <v>34716.175999999999</v>
      </c>
      <c r="AL257" s="204"/>
      <c r="AM257" s="204">
        <v>15063.564000000002</v>
      </c>
      <c r="AN257" s="204">
        <v>7160.280999999999</v>
      </c>
      <c r="AO257" s="204">
        <v>3480.1210000000005</v>
      </c>
      <c r="AP257" s="204">
        <v>9012.9069999999992</v>
      </c>
      <c r="AQ257" s="205"/>
      <c r="AR257" s="204">
        <v>1227294.1667559799</v>
      </c>
      <c r="AS257" s="204">
        <v>296435.31696670002</v>
      </c>
      <c r="AT257" s="204">
        <v>124801.56634991</v>
      </c>
      <c r="AU257" s="204">
        <v>63268.044214520014</v>
      </c>
      <c r="AV257" s="204">
        <v>389540.87042122998</v>
      </c>
      <c r="AW257" s="204"/>
      <c r="AX257" s="204">
        <v>353248.36880361987</v>
      </c>
      <c r="AY257" s="203">
        <v>70251139</v>
      </c>
      <c r="AZ257" s="204"/>
      <c r="BA257" s="204">
        <v>45291926</v>
      </c>
      <c r="BB257" s="204">
        <v>16370173</v>
      </c>
      <c r="BC257" s="204">
        <v>8589040</v>
      </c>
      <c r="BD257" s="204"/>
      <c r="BE257" s="204"/>
      <c r="BF257" s="203">
        <v>147173548.95000002</v>
      </c>
      <c r="BG257" s="204"/>
      <c r="BH257" s="204">
        <v>93253852.260000005</v>
      </c>
      <c r="BI257" s="204">
        <v>10031148.710000001</v>
      </c>
      <c r="BJ257" s="204">
        <v>40803521.820000008</v>
      </c>
      <c r="BK257" s="204">
        <v>3085026.16</v>
      </c>
      <c r="BL257" s="204"/>
      <c r="BM257" s="203">
        <v>8422229.4820000008</v>
      </c>
      <c r="BN257" s="204">
        <v>457275.63699999999</v>
      </c>
      <c r="BO257" s="204">
        <v>883815.89599999995</v>
      </c>
      <c r="BP257" s="204">
        <v>2675654.6809999999</v>
      </c>
      <c r="BQ257" s="204">
        <v>2227501.2059999998</v>
      </c>
      <c r="BR257" s="204"/>
      <c r="BS257" s="204">
        <f t="shared" si="2"/>
        <v>2177982.0620000008</v>
      </c>
      <c r="BT257" s="203"/>
      <c r="BU257" s="204"/>
      <c r="BV257" s="204"/>
      <c r="BW257" s="204"/>
      <c r="BX257" s="204"/>
      <c r="BY257" s="204"/>
      <c r="BZ257" s="204"/>
      <c r="CA257" s="203">
        <v>710.86099999999999</v>
      </c>
      <c r="CB257" s="204">
        <v>36.234000000000002</v>
      </c>
      <c r="CC257" s="204">
        <v>99.204999999999998</v>
      </c>
      <c r="CD257" s="204">
        <v>233.357</v>
      </c>
      <c r="CE257" s="204">
        <v>154.69999999999999</v>
      </c>
      <c r="CF257" s="204"/>
      <c r="CG257" s="204">
        <f>CA257-CB257-CC257-CD257-CE257</f>
        <v>187.36499999999995</v>
      </c>
      <c r="CH257" s="203">
        <v>13469328.700200001</v>
      </c>
      <c r="CI257" s="204"/>
      <c r="CJ257" s="204">
        <v>6157582.572540001</v>
      </c>
      <c r="CK257" s="204">
        <v>1642298.3453299999</v>
      </c>
      <c r="CL257" s="204">
        <v>4152202.4365599994</v>
      </c>
      <c r="CM257" s="204">
        <v>1517245.34577</v>
      </c>
      <c r="CN257" s="204"/>
      <c r="CO257" s="203">
        <v>9221.29522</v>
      </c>
      <c r="CP257" s="204">
        <v>808.92253000000005</v>
      </c>
      <c r="CQ257" s="204">
        <v>1430.9770000000001</v>
      </c>
      <c r="CR257" s="204">
        <v>2269.7223300000001</v>
      </c>
      <c r="CS257" s="204">
        <v>2295.2131400000003</v>
      </c>
      <c r="CT257" s="204"/>
      <c r="CU257" s="204">
        <v>2416.4602200000008</v>
      </c>
      <c r="CV257" s="203">
        <v>1819.3579999999999</v>
      </c>
      <c r="CW257" s="204">
        <v>38.899000000000001</v>
      </c>
      <c r="CX257" s="204">
        <v>334.13400000000001</v>
      </c>
      <c r="CY257" s="204">
        <v>593.48900000000003</v>
      </c>
      <c r="CZ257" s="204">
        <v>469.22699999999998</v>
      </c>
      <c r="DA257" s="204"/>
      <c r="DB257" s="204">
        <f>CV257-CW257-CX257-CY257-CZ257</f>
        <v>383.60899999999981</v>
      </c>
      <c r="DC257" s="203">
        <v>76134.899999999994</v>
      </c>
      <c r="DD257" s="204">
        <v>8317.0319999999992</v>
      </c>
      <c r="DE257" s="204">
        <v>15151.911</v>
      </c>
      <c r="DF257" s="204"/>
      <c r="DG257" s="204">
        <v>20044.57</v>
      </c>
      <c r="DH257" s="204"/>
      <c r="DI257" s="204">
        <f t="shared" si="23"/>
        <v>32621.386999999988</v>
      </c>
      <c r="DJ257" s="203">
        <f>3088.2+58662.8</f>
        <v>61751</v>
      </c>
      <c r="DK257" s="204">
        <f>2091.1+11658.5</f>
        <v>13749.6</v>
      </c>
      <c r="DL257" s="204">
        <f>1873.9+0.1+14605.7</f>
        <v>16479.7</v>
      </c>
      <c r="DM257" s="204">
        <v>5502.3</v>
      </c>
      <c r="DN257" s="204">
        <f>17406-DM257</f>
        <v>11903.7</v>
      </c>
      <c r="DO257" s="204"/>
      <c r="DP257" s="204">
        <f t="shared" si="27"/>
        <v>14115.699999999997</v>
      </c>
      <c r="DQ257" s="203"/>
      <c r="DR257" s="204"/>
      <c r="DS257" s="204"/>
      <c r="DT257" s="204"/>
      <c r="DU257" s="204"/>
      <c r="DV257" s="204"/>
      <c r="DW257" s="204"/>
      <c r="DX257" s="203">
        <v>138660.40745</v>
      </c>
      <c r="DY257" s="204"/>
      <c r="DZ257" s="204">
        <v>90334.205519999989</v>
      </c>
      <c r="EA257" s="204">
        <v>23068.420389999999</v>
      </c>
      <c r="EB257" s="204">
        <v>22938.161760000003</v>
      </c>
      <c r="EC257" s="204"/>
      <c r="ED257" s="204">
        <v>2319.6197700000002</v>
      </c>
      <c r="EE257" s="203">
        <v>246167.524</v>
      </c>
      <c r="EF257" s="204">
        <v>9302.6460000000006</v>
      </c>
      <c r="EG257" s="204">
        <v>64283.332000000002</v>
      </c>
      <c r="EH257" s="204">
        <v>12902.118</v>
      </c>
      <c r="EI257" s="204">
        <v>90863.495999999999</v>
      </c>
      <c r="EJ257" s="204"/>
      <c r="EK257" s="204">
        <f t="shared" ref="EK257:EK274" si="29">EE257-EF257-EG257-EH257-EI257</f>
        <v>68815.932000000015</v>
      </c>
      <c r="EL257" s="203">
        <v>1892444.1525249998</v>
      </c>
      <c r="EM257" s="204">
        <v>877000.01104899973</v>
      </c>
      <c r="EN257" s="204">
        <v>83084.414143000002</v>
      </c>
      <c r="EO257" s="204">
        <v>306699.15265200008</v>
      </c>
      <c r="EP257" s="204">
        <v>468095.41420999996</v>
      </c>
      <c r="EQ257" s="204"/>
      <c r="ER257" s="204">
        <v>157565.160367</v>
      </c>
      <c r="ES257" s="203">
        <v>47198.625999999997</v>
      </c>
      <c r="ET257" s="204">
        <v>3596.3</v>
      </c>
      <c r="EU257" s="204">
        <v>15165.1</v>
      </c>
      <c r="EV257" s="204">
        <v>6510.9</v>
      </c>
      <c r="EW257" s="204">
        <v>13678</v>
      </c>
      <c r="EX257" s="204"/>
      <c r="EY257" s="204">
        <f t="shared" si="24"/>
        <v>8248.3259999999937</v>
      </c>
      <c r="EZ257" s="203">
        <v>21855.040654210999</v>
      </c>
      <c r="FA257" s="204">
        <v>1311.4793443399999</v>
      </c>
      <c r="FB257" s="204">
        <v>5734.8852699410099</v>
      </c>
      <c r="FC257" s="204">
        <v>5580.1614528500004</v>
      </c>
      <c r="FD257" s="204">
        <v>4695.8497080999896</v>
      </c>
      <c r="FE257" s="204">
        <v>62.115743539999897</v>
      </c>
      <c r="FF257" s="204">
        <f t="shared" si="17"/>
        <v>4532.6648789800001</v>
      </c>
      <c r="FG257" s="203">
        <v>18094062.930845</v>
      </c>
      <c r="FH257" s="204">
        <v>2034933.4512159997</v>
      </c>
      <c r="FI257" s="204">
        <v>3485310.5628470005</v>
      </c>
      <c r="FJ257" s="204"/>
      <c r="FK257" s="204">
        <v>1709810.406371</v>
      </c>
      <c r="FL257" s="204"/>
      <c r="FM257" s="204">
        <f t="shared" si="28"/>
        <v>10864008.510410998</v>
      </c>
      <c r="FN257" s="203">
        <v>91879.144</v>
      </c>
      <c r="FO257" s="204">
        <v>17945.901999999998</v>
      </c>
      <c r="FP257" s="204">
        <v>13962.233</v>
      </c>
      <c r="FQ257" s="204">
        <v>11609.174000000001</v>
      </c>
      <c r="FR257" s="204">
        <v>16437.784</v>
      </c>
      <c r="FS257" s="204"/>
      <c r="FT257" s="205">
        <f t="shared" si="25"/>
        <v>31924.050999999999</v>
      </c>
      <c r="FU257" s="203">
        <v>352274.29781958967</v>
      </c>
      <c r="FV257" s="204">
        <v>23895.194407129999</v>
      </c>
      <c r="FW257" s="204">
        <v>59208.314931569497</v>
      </c>
      <c r="FX257" s="204">
        <v>72182.024556129996</v>
      </c>
      <c r="FY257" s="204">
        <v>83463.767928700239</v>
      </c>
      <c r="FZ257" s="204"/>
      <c r="GA257" s="205">
        <f>FU257-FV257-FW257-FX257-FY257</f>
        <v>113524.99599605992</v>
      </c>
      <c r="GB257" s="203">
        <v>2186.462</v>
      </c>
      <c r="GC257" s="204">
        <v>23.882999999999999</v>
      </c>
      <c r="GD257" s="204">
        <v>243.286</v>
      </c>
      <c r="GE257" s="204">
        <v>402.01900000000001</v>
      </c>
      <c r="GF257" s="204">
        <v>387.738</v>
      </c>
      <c r="GG257" s="204"/>
      <c r="GH257" s="205">
        <f>GB257-GC257-GD257-GE257-GF257</f>
        <v>1129.5360000000001</v>
      </c>
      <c r="GI257" s="203">
        <v>1252.3119999999999</v>
      </c>
      <c r="GJ257" s="204">
        <v>52.689</v>
      </c>
      <c r="GK257" s="204">
        <v>138.114</v>
      </c>
      <c r="GL257" s="204">
        <v>358.488</v>
      </c>
      <c r="GM257" s="204">
        <v>254.34200000000001</v>
      </c>
      <c r="GN257" s="204"/>
      <c r="GO257" s="205">
        <f>GI257-GJ257-GK257-GL257-GM257</f>
        <v>448.67899999999975</v>
      </c>
      <c r="GP257" s="203">
        <v>3814.4960000000001</v>
      </c>
      <c r="GQ257" s="204">
        <v>85.668000000000006</v>
      </c>
      <c r="GR257" s="204">
        <v>1137.1410000000001</v>
      </c>
      <c r="GS257" s="204">
        <v>575.83299999999997</v>
      </c>
      <c r="GT257" s="204">
        <v>588.28</v>
      </c>
      <c r="GU257" s="204"/>
      <c r="GV257" s="205">
        <f>GP257-GQ257-GR257-GS257-GT257</f>
        <v>1427.5739999999998</v>
      </c>
      <c r="GW257" s="203">
        <f>[2]sur!P41</f>
        <v>2488.1999999999998</v>
      </c>
      <c r="GX257" s="204">
        <f>[2]sur!Q41</f>
        <v>174.4</v>
      </c>
      <c r="GY257" s="204">
        <f>[2]sur!R41</f>
        <v>611.4</v>
      </c>
      <c r="GZ257" s="204">
        <f>[2]sur!S41</f>
        <v>396.2</v>
      </c>
      <c r="HA257" s="204"/>
      <c r="HB257" s="204"/>
      <c r="HC257" s="205">
        <f>[2]sur!V41</f>
        <v>1306.1999999999998</v>
      </c>
      <c r="HD257" s="203">
        <f>'[2]t&amp;t'!W389</f>
        <v>45703.899999999994</v>
      </c>
      <c r="HE257" s="204">
        <f>'[2]t&amp;t'!X389</f>
        <v>3318.2000000000003</v>
      </c>
      <c r="HF257" s="204">
        <f>'[2]t&amp;t'!Y389</f>
        <v>4164.2</v>
      </c>
      <c r="HG257" s="204">
        <f>'[2]t&amp;t'!Z389</f>
        <v>8288.5</v>
      </c>
      <c r="HH257" s="204">
        <f>'[2]t&amp;t'!AA389</f>
        <v>12947.3</v>
      </c>
      <c r="HI257" s="204"/>
      <c r="HJ257" s="205">
        <f>'[2]t&amp;t'!AC389</f>
        <v>16985.699999999997</v>
      </c>
      <c r="HK257" s="203">
        <v>7450.0246053832007</v>
      </c>
      <c r="HL257" s="204">
        <v>1580.0391123847587</v>
      </c>
      <c r="HM257" s="204">
        <v>713.94326102429682</v>
      </c>
      <c r="HN257" s="204">
        <v>131.34718786149989</v>
      </c>
      <c r="HO257" s="204">
        <v>2939.6361697308175</v>
      </c>
      <c r="HP257" s="204"/>
      <c r="HQ257" s="204">
        <f t="shared" si="16"/>
        <v>2085.058874381828</v>
      </c>
      <c r="HR257" s="203">
        <v>136072.446</v>
      </c>
      <c r="HS257" s="206"/>
      <c r="HT257" s="204">
        <v>64785.23</v>
      </c>
      <c r="HU257" s="204">
        <v>15260.43</v>
      </c>
      <c r="HV257" s="204">
        <v>31444.330999999998</v>
      </c>
      <c r="HW257" s="204">
        <v>4896.7060000000001</v>
      </c>
      <c r="HX257" s="204">
        <v>19685.749</v>
      </c>
      <c r="HY257" s="198"/>
    </row>
    <row r="258" spans="1:233">
      <c r="A258" s="185" t="s">
        <v>676</v>
      </c>
      <c r="B258" s="197">
        <v>3165.0610000000001</v>
      </c>
      <c r="C258" s="198"/>
      <c r="D258" s="198"/>
      <c r="E258" s="198"/>
      <c r="F258" s="198"/>
      <c r="G258" s="198"/>
      <c r="H258" s="199"/>
      <c r="I258" s="197">
        <v>145789.6</v>
      </c>
      <c r="J258" s="198"/>
      <c r="K258" s="198"/>
      <c r="L258" s="198">
        <v>18907.599999999999</v>
      </c>
      <c r="M258" s="198">
        <v>26877.5</v>
      </c>
      <c r="N258" s="198"/>
      <c r="O258" s="199">
        <f>[3]arg!$G124</f>
        <v>86274.099999999991</v>
      </c>
      <c r="P258" s="198">
        <v>6884.7759999999998</v>
      </c>
      <c r="Q258" s="198">
        <v>41.463999999999999</v>
      </c>
      <c r="R258" s="198">
        <v>419.42200000000003</v>
      </c>
      <c r="S258" s="198">
        <v>444.67899999999997</v>
      </c>
      <c r="T258" s="198">
        <v>4976.8239999999996</v>
      </c>
      <c r="U258" s="198"/>
      <c r="V258" s="199">
        <f t="shared" si="22"/>
        <v>1002.3869999999997</v>
      </c>
      <c r="W258" s="198">
        <v>5701.7460000000001</v>
      </c>
      <c r="X258" s="198">
        <v>125.25367</v>
      </c>
      <c r="Y258" s="198">
        <v>970.28063999999995</v>
      </c>
      <c r="Z258" s="198">
        <v>433.84424000000001</v>
      </c>
      <c r="AA258" s="198">
        <v>2631.8023700000003</v>
      </c>
      <c r="AB258" s="198"/>
      <c r="AC258" s="199">
        <f t="shared" si="14"/>
        <v>1540.5650799999994</v>
      </c>
      <c r="AD258" s="198"/>
      <c r="AE258" s="198">
        <v>44.058</v>
      </c>
      <c r="AF258" s="198">
        <v>361.666</v>
      </c>
      <c r="AG258" s="198">
        <v>609.22900000000004</v>
      </c>
      <c r="AH258" s="198">
        <v>375.55900000000003</v>
      </c>
      <c r="AI258" s="198"/>
      <c r="AJ258" s="198"/>
      <c r="AK258" s="197"/>
      <c r="AL258" s="198"/>
      <c r="AM258" s="198"/>
      <c r="AN258" s="198"/>
      <c r="AO258" s="198"/>
      <c r="AP258" s="198"/>
      <c r="AQ258" s="199"/>
      <c r="AR258" s="198">
        <v>1229369.8333944222</v>
      </c>
      <c r="AS258" s="198">
        <v>294021.41320397001</v>
      </c>
      <c r="AT258" s="198">
        <v>122699.33955923001</v>
      </c>
      <c r="AU258" s="198">
        <v>64371.59896316001</v>
      </c>
      <c r="AV258" s="198">
        <v>394471.8321098545</v>
      </c>
      <c r="AW258" s="198"/>
      <c r="AX258" s="198">
        <v>353805.64955820754</v>
      </c>
      <c r="AY258" s="197">
        <v>69646254</v>
      </c>
      <c r="AZ258" s="198"/>
      <c r="BA258" s="198">
        <v>44730423</v>
      </c>
      <c r="BB258" s="198">
        <v>16364665</v>
      </c>
      <c r="BC258" s="198">
        <v>8551166</v>
      </c>
      <c r="BD258" s="198"/>
      <c r="BE258" s="198"/>
      <c r="BF258" s="197">
        <v>147113830.31999999</v>
      </c>
      <c r="BG258" s="198"/>
      <c r="BH258" s="198">
        <v>93236634.50999999</v>
      </c>
      <c r="BI258" s="198">
        <v>10182912.629999999</v>
      </c>
      <c r="BJ258" s="198">
        <v>40561675.719999991</v>
      </c>
      <c r="BK258" s="198">
        <v>3132607.46</v>
      </c>
      <c r="BL258" s="198"/>
      <c r="BM258" s="197">
        <v>8431052.5429999996</v>
      </c>
      <c r="BN258" s="198">
        <v>449919.21600000001</v>
      </c>
      <c r="BO258" s="198">
        <v>876908.84700000007</v>
      </c>
      <c r="BP258" s="198">
        <v>2701546.9529999997</v>
      </c>
      <c r="BQ258" s="198">
        <v>2220736.077</v>
      </c>
      <c r="BR258" s="198"/>
      <c r="BS258" s="198">
        <f t="shared" si="2"/>
        <v>2181941.4499999993</v>
      </c>
      <c r="BT258" s="197"/>
      <c r="BU258" s="198"/>
      <c r="BV258" s="198"/>
      <c r="BW258" s="198"/>
      <c r="BX258" s="198"/>
      <c r="BY258" s="198"/>
      <c r="BZ258" s="198"/>
      <c r="CA258" s="197">
        <v>713.11199999999997</v>
      </c>
      <c r="CB258" s="198"/>
      <c r="CC258" s="198"/>
      <c r="CD258" s="198"/>
      <c r="CE258" s="198"/>
      <c r="CF258" s="198"/>
      <c r="CG258" s="198"/>
      <c r="CH258" s="197">
        <v>13405258.765139999</v>
      </c>
      <c r="CI258" s="198"/>
      <c r="CJ258" s="198">
        <v>6078696.7736699991</v>
      </c>
      <c r="CK258" s="198">
        <v>1656904.71899</v>
      </c>
      <c r="CL258" s="198">
        <v>4169196.0694199996</v>
      </c>
      <c r="CM258" s="198">
        <v>1500461.2030599997</v>
      </c>
      <c r="CN258" s="198"/>
      <c r="CO258" s="197">
        <v>9082.6521899999989</v>
      </c>
      <c r="CP258" s="198">
        <v>782.00575000000003</v>
      </c>
      <c r="CQ258" s="198">
        <v>1389.8696399999999</v>
      </c>
      <c r="CR258" s="198">
        <v>2263.0000800000003</v>
      </c>
      <c r="CS258" s="198">
        <v>2288.36447</v>
      </c>
      <c r="CT258" s="198"/>
      <c r="CU258" s="198">
        <v>2359.4122499999999</v>
      </c>
      <c r="CV258" s="197">
        <v>1831.4559999999999</v>
      </c>
      <c r="CW258" s="198"/>
      <c r="CX258" s="198"/>
      <c r="CY258" s="198"/>
      <c r="CZ258" s="198"/>
      <c r="DA258" s="198"/>
      <c r="DB258" s="198"/>
      <c r="DC258" s="197">
        <v>76246.801000000007</v>
      </c>
      <c r="DD258" s="198">
        <v>8375.4310000000005</v>
      </c>
      <c r="DE258" s="198">
        <v>15292.218000000001</v>
      </c>
      <c r="DF258" s="198"/>
      <c r="DG258" s="198">
        <v>20068.61</v>
      </c>
      <c r="DH258" s="198"/>
      <c r="DI258" s="198">
        <f t="shared" si="23"/>
        <v>32510.542000000009</v>
      </c>
      <c r="DJ258" s="197">
        <f>2986.3+57771.1</f>
        <v>60757.4</v>
      </c>
      <c r="DK258" s="198">
        <f>2061.6+11771.5</f>
        <v>13833.1</v>
      </c>
      <c r="DL258" s="198">
        <f>1836+13972.3</f>
        <v>15808.3</v>
      </c>
      <c r="DM258" s="198">
        <v>5031.8999999999996</v>
      </c>
      <c r="DN258" s="198">
        <f>16881.6-DM258</f>
        <v>11849.699999999999</v>
      </c>
      <c r="DO258" s="198"/>
      <c r="DP258" s="198">
        <f>DJ258-SUM(DK258:DN258)</f>
        <v>14234.400000000001</v>
      </c>
      <c r="DQ258" s="197"/>
      <c r="DR258" s="198"/>
      <c r="DS258" s="198"/>
      <c r="DT258" s="198"/>
      <c r="DU258" s="198"/>
      <c r="DV258" s="198"/>
      <c r="DW258" s="198"/>
      <c r="DX258" s="197">
        <v>136064.90590426998</v>
      </c>
      <c r="DY258" s="198"/>
      <c r="DZ258" s="198">
        <v>88630.891294870002</v>
      </c>
      <c r="EA258" s="198">
        <v>23457.274784119996</v>
      </c>
      <c r="EB258" s="198">
        <v>22203.046336479998</v>
      </c>
      <c r="EC258" s="198">
        <v>1773.6934887999998</v>
      </c>
      <c r="ED258" s="198"/>
      <c r="EE258" s="197">
        <v>252415.58499999999</v>
      </c>
      <c r="EF258" s="198">
        <v>9563.8960000000006</v>
      </c>
      <c r="EG258" s="198">
        <v>68358.793000000005</v>
      </c>
      <c r="EH258" s="198">
        <v>14519.287</v>
      </c>
      <c r="EI258" s="198">
        <v>91407.184999999998</v>
      </c>
      <c r="EJ258" s="198"/>
      <c r="EK258" s="198">
        <f t="shared" si="29"/>
        <v>68566.42399999997</v>
      </c>
      <c r="EL258" s="197">
        <v>1909493.8101220003</v>
      </c>
      <c r="EM258" s="198">
        <v>899306.86770300008</v>
      </c>
      <c r="EN258" s="198">
        <v>77607.485095999975</v>
      </c>
      <c r="EO258" s="198">
        <v>310757.31961599999</v>
      </c>
      <c r="EP258" s="198">
        <v>460943.26631500007</v>
      </c>
      <c r="EQ258" s="198"/>
      <c r="ER258" s="198">
        <v>160878.87150600002</v>
      </c>
      <c r="ES258" s="197">
        <v>46544.046999999999</v>
      </c>
      <c r="ET258" s="198">
        <v>3524.1</v>
      </c>
      <c r="EU258" s="198">
        <v>15580.7</v>
      </c>
      <c r="EV258" s="198">
        <v>6519.9</v>
      </c>
      <c r="EW258" s="198">
        <v>13287</v>
      </c>
      <c r="EX258" s="198"/>
      <c r="EY258" s="198">
        <f t="shared" si="24"/>
        <v>7632.3470000000016</v>
      </c>
      <c r="EZ258" s="197">
        <v>22408.91</v>
      </c>
      <c r="FA258" s="198">
        <v>1341.83</v>
      </c>
      <c r="FB258" s="198">
        <v>5888.12</v>
      </c>
      <c r="FC258" s="198">
        <v>5589.94</v>
      </c>
      <c r="FD258" s="198">
        <v>4700.71</v>
      </c>
      <c r="FE258" s="198">
        <v>69.02</v>
      </c>
      <c r="FF258" s="198">
        <f t="shared" si="17"/>
        <v>4888.310000000004</v>
      </c>
      <c r="FG258" s="197">
        <v>18730718.065407999</v>
      </c>
      <c r="FH258" s="198">
        <v>2069985.4637779999</v>
      </c>
      <c r="FI258" s="198">
        <v>3705984.6852879999</v>
      </c>
      <c r="FJ258" s="198"/>
      <c r="FK258" s="198">
        <v>1930830.6483590002</v>
      </c>
      <c r="FL258" s="198"/>
      <c r="FM258" s="198">
        <f t="shared" si="28"/>
        <v>11023917.267982999</v>
      </c>
      <c r="FN258" s="197">
        <v>91372.826000000001</v>
      </c>
      <c r="FO258" s="198">
        <v>18401.437000000002</v>
      </c>
      <c r="FP258" s="198">
        <v>13425.109</v>
      </c>
      <c r="FQ258" s="198">
        <v>11696.191999999999</v>
      </c>
      <c r="FR258" s="198">
        <v>16073.617</v>
      </c>
      <c r="FS258" s="198"/>
      <c r="FT258" s="199">
        <f t="shared" si="25"/>
        <v>31776.471000000005</v>
      </c>
      <c r="FU258" s="197"/>
      <c r="FV258" s="198"/>
      <c r="FW258" s="198"/>
      <c r="FX258" s="198"/>
      <c r="FY258" s="198"/>
      <c r="FZ258" s="198"/>
      <c r="GA258" s="199"/>
      <c r="GB258" s="197">
        <v>2210.893</v>
      </c>
      <c r="GC258" s="198"/>
      <c r="GD258" s="198"/>
      <c r="GE258" s="198"/>
      <c r="GF258" s="198"/>
      <c r="GG258" s="198"/>
      <c r="GH258" s="199"/>
      <c r="GI258" s="197">
        <v>1253.3989999999999</v>
      </c>
      <c r="GJ258" s="198"/>
      <c r="GK258" s="198"/>
      <c r="GL258" s="198"/>
      <c r="GM258" s="198"/>
      <c r="GN258" s="198"/>
      <c r="GO258" s="199"/>
      <c r="GP258" s="197">
        <v>3855.2890000000002</v>
      </c>
      <c r="GQ258" s="198"/>
      <c r="GR258" s="198"/>
      <c r="GS258" s="198"/>
      <c r="GT258" s="198"/>
      <c r="GU258" s="198"/>
      <c r="GV258" s="199"/>
      <c r="GW258" s="197">
        <f>[2]sur!P42</f>
        <v>2476.6</v>
      </c>
      <c r="GX258" s="198">
        <f>[2]sur!Q42</f>
        <v>174</v>
      </c>
      <c r="GY258" s="198">
        <f>[2]sur!R42</f>
        <v>612.9</v>
      </c>
      <c r="GZ258" s="198">
        <f>[2]sur!S42</f>
        <v>403.3</v>
      </c>
      <c r="HA258" s="198"/>
      <c r="HB258" s="198"/>
      <c r="HC258" s="199">
        <f>[2]sur!V42</f>
        <v>1286.4000000000001</v>
      </c>
      <c r="HD258" s="197"/>
      <c r="HE258" s="198"/>
      <c r="HF258" s="198"/>
      <c r="HG258" s="198"/>
      <c r="HH258" s="198"/>
      <c r="HI258" s="198"/>
      <c r="HJ258" s="199"/>
      <c r="HK258" s="197">
        <v>7604.9652457594993</v>
      </c>
      <c r="HL258" s="198">
        <v>1555.5674217440232</v>
      </c>
      <c r="HM258" s="198">
        <v>698.52810351978746</v>
      </c>
      <c r="HN258" s="198">
        <v>124.62716585243929</v>
      </c>
      <c r="HO258" s="198">
        <v>3210.7457679274203</v>
      </c>
      <c r="HP258" s="198"/>
      <c r="HQ258" s="198">
        <f t="shared" si="16"/>
        <v>2015.4967867158284</v>
      </c>
      <c r="HR258" s="197">
        <v>133532.72</v>
      </c>
      <c r="HT258" s="198">
        <v>61732.462</v>
      </c>
      <c r="HU258" s="198">
        <v>15532.958000000001</v>
      </c>
      <c r="HV258" s="198">
        <v>32315.422999999999</v>
      </c>
      <c r="HW258" s="198">
        <v>4718.0879999999997</v>
      </c>
      <c r="HX258" s="198">
        <v>19233.789000000001</v>
      </c>
      <c r="HY258" s="198"/>
    </row>
    <row r="259" spans="1:233">
      <c r="A259" s="185" t="s">
        <v>490</v>
      </c>
      <c r="B259" s="197">
        <v>3132.61</v>
      </c>
      <c r="C259" s="198"/>
      <c r="D259" s="198"/>
      <c r="E259" s="198"/>
      <c r="F259" s="198"/>
      <c r="G259" s="198"/>
      <c r="H259" s="199"/>
      <c r="I259" s="197">
        <v>145610.6</v>
      </c>
      <c r="J259" s="198"/>
      <c r="K259" s="198"/>
      <c r="L259" s="198">
        <v>18943.3</v>
      </c>
      <c r="M259" s="198">
        <v>26833.5</v>
      </c>
      <c r="N259" s="198"/>
      <c r="O259" s="199">
        <f>[3]arg!$G125</f>
        <v>88014</v>
      </c>
      <c r="P259" s="198">
        <v>6919.4549999999999</v>
      </c>
      <c r="Q259" s="198">
        <v>39.625999999999998</v>
      </c>
      <c r="R259" s="198">
        <v>410.9</v>
      </c>
      <c r="S259" s="198">
        <v>452.33499999999998</v>
      </c>
      <c r="T259" s="198">
        <v>4973.6080000000002</v>
      </c>
      <c r="U259" s="198"/>
      <c r="V259" s="199">
        <f t="shared" si="22"/>
        <v>1042.9859999999999</v>
      </c>
      <c r="W259" s="198">
        <v>5705.5330000000004</v>
      </c>
      <c r="X259" s="198">
        <v>127.00959</v>
      </c>
      <c r="Y259" s="198">
        <v>962.74863000000005</v>
      </c>
      <c r="Z259" s="198">
        <v>424.28368</v>
      </c>
      <c r="AA259" s="198">
        <v>2632.6769199999999</v>
      </c>
      <c r="AB259" s="198"/>
      <c r="AC259" s="199">
        <f t="shared" si="14"/>
        <v>1558.8141800000012</v>
      </c>
      <c r="AD259" s="198"/>
      <c r="AE259" s="198">
        <v>43.331000000000003</v>
      </c>
      <c r="AF259" s="198">
        <v>357.46199999999999</v>
      </c>
      <c r="AG259" s="198">
        <v>613.34400000000005</v>
      </c>
      <c r="AH259" s="198">
        <v>377.57499999999999</v>
      </c>
      <c r="AI259" s="198"/>
      <c r="AJ259" s="198"/>
      <c r="AK259" s="197"/>
      <c r="AL259" s="198"/>
      <c r="AM259" s="198"/>
      <c r="AN259" s="198"/>
      <c r="AO259" s="198"/>
      <c r="AP259" s="198"/>
      <c r="AQ259" s="199"/>
      <c r="AR259" s="198">
        <v>1229093.6453482916</v>
      </c>
      <c r="AS259" s="198">
        <v>298826.44964155991</v>
      </c>
      <c r="AT259" s="198">
        <v>118815.89268375003</v>
      </c>
      <c r="AU259" s="198">
        <v>66072.032365209991</v>
      </c>
      <c r="AV259" s="198">
        <v>399092.05537315004</v>
      </c>
      <c r="AW259" s="198"/>
      <c r="AX259" s="198">
        <v>346287.21528462158</v>
      </c>
      <c r="AY259" s="197">
        <v>68727386</v>
      </c>
      <c r="AZ259" s="198"/>
      <c r="BA259" s="198">
        <v>44017409</v>
      </c>
      <c r="BB259" s="198">
        <v>16249222</v>
      </c>
      <c r="BC259" s="198">
        <v>8460755</v>
      </c>
      <c r="BD259" s="198"/>
      <c r="BE259" s="198"/>
      <c r="BF259" s="197">
        <v>147516196.64000002</v>
      </c>
      <c r="BG259" s="198"/>
      <c r="BH259" s="198">
        <v>93532022.200000003</v>
      </c>
      <c r="BI259" s="198">
        <v>10358894.740000002</v>
      </c>
      <c r="BJ259" s="198">
        <v>40412409.210000008</v>
      </c>
      <c r="BK259" s="198">
        <v>3212870.49</v>
      </c>
      <c r="BL259" s="198"/>
      <c r="BM259" s="197">
        <v>8442124.2799999993</v>
      </c>
      <c r="BN259" s="198">
        <v>453596.63500000001</v>
      </c>
      <c r="BO259" s="198">
        <v>887708.48599999992</v>
      </c>
      <c r="BP259" s="198">
        <v>2717302.679</v>
      </c>
      <c r="BQ259" s="198">
        <v>2225321.486</v>
      </c>
      <c r="BR259" s="198"/>
      <c r="BS259" s="198">
        <f t="shared" si="2"/>
        <v>2158194.993999999</v>
      </c>
      <c r="BT259" s="197"/>
      <c r="BU259" s="198"/>
      <c r="BV259" s="198"/>
      <c r="BW259" s="198"/>
      <c r="BX259" s="198"/>
      <c r="BY259" s="198"/>
      <c r="BZ259" s="198"/>
      <c r="CA259" s="197">
        <v>716.16700000000003</v>
      </c>
      <c r="CB259" s="198"/>
      <c r="CC259" s="198"/>
      <c r="CD259" s="198"/>
      <c r="CE259" s="198"/>
      <c r="CF259" s="198"/>
      <c r="CG259" s="198"/>
      <c r="CH259" s="197">
        <v>13423160.547869999</v>
      </c>
      <c r="CI259" s="198"/>
      <c r="CJ259" s="198">
        <v>6112111.0126599986</v>
      </c>
      <c r="CK259" s="198">
        <v>1674549.88221</v>
      </c>
      <c r="CL259" s="198">
        <v>4141962.3446100005</v>
      </c>
      <c r="CM259" s="198">
        <v>1494537.3083899999</v>
      </c>
      <c r="CN259" s="198"/>
      <c r="CO259" s="197">
        <v>9007.0460000000003</v>
      </c>
      <c r="CP259" s="198">
        <v>767.40463999999997</v>
      </c>
      <c r="CQ259" s="198">
        <v>1373.7330200000001</v>
      </c>
      <c r="CR259" s="198">
        <v>2256.4547299999999</v>
      </c>
      <c r="CS259" s="198">
        <v>2287.2913599999997</v>
      </c>
      <c r="CT259" s="198"/>
      <c r="CU259" s="198">
        <v>2322.1622499999999</v>
      </c>
      <c r="CV259" s="197">
        <v>1848.3050000000001</v>
      </c>
      <c r="CW259" s="198"/>
      <c r="CX259" s="198"/>
      <c r="CY259" s="198"/>
      <c r="CZ259" s="198"/>
      <c r="DA259" s="198"/>
      <c r="DB259" s="198"/>
      <c r="DC259" s="197">
        <v>76071.410999999993</v>
      </c>
      <c r="DD259" s="198">
        <v>8150.8450000000003</v>
      </c>
      <c r="DE259" s="198">
        <v>15450.092000000001</v>
      </c>
      <c r="DF259" s="198"/>
      <c r="DG259" s="198">
        <v>19985.072</v>
      </c>
      <c r="DH259" s="198"/>
      <c r="DI259" s="198">
        <f t="shared" si="23"/>
        <v>32485.401999999987</v>
      </c>
      <c r="DJ259" s="197">
        <f>3070.5+57677.7</f>
        <v>60748.2</v>
      </c>
      <c r="DK259" s="198">
        <f>2042.5+11406.6</f>
        <v>13449.1</v>
      </c>
      <c r="DL259" s="198">
        <f>1894.8+14131.6</f>
        <v>16026.4</v>
      </c>
      <c r="DM259" s="198">
        <v>5197.7</v>
      </c>
      <c r="DN259" s="198">
        <f>16918.1-DM259</f>
        <v>11720.399999999998</v>
      </c>
      <c r="DO259" s="198"/>
      <c r="DP259" s="198">
        <f>DJ259-SUM(DK259:DN259)</f>
        <v>14354.600000000006</v>
      </c>
      <c r="DQ259" s="197"/>
      <c r="DR259" s="198"/>
      <c r="DS259" s="198"/>
      <c r="DT259" s="198"/>
      <c r="DU259" s="198"/>
      <c r="DV259" s="198"/>
      <c r="DW259" s="198"/>
      <c r="DX259" s="197"/>
      <c r="DY259" s="198"/>
      <c r="DZ259" s="198"/>
      <c r="EA259" s="198"/>
      <c r="EB259" s="198"/>
      <c r="EC259" s="198"/>
      <c r="ED259" s="198"/>
      <c r="EE259" s="197">
        <v>258586.96</v>
      </c>
      <c r="EF259" s="198">
        <v>9252.9240000000009</v>
      </c>
      <c r="EG259" s="198">
        <v>70111.892000000007</v>
      </c>
      <c r="EH259" s="198">
        <v>14648.177</v>
      </c>
      <c r="EI259" s="198">
        <v>92040.591</v>
      </c>
      <c r="EJ259" s="198"/>
      <c r="EK259" s="198">
        <f t="shared" si="29"/>
        <v>72533.375999999975</v>
      </c>
      <c r="EL259" s="197">
        <v>1911316.3450030005</v>
      </c>
      <c r="EM259" s="198">
        <v>916577.04590999999</v>
      </c>
      <c r="EN259" s="198">
        <v>75110.354101000004</v>
      </c>
      <c r="EO259" s="198">
        <v>313113.359536</v>
      </c>
      <c r="EP259" s="198">
        <v>444935.7940520001</v>
      </c>
      <c r="EQ259" s="198"/>
      <c r="ER259" s="198">
        <v>161579.79124600004</v>
      </c>
      <c r="ES259" s="197">
        <v>46260.351000000002</v>
      </c>
      <c r="ET259" s="198">
        <v>3556.7</v>
      </c>
      <c r="EU259" s="198">
        <v>15566.4</v>
      </c>
      <c r="EV259" s="198">
        <v>6527</v>
      </c>
      <c r="EW259" s="198">
        <v>13046.7</v>
      </c>
      <c r="EX259" s="198"/>
      <c r="EY259" s="198">
        <f t="shared" si="24"/>
        <v>7563.5510000000031</v>
      </c>
      <c r="EZ259" s="197">
        <v>22469.3488497</v>
      </c>
      <c r="FA259" s="198">
        <v>1323.8750634400001</v>
      </c>
      <c r="FB259" s="198">
        <v>5883.6161230099997</v>
      </c>
      <c r="FC259" s="198">
        <v>5604.1011378699995</v>
      </c>
      <c r="FD259" s="198">
        <v>4726.7942574099998</v>
      </c>
      <c r="FE259" s="198">
        <v>70.376747179999896</v>
      </c>
      <c r="FF259" s="198">
        <f t="shared" si="17"/>
        <v>4930.9622679700024</v>
      </c>
      <c r="FG259" s="197">
        <v>19099449.334829003</v>
      </c>
      <c r="FH259" s="198">
        <v>2131692.7658980004</v>
      </c>
      <c r="FI259" s="198">
        <v>3673922.6468049996</v>
      </c>
      <c r="FJ259" s="198"/>
      <c r="FK259" s="198">
        <v>1947255.6669910001</v>
      </c>
      <c r="FL259" s="198"/>
      <c r="FM259" s="198">
        <f t="shared" si="28"/>
        <v>11346578.255135003</v>
      </c>
      <c r="FN259" s="197">
        <v>92632.456999999995</v>
      </c>
      <c r="FO259" s="198">
        <v>18321.871999999999</v>
      </c>
      <c r="FP259" s="198">
        <v>13717.543</v>
      </c>
      <c r="FQ259" s="198">
        <v>11980.19</v>
      </c>
      <c r="FR259" s="198">
        <v>16314.919</v>
      </c>
      <c r="FS259" s="198"/>
      <c r="FT259" s="199">
        <f t="shared" si="25"/>
        <v>32297.93299999999</v>
      </c>
      <c r="FU259" s="197"/>
      <c r="FV259" s="198"/>
      <c r="FW259" s="198"/>
      <c r="FX259" s="198"/>
      <c r="FY259" s="198"/>
      <c r="FZ259" s="198"/>
      <c r="GA259" s="199"/>
      <c r="GB259" s="197">
        <v>2194.3919999999998</v>
      </c>
      <c r="GC259" s="198"/>
      <c r="GD259" s="198"/>
      <c r="GE259" s="198"/>
      <c r="GF259" s="198"/>
      <c r="GG259" s="198"/>
      <c r="GH259" s="199"/>
      <c r="GI259" s="197">
        <v>1273.4590000000001</v>
      </c>
      <c r="GJ259" s="198"/>
      <c r="GK259" s="198"/>
      <c r="GL259" s="198"/>
      <c r="GM259" s="198"/>
      <c r="GN259" s="198"/>
      <c r="GO259" s="199"/>
      <c r="GP259" s="197">
        <v>3820.4369999999999</v>
      </c>
      <c r="GQ259" s="198"/>
      <c r="GR259" s="198"/>
      <c r="GS259" s="198"/>
      <c r="GT259" s="198"/>
      <c r="GU259" s="198"/>
      <c r="GV259" s="199"/>
      <c r="GW259" s="197">
        <f>[2]sur!P43</f>
        <v>2496.8000000000002</v>
      </c>
      <c r="GX259" s="198">
        <f>[2]sur!Q43</f>
        <v>167.4</v>
      </c>
      <c r="GY259" s="198">
        <f>[2]sur!R43</f>
        <v>607.5</v>
      </c>
      <c r="GZ259" s="198">
        <f>[2]sur!S43</f>
        <v>408.2</v>
      </c>
      <c r="HA259" s="198"/>
      <c r="HB259" s="198"/>
      <c r="HC259" s="199">
        <f>[2]sur!V43</f>
        <v>1313.7</v>
      </c>
      <c r="HD259" s="197"/>
      <c r="HE259" s="198"/>
      <c r="HF259" s="198"/>
      <c r="HG259" s="198"/>
      <c r="HH259" s="198"/>
      <c r="HI259" s="198"/>
      <c r="HJ259" s="199"/>
      <c r="HK259" s="197">
        <v>7320.5228215995994</v>
      </c>
      <c r="HL259" s="198">
        <v>1451.4726789613662</v>
      </c>
      <c r="HM259" s="198">
        <v>673.75617246075683</v>
      </c>
      <c r="HN259" s="198">
        <v>130.44343684978415</v>
      </c>
      <c r="HO259" s="198">
        <v>3090.9213052177597</v>
      </c>
      <c r="HP259" s="198"/>
      <c r="HQ259" s="198">
        <f t="shared" si="16"/>
        <v>1973.9292281099329</v>
      </c>
      <c r="HR259" s="197">
        <v>133898.68599999999</v>
      </c>
      <c r="HT259" s="198">
        <v>61310.785000000003</v>
      </c>
      <c r="HU259" s="198">
        <v>15889.395</v>
      </c>
      <c r="HV259" s="198">
        <v>32351.364000000001</v>
      </c>
      <c r="HW259" s="198">
        <v>4633.7719999999999</v>
      </c>
      <c r="HX259" s="198">
        <v>19713.37</v>
      </c>
      <c r="HY259" s="198"/>
    </row>
    <row r="260" spans="1:233">
      <c r="A260" s="185" t="s">
        <v>491</v>
      </c>
      <c r="B260" s="197">
        <v>3113.4609999999998</v>
      </c>
      <c r="C260" s="198">
        <v>57.783000000000001</v>
      </c>
      <c r="D260" s="198">
        <v>519.86300000000006</v>
      </c>
      <c r="E260" s="198">
        <v>747.53</v>
      </c>
      <c r="F260" s="198">
        <v>543.495</v>
      </c>
      <c r="G260" s="198"/>
      <c r="H260" s="199">
        <v>1244.79</v>
      </c>
      <c r="I260" s="197">
        <v>147111.6</v>
      </c>
      <c r="J260" s="198"/>
      <c r="K260" s="198"/>
      <c r="L260" s="198">
        <v>18964.5</v>
      </c>
      <c r="M260" s="198">
        <v>27054.1</v>
      </c>
      <c r="N260" s="198"/>
      <c r="O260" s="199">
        <f>[3]arg!$G126</f>
        <v>89373.5</v>
      </c>
      <c r="P260" s="198">
        <v>6931.2240000000002</v>
      </c>
      <c r="Q260" s="198">
        <v>33.929000000000002</v>
      </c>
      <c r="R260" s="198">
        <v>402.23399999999998</v>
      </c>
      <c r="S260" s="198">
        <v>442.17899999999997</v>
      </c>
      <c r="T260" s="198">
        <v>4975.0630000000001</v>
      </c>
      <c r="U260" s="198"/>
      <c r="V260" s="199">
        <f t="shared" si="22"/>
        <v>1077.8189999999995</v>
      </c>
      <c r="W260" s="198">
        <v>5698.2550000000001</v>
      </c>
      <c r="X260" s="198">
        <v>124.95021000000001</v>
      </c>
      <c r="Y260" s="198">
        <v>946.65976000000001</v>
      </c>
      <c r="Z260" s="198">
        <v>423.25766999999996</v>
      </c>
      <c r="AA260" s="198">
        <v>2635.1625400000003</v>
      </c>
      <c r="AB260" s="198"/>
      <c r="AC260" s="199">
        <f t="shared" si="14"/>
        <v>1568.2248199999995</v>
      </c>
      <c r="AD260" s="198"/>
      <c r="AE260" s="198">
        <v>42.463000000000001</v>
      </c>
      <c r="AF260" s="198">
        <v>348.28100000000001</v>
      </c>
      <c r="AG260" s="198">
        <v>622.95799999999997</v>
      </c>
      <c r="AH260" s="198">
        <v>371.75299999999999</v>
      </c>
      <c r="AI260" s="198"/>
      <c r="AJ260" s="198"/>
      <c r="AK260" s="197"/>
      <c r="AL260" s="198"/>
      <c r="AM260" s="198"/>
      <c r="AN260" s="198"/>
      <c r="AO260" s="198"/>
      <c r="AP260" s="198"/>
      <c r="AQ260" s="199"/>
      <c r="AR260" s="198">
        <v>1242891.3478209202</v>
      </c>
      <c r="AS260" s="198">
        <v>300070.10414039996</v>
      </c>
      <c r="AT260" s="198">
        <v>119627.67777851</v>
      </c>
      <c r="AU260" s="198">
        <v>67802.00388217</v>
      </c>
      <c r="AV260" s="198">
        <v>405803.33196862001</v>
      </c>
      <c r="AW260" s="198"/>
      <c r="AX260" s="198">
        <v>349588.23005122022</v>
      </c>
      <c r="AY260" s="197">
        <v>67831255</v>
      </c>
      <c r="AZ260" s="198"/>
      <c r="BA260" s="198">
        <v>43051614</v>
      </c>
      <c r="BB260" s="198">
        <v>16273767</v>
      </c>
      <c r="BC260" s="198">
        <v>8505874</v>
      </c>
      <c r="BD260" s="198"/>
      <c r="BE260" s="198"/>
      <c r="BF260" s="197">
        <v>147272099.39999998</v>
      </c>
      <c r="BG260" s="198"/>
      <c r="BH260" s="198">
        <v>93758776.37999998</v>
      </c>
      <c r="BI260" s="198">
        <v>10044589.99</v>
      </c>
      <c r="BJ260" s="198">
        <v>40179735</v>
      </c>
      <c r="BK260" s="198">
        <v>3288998.03</v>
      </c>
      <c r="BL260" s="198"/>
      <c r="BM260" s="197">
        <v>8444603.3589999992</v>
      </c>
      <c r="BN260" s="198">
        <v>446654.27</v>
      </c>
      <c r="BO260" s="198">
        <v>880509.52399999998</v>
      </c>
      <c r="BP260" s="198">
        <v>2712117.3509999998</v>
      </c>
      <c r="BQ260" s="198">
        <v>2229278.8790000002</v>
      </c>
      <c r="BR260" s="198"/>
      <c r="BS260" s="198">
        <f t="shared" si="2"/>
        <v>2176043.334999999</v>
      </c>
      <c r="BT260" s="197"/>
      <c r="BU260" s="198"/>
      <c r="BV260" s="198"/>
      <c r="BW260" s="198"/>
      <c r="BX260" s="198"/>
      <c r="BY260" s="198"/>
      <c r="BZ260" s="198"/>
      <c r="CA260" s="197">
        <v>709.923</v>
      </c>
      <c r="CB260" s="198">
        <v>31.922000000000001</v>
      </c>
      <c r="CC260" s="198">
        <v>100.387</v>
      </c>
      <c r="CD260" s="198">
        <v>234.99600000000001</v>
      </c>
      <c r="CE260" s="198">
        <v>152.07599999999999</v>
      </c>
      <c r="CF260" s="198"/>
      <c r="CG260" s="198">
        <f>CA260-CB260-CC260-CD260-CE260</f>
        <v>190.54200000000006</v>
      </c>
      <c r="CH260" s="197">
        <v>13207649.04906</v>
      </c>
      <c r="CI260" s="198"/>
      <c r="CJ260" s="198">
        <v>5987508.1844200008</v>
      </c>
      <c r="CK260" s="198">
        <v>1672055.15274</v>
      </c>
      <c r="CL260" s="198">
        <v>4076529.99486</v>
      </c>
      <c r="CM260" s="198">
        <v>1471555.71704</v>
      </c>
      <c r="CN260" s="198"/>
      <c r="CO260" s="197">
        <v>8972.4800500000001</v>
      </c>
      <c r="CP260" s="198">
        <v>769.96129000000008</v>
      </c>
      <c r="CQ260" s="198">
        <v>1377.4724099999999</v>
      </c>
      <c r="CR260" s="198">
        <v>2248.6962599999997</v>
      </c>
      <c r="CS260" s="198">
        <v>2282.26811</v>
      </c>
      <c r="CT260" s="198"/>
      <c r="CU260" s="198">
        <v>2294.0819800000004</v>
      </c>
      <c r="CV260" s="197">
        <v>1842.6690000000001</v>
      </c>
      <c r="CW260" s="198">
        <v>39.713000000000001</v>
      </c>
      <c r="CX260" s="198">
        <v>333.69799999999998</v>
      </c>
      <c r="CY260" s="198">
        <v>602.39200000000005</v>
      </c>
      <c r="CZ260" s="198">
        <v>483.90300000000002</v>
      </c>
      <c r="DA260" s="198"/>
      <c r="DB260" s="198">
        <f>CV260-CW260-CX260-CY260-CZ260</f>
        <v>382.96300000000019</v>
      </c>
      <c r="DC260" s="197">
        <v>76260.150999999998</v>
      </c>
      <c r="DD260" s="198">
        <v>8273.64</v>
      </c>
      <c r="DE260" s="198">
        <v>15496.361000000001</v>
      </c>
      <c r="DF260" s="198"/>
      <c r="DG260" s="198">
        <v>20062.949000000001</v>
      </c>
      <c r="DH260" s="198"/>
      <c r="DI260" s="198">
        <f t="shared" si="23"/>
        <v>32427.200999999994</v>
      </c>
      <c r="DJ260" s="197">
        <f>3030.8+56994</f>
        <v>60024.800000000003</v>
      </c>
      <c r="DK260" s="198">
        <f>2027.6+11306.4</f>
        <v>13334</v>
      </c>
      <c r="DL260" s="198">
        <f>1866.1+14034.9</f>
        <v>15901</v>
      </c>
      <c r="DM260" s="198">
        <v>4727.3999999999996</v>
      </c>
      <c r="DN260" s="198">
        <f>16840.3-DM260</f>
        <v>12112.9</v>
      </c>
      <c r="DO260" s="198"/>
      <c r="DP260" s="198">
        <f>DJ260-SUM(DK260:DN260)</f>
        <v>13949.5</v>
      </c>
      <c r="DQ260" s="197"/>
      <c r="DR260" s="198"/>
      <c r="DS260" s="198"/>
      <c r="DT260" s="198"/>
      <c r="DU260" s="198"/>
      <c r="DV260" s="198"/>
      <c r="DW260" s="198"/>
      <c r="DX260" s="197">
        <v>135992.27454872002</v>
      </c>
      <c r="DY260" s="198"/>
      <c r="DZ260" s="198">
        <v>89614.063367030016</v>
      </c>
      <c r="EA260" s="198">
        <v>23400.961625660002</v>
      </c>
      <c r="EB260" s="198">
        <v>21564.881081700001</v>
      </c>
      <c r="EC260" s="198">
        <v>1412.36847433</v>
      </c>
      <c r="ED260" s="198"/>
      <c r="EE260" s="197">
        <v>259146.66899999999</v>
      </c>
      <c r="EF260" s="198">
        <v>9207.18</v>
      </c>
      <c r="EG260" s="198">
        <v>69780.476999999999</v>
      </c>
      <c r="EH260" s="198">
        <v>15115.804</v>
      </c>
      <c r="EI260" s="198">
        <v>91501.716</v>
      </c>
      <c r="EJ260" s="198"/>
      <c r="EK260" s="198">
        <f t="shared" si="29"/>
        <v>73541.491999999984</v>
      </c>
      <c r="EL260" s="197">
        <v>1884667.3888739999</v>
      </c>
      <c r="EM260" s="198">
        <v>896444.63702700008</v>
      </c>
      <c r="EN260" s="198">
        <v>72664.100719999973</v>
      </c>
      <c r="EO260" s="198">
        <v>315412.44262100011</v>
      </c>
      <c r="EP260" s="198">
        <v>438963.00855200004</v>
      </c>
      <c r="EQ260" s="198"/>
      <c r="ER260" s="198">
        <v>161183.20005700001</v>
      </c>
      <c r="ES260" s="197">
        <v>46042.453898760003</v>
      </c>
      <c r="ET260" s="198">
        <v>3765.6</v>
      </c>
      <c r="EU260" s="198">
        <v>15543.5</v>
      </c>
      <c r="EV260" s="198">
        <v>6555.2</v>
      </c>
      <c r="EW260" s="198">
        <v>12810.7</v>
      </c>
      <c r="EX260" s="198"/>
      <c r="EY260" s="198">
        <f t="shared" si="24"/>
        <v>7367.4538987600026</v>
      </c>
      <c r="EZ260" s="197">
        <v>22253.585195822499</v>
      </c>
      <c r="FA260" s="198">
        <v>1321.61545503</v>
      </c>
      <c r="FB260" s="198">
        <v>5816.700192671</v>
      </c>
      <c r="FC260" s="198">
        <v>5648.0505014999999</v>
      </c>
      <c r="FD260" s="198">
        <v>4733.7687134515199</v>
      </c>
      <c r="FE260" s="198">
        <v>71.932864929999994</v>
      </c>
      <c r="FF260" s="198">
        <f t="shared" si="17"/>
        <v>4733.450333169978</v>
      </c>
      <c r="FG260" s="197">
        <v>19232205.991715997</v>
      </c>
      <c r="FH260" s="198">
        <v>2042895.7387089999</v>
      </c>
      <c r="FI260" s="198">
        <v>3692847.9673229996</v>
      </c>
      <c r="FJ260" s="198"/>
      <c r="FK260" s="198">
        <v>1977237.209359</v>
      </c>
      <c r="FL260" s="198"/>
      <c r="FM260" s="198">
        <f t="shared" si="28"/>
        <v>11519225.076324997</v>
      </c>
      <c r="FN260" s="197">
        <v>91148.42</v>
      </c>
      <c r="FO260" s="198">
        <v>17785.812999999998</v>
      </c>
      <c r="FP260" s="198">
        <v>13531</v>
      </c>
      <c r="FQ260" s="198">
        <v>11870.838</v>
      </c>
      <c r="FR260" s="198">
        <v>16265.003000000001</v>
      </c>
      <c r="FS260" s="198"/>
      <c r="FT260" s="199">
        <f t="shared" si="25"/>
        <v>31695.766000000003</v>
      </c>
      <c r="FU260" s="197">
        <v>349825.78728181898</v>
      </c>
      <c r="FV260" s="198">
        <v>23253.28563119</v>
      </c>
      <c r="FW260" s="198">
        <v>56051.054757819671</v>
      </c>
      <c r="FX260" s="198">
        <v>70509.342032900007</v>
      </c>
      <c r="FY260" s="198">
        <v>83197.553409189291</v>
      </c>
      <c r="FZ260" s="198"/>
      <c r="GA260" s="199">
        <f>FU260-FV260-FW260-FX260-FY260</f>
        <v>116814.55145071998</v>
      </c>
      <c r="GB260" s="197">
        <v>2208.326</v>
      </c>
      <c r="GC260" s="198">
        <v>22.913</v>
      </c>
      <c r="GD260" s="198">
        <v>236.86</v>
      </c>
      <c r="GE260" s="198">
        <v>414.73</v>
      </c>
      <c r="GF260" s="198">
        <v>389.49799999999999</v>
      </c>
      <c r="GG260" s="198"/>
      <c r="GH260" s="199">
        <f>GB260-GC260-GD260-GE260-GF260</f>
        <v>1144.3249999999998</v>
      </c>
      <c r="GI260" s="197">
        <v>1249.434</v>
      </c>
      <c r="GJ260" s="198">
        <v>49.878</v>
      </c>
      <c r="GK260" s="198">
        <v>130.941</v>
      </c>
      <c r="GL260" s="198">
        <v>370.077</v>
      </c>
      <c r="GM260" s="198">
        <v>250.304</v>
      </c>
      <c r="GN260" s="198"/>
      <c r="GO260" s="199">
        <f>GI260-GJ260-GK260-GL260-GM260</f>
        <v>448.23400000000004</v>
      </c>
      <c r="GP260" s="197">
        <v>3816.9459999999999</v>
      </c>
      <c r="GQ260" s="198">
        <v>87.93</v>
      </c>
      <c r="GR260" s="198">
        <v>1152.3779999999999</v>
      </c>
      <c r="GS260" s="198">
        <v>575.28</v>
      </c>
      <c r="GT260" s="198">
        <v>567.16300000000001</v>
      </c>
      <c r="GU260" s="198"/>
      <c r="GV260" s="199">
        <f>GP260-GQ260-GR260-GS260-GT260</f>
        <v>1434.1949999999999</v>
      </c>
      <c r="GW260" s="197">
        <f>[2]sur!P44</f>
        <v>2520.1000000000004</v>
      </c>
      <c r="GX260" s="198">
        <f>[2]sur!Q44</f>
        <v>166.1</v>
      </c>
      <c r="GY260" s="198">
        <f>[2]sur!R44</f>
        <v>608.20000000000005</v>
      </c>
      <c r="GZ260" s="198">
        <f>[2]sur!S44</f>
        <v>415.6</v>
      </c>
      <c r="HA260" s="198"/>
      <c r="HB260" s="198"/>
      <c r="HC260" s="199">
        <f>[2]sur!V44</f>
        <v>1330.2000000000003</v>
      </c>
      <c r="HD260" s="197">
        <f>'[2]t&amp;t'!W392</f>
        <v>46538.899999999994</v>
      </c>
      <c r="HE260" s="198">
        <f>'[2]t&amp;t'!X392</f>
        <v>3381.2999999999997</v>
      </c>
      <c r="HF260" s="198">
        <f>'[2]t&amp;t'!Y392</f>
        <v>3948.2</v>
      </c>
      <c r="HG260" s="198">
        <f>'[2]t&amp;t'!Z392</f>
        <v>8482.5999999999985</v>
      </c>
      <c r="HH260" s="198">
        <f>'[2]t&amp;t'!AA392</f>
        <v>12504.699999999999</v>
      </c>
      <c r="HI260" s="198"/>
      <c r="HJ260" s="199">
        <f>'[2]t&amp;t'!AC392</f>
        <v>18222.099999999999</v>
      </c>
      <c r="HK260" s="197">
        <v>6876.4421002178005</v>
      </c>
      <c r="HL260" s="198">
        <v>1477.5652352099789</v>
      </c>
      <c r="HM260" s="198">
        <v>673.11878283575879</v>
      </c>
      <c r="HN260" s="198">
        <v>136.6988761180873</v>
      </c>
      <c r="HO260" s="198">
        <v>2585.9464275301766</v>
      </c>
      <c r="HP260" s="198"/>
      <c r="HQ260" s="198">
        <f t="shared" si="16"/>
        <v>2003.1127785237991</v>
      </c>
      <c r="HR260" s="197">
        <v>135798.443</v>
      </c>
      <c r="HS260" s="198"/>
      <c r="HT260" s="198">
        <v>62507.15</v>
      </c>
      <c r="HU260" s="198">
        <v>16325.187</v>
      </c>
      <c r="HV260" s="198">
        <v>32467.062000000002</v>
      </c>
      <c r="HW260" s="198">
        <v>4546.5280000000002</v>
      </c>
      <c r="HX260" s="198">
        <v>19952.516</v>
      </c>
      <c r="HY260" s="198"/>
    </row>
    <row r="261" spans="1:233">
      <c r="A261" s="185" t="s">
        <v>492</v>
      </c>
      <c r="B261" s="197">
        <v>3066.1889999999999</v>
      </c>
      <c r="C261" s="198"/>
      <c r="D261" s="198"/>
      <c r="E261" s="198"/>
      <c r="F261" s="198"/>
      <c r="G261" s="198"/>
      <c r="H261" s="199"/>
      <c r="I261" s="197">
        <v>148412</v>
      </c>
      <c r="J261" s="198"/>
      <c r="K261" s="198"/>
      <c r="L261" s="198">
        <v>18899.8</v>
      </c>
      <c r="M261" s="198">
        <v>27245.1</v>
      </c>
      <c r="N261" s="198"/>
      <c r="O261" s="199">
        <f>[3]arg!$G127</f>
        <v>89682.8</v>
      </c>
      <c r="P261" s="198">
        <v>6933.125</v>
      </c>
      <c r="Q261" s="198">
        <v>33.064</v>
      </c>
      <c r="R261" s="198">
        <v>400.84699999999998</v>
      </c>
      <c r="S261" s="198">
        <v>449.26100000000002</v>
      </c>
      <c r="T261" s="198">
        <v>4947.0820000000003</v>
      </c>
      <c r="U261" s="198"/>
      <c r="V261" s="199">
        <f t="shared" si="22"/>
        <v>1102.8709999999992</v>
      </c>
      <c r="W261" s="198">
        <v>5704.0225899999996</v>
      </c>
      <c r="X261" s="198">
        <v>116.89</v>
      </c>
      <c r="Y261" s="198">
        <v>933.428</v>
      </c>
      <c r="Z261" s="198">
        <v>438.30900000000003</v>
      </c>
      <c r="AA261" s="198">
        <v>2644.027</v>
      </c>
      <c r="AB261" s="198"/>
      <c r="AC261" s="199">
        <f t="shared" si="14"/>
        <v>1571.3685899999991</v>
      </c>
      <c r="AD261" s="198"/>
      <c r="AE261" s="198">
        <v>43.697000000000003</v>
      </c>
      <c r="AF261" s="198">
        <v>347.19400000000002</v>
      </c>
      <c r="AG261" s="198">
        <v>631.27299999999991</v>
      </c>
      <c r="AH261" s="198">
        <v>370.53</v>
      </c>
      <c r="AI261" s="198"/>
      <c r="AJ261" s="198"/>
      <c r="AK261" s="197"/>
      <c r="AL261" s="198"/>
      <c r="AM261" s="198"/>
      <c r="AN261" s="198"/>
      <c r="AO261" s="198"/>
      <c r="AP261" s="198"/>
      <c r="AQ261" s="199"/>
      <c r="AR261" s="198">
        <v>1248820.8126108365</v>
      </c>
      <c r="AS261" s="198">
        <v>297304.66626298998</v>
      </c>
      <c r="AT261" s="198">
        <v>119815.42905606001</v>
      </c>
      <c r="AU261" s="198">
        <v>69509.999115570012</v>
      </c>
      <c r="AV261" s="198">
        <v>411422.12144677015</v>
      </c>
      <c r="AW261" s="198"/>
      <c r="AX261" s="198">
        <v>350768.59672944632</v>
      </c>
      <c r="AY261" s="197">
        <v>68015253</v>
      </c>
      <c r="AZ261" s="198"/>
      <c r="BA261" s="198">
        <v>43142890</v>
      </c>
      <c r="BB261" s="198">
        <v>16327491</v>
      </c>
      <c r="BC261" s="198">
        <v>8544872</v>
      </c>
      <c r="BD261" s="198"/>
      <c r="BE261" s="198"/>
      <c r="BF261" s="197">
        <v>147320335.22</v>
      </c>
      <c r="BG261" s="198"/>
      <c r="BH261" s="198">
        <v>93714405.300000012</v>
      </c>
      <c r="BI261" s="198">
        <v>10229835.52</v>
      </c>
      <c r="BJ261" s="198">
        <v>40003205.769999996</v>
      </c>
      <c r="BK261" s="198">
        <v>3372888.63</v>
      </c>
      <c r="BL261" s="198"/>
      <c r="BM261" s="197">
        <v>8538204.0559999999</v>
      </c>
      <c r="BN261" s="198">
        <v>440764.71600000001</v>
      </c>
      <c r="BO261" s="198">
        <v>921220.24</v>
      </c>
      <c r="BP261" s="198">
        <v>2749203.6030000001</v>
      </c>
      <c r="BQ261" s="198">
        <v>2251423.8620000002</v>
      </c>
      <c r="BR261" s="198"/>
      <c r="BS261" s="198">
        <f t="shared" si="2"/>
        <v>2175591.6349999998</v>
      </c>
      <c r="BT261" s="197"/>
      <c r="BU261" s="198"/>
      <c r="BV261" s="198"/>
      <c r="BW261" s="198"/>
      <c r="BX261" s="198"/>
      <c r="BY261" s="198"/>
      <c r="BZ261" s="198"/>
      <c r="CA261" s="197">
        <v>720.79700000000003</v>
      </c>
      <c r="CB261" s="198"/>
      <c r="CC261" s="198"/>
      <c r="CD261" s="198"/>
      <c r="CE261" s="198"/>
      <c r="CF261" s="198"/>
      <c r="CG261" s="198"/>
      <c r="CH261" s="197">
        <v>13047787.496309999</v>
      </c>
      <c r="CI261" s="198"/>
      <c r="CJ261" s="198">
        <v>5952341.3869900005</v>
      </c>
      <c r="CK261" s="198">
        <v>1630100.2409599996</v>
      </c>
      <c r="CL261" s="198">
        <v>4007332.6847600006</v>
      </c>
      <c r="CM261" s="198">
        <v>1458013.1836000001</v>
      </c>
      <c r="CN261" s="198"/>
      <c r="CO261" s="197">
        <v>8936.4369499999993</v>
      </c>
      <c r="CP261" s="198">
        <v>771.62515000000008</v>
      </c>
      <c r="CQ261" s="198">
        <v>1378.1874800000001</v>
      </c>
      <c r="CR261" s="198">
        <v>2240.04243</v>
      </c>
      <c r="CS261" s="198">
        <v>2280.5503699999999</v>
      </c>
      <c r="CT261" s="198"/>
      <c r="CU261" s="198">
        <v>2266.0315199999986</v>
      </c>
      <c r="CV261" s="197">
        <v>1858.6130000000001</v>
      </c>
      <c r="CW261" s="198"/>
      <c r="CX261" s="198"/>
      <c r="CY261" s="198"/>
      <c r="CZ261" s="198"/>
      <c r="DA261" s="198"/>
      <c r="DB261" s="198"/>
      <c r="DC261" s="197">
        <v>76129.120999999999</v>
      </c>
      <c r="DD261" s="198">
        <v>8296.58</v>
      </c>
      <c r="DE261" s="198">
        <v>15391.467000000001</v>
      </c>
      <c r="DF261" s="198"/>
      <c r="DG261" s="198">
        <v>20001.185000000001</v>
      </c>
      <c r="DH261" s="198"/>
      <c r="DI261" s="198">
        <f t="shared" si="23"/>
        <v>32439.888999999992</v>
      </c>
      <c r="DJ261" s="197">
        <f>3049.5+57210</f>
        <v>60259.5</v>
      </c>
      <c r="DK261" s="198">
        <f>2017.6+13280.9</f>
        <v>15298.5</v>
      </c>
      <c r="DL261" s="198">
        <f>1881.6+12281</f>
        <v>14162.6</v>
      </c>
      <c r="DM261" s="198">
        <v>4768.7</v>
      </c>
      <c r="DN261" s="198">
        <f>16934.7-DM261</f>
        <v>12166</v>
      </c>
      <c r="DO261" s="198"/>
      <c r="DP261" s="198">
        <f t="shared" ref="DP261:DP268" si="30">DJ261-SUM(DK261:DN261)</f>
        <v>13863.700000000004</v>
      </c>
      <c r="DQ261" s="197"/>
      <c r="DR261" s="198"/>
      <c r="DS261" s="198"/>
      <c r="DT261" s="198"/>
      <c r="DU261" s="198"/>
      <c r="DV261" s="198"/>
      <c r="DW261" s="198"/>
      <c r="DX261" s="197">
        <v>136114.93664005003</v>
      </c>
      <c r="DY261" s="198"/>
      <c r="DZ261" s="198">
        <v>89152.291131490012</v>
      </c>
      <c r="EA261" s="198">
        <v>23477.568819479999</v>
      </c>
      <c r="EB261" s="198">
        <v>22136.136044769999</v>
      </c>
      <c r="EC261" s="198">
        <v>1348.9406443099999</v>
      </c>
      <c r="ED261" s="198"/>
      <c r="EE261" s="197">
        <v>258075.69099999999</v>
      </c>
      <c r="EF261" s="198">
        <v>8684.4930000000004</v>
      </c>
      <c r="EG261" s="198">
        <v>69594.986999999994</v>
      </c>
      <c r="EH261" s="198">
        <v>14791.728999999999</v>
      </c>
      <c r="EI261" s="198">
        <v>92715.28</v>
      </c>
      <c r="EJ261" s="198"/>
      <c r="EK261" s="198">
        <f t="shared" si="29"/>
        <v>72289.202000000019</v>
      </c>
      <c r="EL261" s="197">
        <v>1870865.0832829999</v>
      </c>
      <c r="EM261" s="198">
        <v>891245.82145200006</v>
      </c>
      <c r="EN261" s="198">
        <v>70781.054836999989</v>
      </c>
      <c r="EO261" s="198">
        <v>317034.04957700009</v>
      </c>
      <c r="EP261" s="198">
        <v>430747.06127299997</v>
      </c>
      <c r="EQ261" s="198"/>
      <c r="ER261" s="198">
        <v>161057.09614400001</v>
      </c>
      <c r="ES261" s="197">
        <v>45022.228000000003</v>
      </c>
      <c r="ET261" s="198">
        <v>4045.5</v>
      </c>
      <c r="EU261" s="198">
        <v>15404.7</v>
      </c>
      <c r="EV261" s="198">
        <v>6560.9</v>
      </c>
      <c r="EW261" s="198">
        <v>12828.5</v>
      </c>
      <c r="EX261" s="198"/>
      <c r="EY261" s="198">
        <f t="shared" si="24"/>
        <v>6182.6280000000042</v>
      </c>
      <c r="EZ261" s="197">
        <v>22186.90232746</v>
      </c>
      <c r="FA261" s="198">
        <v>1312.1813274599999</v>
      </c>
      <c r="FB261" s="198">
        <v>5837.6004316400004</v>
      </c>
      <c r="FC261" s="198">
        <v>5689.3449046199903</v>
      </c>
      <c r="FD261" s="198">
        <v>4723.9076673399904</v>
      </c>
      <c r="FE261" s="198">
        <v>76.399153929999997</v>
      </c>
      <c r="FF261" s="198">
        <f t="shared" si="17"/>
        <v>4623.8679964000221</v>
      </c>
      <c r="FG261" s="197">
        <v>19536991.825868003</v>
      </c>
      <c r="FH261" s="198">
        <v>2048506.5675260001</v>
      </c>
      <c r="FI261" s="198">
        <v>3777705.553911</v>
      </c>
      <c r="FJ261" s="198"/>
      <c r="FK261" s="198">
        <v>1998510.1360009999</v>
      </c>
      <c r="FL261" s="198"/>
      <c r="FM261" s="198">
        <f t="shared" si="28"/>
        <v>11712269.568430003</v>
      </c>
      <c r="FN261" s="197">
        <v>88334.437999999995</v>
      </c>
      <c r="FO261" s="198">
        <v>16850.075000000001</v>
      </c>
      <c r="FP261" s="198">
        <v>13116.933000000001</v>
      </c>
      <c r="FQ261" s="198">
        <v>11535.92</v>
      </c>
      <c r="FR261" s="198">
        <v>15504.691999999999</v>
      </c>
      <c r="FS261" s="198"/>
      <c r="FT261" s="199">
        <f t="shared" si="25"/>
        <v>31326.817999999999</v>
      </c>
      <c r="FU261" s="197"/>
      <c r="FV261" s="198"/>
      <c r="FW261" s="198"/>
      <c r="FX261" s="198"/>
      <c r="FY261" s="198"/>
      <c r="FZ261" s="198"/>
      <c r="GA261" s="199"/>
      <c r="GB261" s="197">
        <v>2200.607</v>
      </c>
      <c r="GC261" s="198"/>
      <c r="GD261" s="198"/>
      <c r="GE261" s="198"/>
      <c r="GF261" s="198"/>
      <c r="GG261" s="198"/>
      <c r="GH261" s="199"/>
      <c r="GI261" s="197">
        <v>1242.9659999999999</v>
      </c>
      <c r="GJ261" s="198"/>
      <c r="GK261" s="198"/>
      <c r="GL261" s="198"/>
      <c r="GM261" s="198"/>
      <c r="GN261" s="198"/>
      <c r="GO261" s="199"/>
      <c r="GP261" s="197">
        <v>3813.78</v>
      </c>
      <c r="GQ261" s="198"/>
      <c r="GR261" s="198"/>
      <c r="GS261" s="198"/>
      <c r="GT261" s="198"/>
      <c r="GU261" s="198"/>
      <c r="GV261" s="199"/>
      <c r="GW261" s="197">
        <f>[2]sur!P45</f>
        <v>2523.8999999999996</v>
      </c>
      <c r="GX261" s="198">
        <f>[2]sur!Q45</f>
        <v>162.5</v>
      </c>
      <c r="GY261" s="198">
        <f>[2]sur!R45</f>
        <v>599.4</v>
      </c>
      <c r="GZ261" s="198">
        <f>[2]sur!S45</f>
        <v>420.3</v>
      </c>
      <c r="HA261" s="198"/>
      <c r="HB261" s="198"/>
      <c r="HC261" s="199">
        <f>[2]sur!V45</f>
        <v>1341.6999999999998</v>
      </c>
      <c r="HD261" s="197"/>
      <c r="HE261" s="198"/>
      <c r="HF261" s="198"/>
      <c r="HG261" s="198"/>
      <c r="HH261" s="198"/>
      <c r="HI261" s="198"/>
      <c r="HJ261" s="199"/>
      <c r="HK261" s="197">
        <v>6895.2639749704995</v>
      </c>
      <c r="HL261" s="198">
        <v>1439.9493230114181</v>
      </c>
      <c r="HM261" s="198">
        <v>705.73507206323995</v>
      </c>
      <c r="HN261" s="198">
        <v>133.04378219122506</v>
      </c>
      <c r="HO261" s="198">
        <v>2609.8097479707199</v>
      </c>
      <c r="HP261" s="198"/>
      <c r="HQ261" s="198">
        <f t="shared" si="16"/>
        <v>2006.7260497338962</v>
      </c>
      <c r="HR261" s="197">
        <v>135112.30499999999</v>
      </c>
      <c r="HS261" s="198">
        <v>5553.527</v>
      </c>
      <c r="HT261" s="198">
        <v>55539.773000000001</v>
      </c>
      <c r="HU261" s="198">
        <v>16683.822</v>
      </c>
      <c r="HV261" s="198">
        <v>32635.442999999999</v>
      </c>
      <c r="HW261" s="198">
        <v>4515.5280000000002</v>
      </c>
      <c r="HX261" s="198">
        <v>20184.212</v>
      </c>
      <c r="HY261" s="198"/>
    </row>
    <row r="262" spans="1:233">
      <c r="A262" s="185" t="s">
        <v>493</v>
      </c>
      <c r="B262" s="197">
        <v>3076.7249999999999</v>
      </c>
      <c r="C262" s="198"/>
      <c r="D262" s="198"/>
      <c r="E262" s="198"/>
      <c r="F262" s="198"/>
      <c r="G262" s="198"/>
      <c r="H262" s="199"/>
      <c r="I262" s="197">
        <v>149832.9</v>
      </c>
      <c r="J262" s="198"/>
      <c r="K262" s="198"/>
      <c r="L262" s="198">
        <v>18857.599999999999</v>
      </c>
      <c r="M262" s="198">
        <v>27253</v>
      </c>
      <c r="N262" s="198"/>
      <c r="O262" s="199">
        <f>[3]arg!$G128</f>
        <v>91435.6</v>
      </c>
      <c r="P262" s="198">
        <v>6944.26</v>
      </c>
      <c r="Q262" s="198">
        <v>32.963000000000001</v>
      </c>
      <c r="R262" s="198">
        <v>395.93</v>
      </c>
      <c r="S262" s="198">
        <v>454.40800000000002</v>
      </c>
      <c r="T262" s="198">
        <v>4948.8630000000003</v>
      </c>
      <c r="U262" s="198"/>
      <c r="V262" s="199">
        <f t="shared" si="22"/>
        <v>1112.0959999999995</v>
      </c>
      <c r="W262" s="198">
        <v>5705.4950399999998</v>
      </c>
      <c r="X262" s="198">
        <v>124.669</v>
      </c>
      <c r="Y262" s="198">
        <v>920.88100000000009</v>
      </c>
      <c r="Z262" s="198">
        <v>448.363</v>
      </c>
      <c r="AA262" s="198">
        <v>2633.163</v>
      </c>
      <c r="AB262" s="198"/>
      <c r="AC262" s="199">
        <f t="shared" si="14"/>
        <v>1578.4190399999993</v>
      </c>
      <c r="AD262" s="198"/>
      <c r="AE262" s="198">
        <v>47.709000000000003</v>
      </c>
      <c r="AF262" s="198">
        <v>350.62299999999999</v>
      </c>
      <c r="AG262" s="198">
        <v>638.36800000000005</v>
      </c>
      <c r="AH262" s="198">
        <v>373.43299999999999</v>
      </c>
      <c r="AI262" s="198"/>
      <c r="AJ262" s="198"/>
      <c r="AK262" s="197"/>
      <c r="AL262" s="198"/>
      <c r="AM262" s="198"/>
      <c r="AN262" s="198"/>
      <c r="AO262" s="198"/>
      <c r="AP262" s="198"/>
      <c r="AQ262" s="199"/>
      <c r="AR262" s="198">
        <v>1261271.7639542127</v>
      </c>
      <c r="AS262" s="198">
        <v>295470.67695886997</v>
      </c>
      <c r="AT262" s="198">
        <v>120403.94405139002</v>
      </c>
      <c r="AU262" s="198">
        <v>71545.405362360019</v>
      </c>
      <c r="AV262" s="198">
        <v>422566.05974473007</v>
      </c>
      <c r="AW262" s="198"/>
      <c r="AX262" s="198">
        <v>351285.67783686257</v>
      </c>
      <c r="AY262" s="197">
        <v>67430911</v>
      </c>
      <c r="AZ262" s="198"/>
      <c r="BA262" s="198">
        <v>42556923</v>
      </c>
      <c r="BB262" s="198">
        <v>16407948</v>
      </c>
      <c r="BC262" s="198">
        <v>8466040</v>
      </c>
      <c r="BD262" s="198"/>
      <c r="BE262" s="198"/>
      <c r="BF262" s="197">
        <v>149400747.34999999</v>
      </c>
      <c r="BG262" s="198"/>
      <c r="BH262" s="198">
        <v>96065134.510000005</v>
      </c>
      <c r="BI262" s="198">
        <v>9988206.5700000003</v>
      </c>
      <c r="BJ262" s="198">
        <v>39899665.259999998</v>
      </c>
      <c r="BK262" s="198">
        <v>3447741.01</v>
      </c>
      <c r="BL262" s="198"/>
      <c r="BM262" s="197">
        <v>8587837.3809999991</v>
      </c>
      <c r="BN262" s="198">
        <v>419330.37099999998</v>
      </c>
      <c r="BO262" s="198">
        <v>933830.14799999993</v>
      </c>
      <c r="BP262" s="198">
        <v>2765627.7409999999</v>
      </c>
      <c r="BQ262" s="198">
        <v>2262435.9309999999</v>
      </c>
      <c r="BR262" s="198"/>
      <c r="BS262" s="198">
        <f t="shared" si="2"/>
        <v>2206613.1899999995</v>
      </c>
      <c r="BT262" s="197"/>
      <c r="BU262" s="198"/>
      <c r="BV262" s="198"/>
      <c r="BW262" s="198"/>
      <c r="BX262" s="198"/>
      <c r="BY262" s="198"/>
      <c r="BZ262" s="198"/>
      <c r="CA262" s="197">
        <v>737.77200000000005</v>
      </c>
      <c r="CB262" s="198"/>
      <c r="CC262" s="198"/>
      <c r="CD262" s="198"/>
      <c r="CE262" s="198"/>
      <c r="CF262" s="198"/>
      <c r="CG262" s="198"/>
      <c r="CH262" s="197">
        <v>13004947.783089999</v>
      </c>
      <c r="CI262" s="198"/>
      <c r="CJ262" s="198">
        <v>5955320.1995100006</v>
      </c>
      <c r="CK262" s="198">
        <v>1561369.7623999999</v>
      </c>
      <c r="CL262" s="198">
        <v>4034648.9699699995</v>
      </c>
      <c r="CM262" s="198">
        <v>1453608.8512100002</v>
      </c>
      <c r="CN262" s="198"/>
      <c r="CO262" s="197">
        <v>8906.6654699999981</v>
      </c>
      <c r="CP262" s="198">
        <v>768.56551999999999</v>
      </c>
      <c r="CQ262" s="198">
        <v>1398.9847199999999</v>
      </c>
      <c r="CR262" s="198">
        <v>2221.7811299999998</v>
      </c>
      <c r="CS262" s="198">
        <v>2295.8886699999998</v>
      </c>
      <c r="CT262" s="198"/>
      <c r="CU262" s="198">
        <v>2221.4454299999989</v>
      </c>
      <c r="CV262" s="197">
        <v>1873.6669999999999</v>
      </c>
      <c r="CW262" s="198"/>
      <c r="CX262" s="198"/>
      <c r="CY262" s="198"/>
      <c r="CZ262" s="198"/>
      <c r="DA262" s="198"/>
      <c r="DB262" s="198"/>
      <c r="DC262" s="197">
        <v>76060.525999999998</v>
      </c>
      <c r="DD262" s="198">
        <v>8343.0030000000006</v>
      </c>
      <c r="DE262" s="198">
        <v>15280.5</v>
      </c>
      <c r="DF262" s="198"/>
      <c r="DG262" s="198">
        <v>20079.928</v>
      </c>
      <c r="DH262" s="198"/>
      <c r="DI262" s="198">
        <f t="shared" si="23"/>
        <v>32357.095000000001</v>
      </c>
      <c r="DJ262" s="197">
        <f>3039.9+56950.5</f>
        <v>59990.400000000001</v>
      </c>
      <c r="DK262" s="198">
        <f>2000.9+12488.1</f>
        <v>14489</v>
      </c>
      <c r="DL262" s="198">
        <f>1866.7+12583.1</f>
        <v>14449.800000000001</v>
      </c>
      <c r="DM262" s="198">
        <v>4778.8999999999996</v>
      </c>
      <c r="DN262" s="198">
        <f>16892.2-DM262</f>
        <v>12113.300000000001</v>
      </c>
      <c r="DO262" s="198"/>
      <c r="DP262" s="198">
        <f t="shared" si="30"/>
        <v>14159.399999999994</v>
      </c>
      <c r="DQ262" s="197"/>
      <c r="DR262" s="198"/>
      <c r="DS262" s="198"/>
      <c r="DT262" s="198"/>
      <c r="DU262" s="198"/>
      <c r="DV262" s="198"/>
      <c r="DW262" s="198"/>
      <c r="DX262" s="197">
        <v>135369.25144694</v>
      </c>
      <c r="DY262" s="198"/>
      <c r="DZ262" s="198">
        <v>88084.885249740008</v>
      </c>
      <c r="EA262" s="198">
        <v>23780.12227924</v>
      </c>
      <c r="EB262" s="198">
        <v>22124.409163450004</v>
      </c>
      <c r="EC262" s="198">
        <v>1379.8347545099998</v>
      </c>
      <c r="ED262" s="198"/>
      <c r="EE262" s="197">
        <v>256905.97099999999</v>
      </c>
      <c r="EF262" s="198">
        <v>9277.0310000000009</v>
      </c>
      <c r="EG262" s="198">
        <v>69417.073999999993</v>
      </c>
      <c r="EH262" s="198">
        <v>15316.802</v>
      </c>
      <c r="EI262" s="198">
        <v>91185.34</v>
      </c>
      <c r="EJ262" s="198"/>
      <c r="EK262" s="198">
        <f t="shared" si="29"/>
        <v>71709.724000000017</v>
      </c>
      <c r="EL262" s="197">
        <v>1854840.3810539995</v>
      </c>
      <c r="EM262" s="198">
        <v>877457.23152500007</v>
      </c>
      <c r="EN262" s="198">
        <v>68978.717741</v>
      </c>
      <c r="EO262" s="198">
        <v>319751.53890299995</v>
      </c>
      <c r="EP262" s="198">
        <v>424348.7080540001</v>
      </c>
      <c r="EQ262" s="198"/>
      <c r="ER262" s="198">
        <v>164304.18487199998</v>
      </c>
      <c r="ES262" s="197">
        <v>44891.296999999999</v>
      </c>
      <c r="ET262" s="198">
        <v>4159.7</v>
      </c>
      <c r="EU262" s="198">
        <v>15712.6</v>
      </c>
      <c r="EV262" s="198">
        <v>6586.8</v>
      </c>
      <c r="EW262" s="198">
        <v>12537.2</v>
      </c>
      <c r="EX262" s="198"/>
      <c r="EY262" s="198">
        <f t="shared" si="24"/>
        <v>5894.997000000003</v>
      </c>
      <c r="EZ262" s="197">
        <v>22195.078742981001</v>
      </c>
      <c r="FA262" s="198">
        <v>1319.1234723299999</v>
      </c>
      <c r="FB262" s="198">
        <v>5722.2739135909997</v>
      </c>
      <c r="FC262" s="198">
        <v>5773.79142753</v>
      </c>
      <c r="FD262" s="198">
        <v>4744.50820535</v>
      </c>
      <c r="FE262" s="198">
        <v>75.045378240000105</v>
      </c>
      <c r="FF262" s="198">
        <f t="shared" si="17"/>
        <v>4635.3817241799998</v>
      </c>
      <c r="FG262" s="197">
        <v>20225278.222024001</v>
      </c>
      <c r="FH262" s="198">
        <v>1995157.9732380002</v>
      </c>
      <c r="FI262" s="198">
        <v>3760173.7167950002</v>
      </c>
      <c r="FJ262" s="198"/>
      <c r="FK262" s="198">
        <v>1996480.0521999998</v>
      </c>
      <c r="FL262" s="198"/>
      <c r="FM262" s="198">
        <f t="shared" si="28"/>
        <v>12473466.479791</v>
      </c>
      <c r="FN262" s="197">
        <v>89303.269</v>
      </c>
      <c r="FO262" s="198">
        <v>17657.055</v>
      </c>
      <c r="FP262" s="198">
        <v>13001.848</v>
      </c>
      <c r="FQ262" s="198">
        <v>11657.562</v>
      </c>
      <c r="FR262" s="198">
        <v>15625.882</v>
      </c>
      <c r="FS262" s="198"/>
      <c r="FT262" s="199">
        <f t="shared" si="25"/>
        <v>31360.922000000006</v>
      </c>
      <c r="FU262" s="197"/>
      <c r="FV262" s="198"/>
      <c r="FW262" s="198"/>
      <c r="FX262" s="198"/>
      <c r="FY262" s="198"/>
      <c r="FZ262" s="198"/>
      <c r="GA262" s="199"/>
      <c r="GB262" s="197">
        <v>2217.7800000000002</v>
      </c>
      <c r="GC262" s="198"/>
      <c r="GD262" s="198"/>
      <c r="GE262" s="198"/>
      <c r="GF262" s="198"/>
      <c r="GG262" s="198"/>
      <c r="GH262" s="199"/>
      <c r="GI262" s="197">
        <v>1267.1880000000001</v>
      </c>
      <c r="GJ262" s="198"/>
      <c r="GK262" s="198"/>
      <c r="GL262" s="198"/>
      <c r="GM262" s="198"/>
      <c r="GN262" s="198"/>
      <c r="GO262" s="199"/>
      <c r="GP262" s="197">
        <v>3820.0990000000002</v>
      </c>
      <c r="GQ262" s="198"/>
      <c r="GR262" s="198"/>
      <c r="GS262" s="198"/>
      <c r="GT262" s="198"/>
      <c r="GU262" s="198"/>
      <c r="GV262" s="199"/>
      <c r="GW262" s="197">
        <f>[2]sur!P46</f>
        <v>2575.4</v>
      </c>
      <c r="GX262" s="198">
        <f>[2]sur!Q46</f>
        <v>175.39999999999998</v>
      </c>
      <c r="GY262" s="198">
        <f>[2]sur!R46</f>
        <v>612.79999999999995</v>
      </c>
      <c r="GZ262" s="198">
        <f>[2]sur!S46</f>
        <v>427.4</v>
      </c>
      <c r="HA262" s="198"/>
      <c r="HB262" s="198"/>
      <c r="HC262" s="199">
        <f>[2]sur!V46</f>
        <v>1359.8000000000002</v>
      </c>
      <c r="HD262" s="197"/>
      <c r="HE262" s="198"/>
      <c r="HF262" s="198"/>
      <c r="HG262" s="198"/>
      <c r="HH262" s="198"/>
      <c r="HI262" s="198"/>
      <c r="HJ262" s="199"/>
      <c r="HK262" s="197">
        <v>7604.4153802687997</v>
      </c>
      <c r="HL262" s="198">
        <v>1455.3687504679481</v>
      </c>
      <c r="HM262" s="198">
        <v>713.48133538119725</v>
      </c>
      <c r="HN262" s="198">
        <v>133.8941883965812</v>
      </c>
      <c r="HO262" s="198">
        <v>2672.2859721265199</v>
      </c>
      <c r="HP262" s="198"/>
      <c r="HQ262" s="198">
        <f t="shared" si="16"/>
        <v>2629.3851338965537</v>
      </c>
      <c r="HR262" s="197">
        <v>136871.93700000001</v>
      </c>
      <c r="HS262" s="198">
        <v>6840.6220000000003</v>
      </c>
      <c r="HT262" s="198">
        <v>55008.114000000001</v>
      </c>
      <c r="HU262" s="198">
        <v>17013.275000000001</v>
      </c>
      <c r="HV262" s="198">
        <v>32898.366000000002</v>
      </c>
      <c r="HW262" s="198">
        <v>4500.0429999999997</v>
      </c>
      <c r="HX262" s="198">
        <v>20611.517</v>
      </c>
      <c r="HY262" s="198"/>
    </row>
    <row r="263" spans="1:233">
      <c r="A263" s="185" t="s">
        <v>494</v>
      </c>
      <c r="B263" s="197">
        <v>3085.373</v>
      </c>
      <c r="C263" s="198">
        <v>52.290999999999997</v>
      </c>
      <c r="D263" s="198">
        <v>519.39700000000005</v>
      </c>
      <c r="E263" s="198">
        <v>747.15899999999999</v>
      </c>
      <c r="F263" s="198">
        <v>534.08199999999999</v>
      </c>
      <c r="G263" s="198"/>
      <c r="H263" s="199">
        <v>1232.444</v>
      </c>
      <c r="I263" s="197">
        <v>151311.29999999999</v>
      </c>
      <c r="J263" s="198"/>
      <c r="K263" s="198"/>
      <c r="L263" s="198">
        <v>18860.5</v>
      </c>
      <c r="M263" s="198">
        <v>27150.9</v>
      </c>
      <c r="N263" s="198"/>
      <c r="O263" s="199">
        <f>[3]arg!$G129</f>
        <v>92154.8</v>
      </c>
      <c r="P263" s="198">
        <v>7006.6769999999997</v>
      </c>
      <c r="Q263" s="198">
        <v>31.658000000000001</v>
      </c>
      <c r="R263" s="198">
        <v>392.07600000000002</v>
      </c>
      <c r="S263" s="198">
        <v>442.096</v>
      </c>
      <c r="T263" s="198">
        <v>4998.9690000000001</v>
      </c>
      <c r="U263" s="198"/>
      <c r="V263" s="199">
        <f t="shared" si="22"/>
        <v>1141.8779999999997</v>
      </c>
      <c r="W263" s="198">
        <v>5716.0749999999998</v>
      </c>
      <c r="X263" s="198">
        <v>118.985</v>
      </c>
      <c r="Y263" s="198">
        <v>922.39099999999996</v>
      </c>
      <c r="Z263" s="198">
        <v>448.81400000000002</v>
      </c>
      <c r="AA263" s="198">
        <v>2643.3829999999998</v>
      </c>
      <c r="AB263" s="198"/>
      <c r="AC263" s="199">
        <f t="shared" si="14"/>
        <v>1582.5020000000004</v>
      </c>
      <c r="AD263" s="198"/>
      <c r="AE263" s="198">
        <v>48.01</v>
      </c>
      <c r="AF263" s="198">
        <v>354.27600000000001</v>
      </c>
      <c r="AG263" s="198">
        <v>638.00699999999995</v>
      </c>
      <c r="AH263" s="198">
        <v>371.40600000000001</v>
      </c>
      <c r="AI263" s="198"/>
      <c r="AJ263" s="198"/>
      <c r="AK263" s="197">
        <v>36249.1126</v>
      </c>
      <c r="AL263" s="198"/>
      <c r="AM263" s="198">
        <v>15587.118418</v>
      </c>
      <c r="AN263" s="198">
        <v>7249.8225200000015</v>
      </c>
      <c r="AO263" s="198">
        <v>3624.9112600000008</v>
      </c>
      <c r="AP263" s="198">
        <v>9787.2604019999999</v>
      </c>
      <c r="AQ263" s="199"/>
      <c r="AR263" s="198">
        <v>1276840.61487343</v>
      </c>
      <c r="AS263" s="198">
        <v>299413.07428568008</v>
      </c>
      <c r="AT263" s="198">
        <v>120968.76970908999</v>
      </c>
      <c r="AU263" s="198">
        <v>74110.263943180005</v>
      </c>
      <c r="AV263" s="198">
        <v>428129.82435369998</v>
      </c>
      <c r="AW263" s="198"/>
      <c r="AX263" s="198">
        <v>354218.68258177995</v>
      </c>
      <c r="AY263" s="197">
        <v>66716683.000000007</v>
      </c>
      <c r="AZ263" s="198"/>
      <c r="BA263" s="198">
        <v>41748746</v>
      </c>
      <c r="BB263" s="198">
        <v>16557632.000000002</v>
      </c>
      <c r="BC263" s="198">
        <v>8410305</v>
      </c>
      <c r="BD263" s="198"/>
      <c r="BE263" s="198"/>
      <c r="BF263" s="197">
        <v>149876622.89999995</v>
      </c>
      <c r="BG263" s="198"/>
      <c r="BH263" s="198">
        <v>96318605.369999975</v>
      </c>
      <c r="BI263" s="198">
        <v>10136534.879999997</v>
      </c>
      <c r="BJ263" s="198">
        <v>39907232.740000002</v>
      </c>
      <c r="BK263" s="198">
        <v>3514249.91</v>
      </c>
      <c r="BL263" s="198"/>
      <c r="BM263" s="197">
        <v>8575735.9930000007</v>
      </c>
      <c r="BN263" s="198">
        <v>422041.35200000001</v>
      </c>
      <c r="BO263" s="198">
        <v>904476.15799999994</v>
      </c>
      <c r="BP263" s="198">
        <v>2774440.7120000003</v>
      </c>
      <c r="BQ263" s="198">
        <v>2266641.6809999999</v>
      </c>
      <c r="BR263" s="198"/>
      <c r="BS263" s="198">
        <f t="shared" si="2"/>
        <v>2208136.0900000008</v>
      </c>
      <c r="BT263" s="197"/>
      <c r="BU263" s="198"/>
      <c r="BV263" s="198"/>
      <c r="BW263" s="198"/>
      <c r="BX263" s="198"/>
      <c r="BY263" s="198"/>
      <c r="BZ263" s="199"/>
      <c r="CA263" s="198">
        <v>724.38199999999995</v>
      </c>
      <c r="CB263" s="198">
        <v>33</v>
      </c>
      <c r="CC263" s="198">
        <v>100.191</v>
      </c>
      <c r="CD263" s="198">
        <v>241.82400000000001</v>
      </c>
      <c r="CE263" s="198">
        <v>151.25399999999999</v>
      </c>
      <c r="CF263" s="198"/>
      <c r="CG263" s="199">
        <f>CA263-CB263-CC263-CD263-CE263</f>
        <v>198.11299999999991</v>
      </c>
      <c r="CH263" s="197">
        <v>12970504.574279999</v>
      </c>
      <c r="CI263" s="198"/>
      <c r="CJ263" s="198">
        <v>5998945.9290399998</v>
      </c>
      <c r="CK263" s="198">
        <v>1511969.7076500002</v>
      </c>
      <c r="CL263" s="198">
        <v>3978153.6268199994</v>
      </c>
      <c r="CM263" s="198">
        <v>1481435.3107700001</v>
      </c>
      <c r="CN263" s="198"/>
      <c r="CO263" s="197">
        <v>8792.185190000002</v>
      </c>
      <c r="CP263" s="198">
        <v>724.72110999999995</v>
      </c>
      <c r="CQ263" s="198">
        <v>1353.40996</v>
      </c>
      <c r="CR263" s="198">
        <v>2214.2020400000001</v>
      </c>
      <c r="CS263" s="198">
        <v>2293.86643</v>
      </c>
      <c r="CT263" s="198"/>
      <c r="CU263" s="198">
        <v>2205.9856500000024</v>
      </c>
      <c r="CV263" s="197">
        <v>1883.8130000000001</v>
      </c>
      <c r="CW263" s="198">
        <v>38.902000000000001</v>
      </c>
      <c r="CX263" s="198">
        <v>331.52100000000002</v>
      </c>
      <c r="CY263" s="198">
        <v>616.31799999999998</v>
      </c>
      <c r="CZ263" s="198">
        <v>485.60500000000002</v>
      </c>
      <c r="DA263" s="198"/>
      <c r="DB263" s="199">
        <f>CV263-CW263-CX263-CY263-CZ263</f>
        <v>411.4670000000001</v>
      </c>
      <c r="DC263" s="197">
        <v>76447.565000000002</v>
      </c>
      <c r="DD263" s="198">
        <v>8162.4110000000001</v>
      </c>
      <c r="DE263" s="198">
        <v>15369.8</v>
      </c>
      <c r="DF263" s="198"/>
      <c r="DG263" s="198">
        <v>20200.505000000001</v>
      </c>
      <c r="DH263" s="198"/>
      <c r="DI263" s="198">
        <f t="shared" si="23"/>
        <v>32714.849000000006</v>
      </c>
      <c r="DJ263" s="197">
        <f>3072.9+56208.2</f>
        <v>59281.1</v>
      </c>
      <c r="DK263" s="198">
        <f>2004.9+12184</f>
        <v>14188.9</v>
      </c>
      <c r="DL263" s="198">
        <f>1855.9+12327.1</f>
        <v>14183</v>
      </c>
      <c r="DM263" s="198">
        <f>4754.7</f>
        <v>4754.7</v>
      </c>
      <c r="DN263" s="198">
        <f>16869.2-DM263</f>
        <v>12114.5</v>
      </c>
      <c r="DO263" s="198"/>
      <c r="DP263" s="198">
        <f t="shared" si="30"/>
        <v>14040</v>
      </c>
      <c r="DQ263" s="197"/>
      <c r="DR263" s="198"/>
      <c r="DS263" s="198"/>
      <c r="DT263" s="198"/>
      <c r="DU263" s="198"/>
      <c r="DV263" s="198"/>
      <c r="DW263" s="198"/>
      <c r="DX263" s="197">
        <v>135767.03870653998</v>
      </c>
      <c r="DY263" s="198"/>
      <c r="DZ263" s="198">
        <v>88411.691825040019</v>
      </c>
      <c r="EA263" s="198">
        <v>24043.427053160001</v>
      </c>
      <c r="EB263" s="198">
        <v>21924.038994959999</v>
      </c>
      <c r="EC263" s="198">
        <v>1387.88083338</v>
      </c>
      <c r="ED263" s="198"/>
      <c r="EE263" s="197">
        <v>259340.568</v>
      </c>
      <c r="EF263" s="198">
        <v>9398.8439999999991</v>
      </c>
      <c r="EG263" s="198">
        <v>69542.907999999996</v>
      </c>
      <c r="EH263" s="198">
        <v>15333.04</v>
      </c>
      <c r="EI263" s="198">
        <v>90681.343999999997</v>
      </c>
      <c r="EJ263" s="198"/>
      <c r="EK263" s="198">
        <f t="shared" si="29"/>
        <v>74384.431999999986</v>
      </c>
      <c r="EL263" s="197">
        <v>1855859.6339479999</v>
      </c>
      <c r="EM263" s="198">
        <v>876761.6711700001</v>
      </c>
      <c r="EN263" s="198">
        <v>70345.016095000014</v>
      </c>
      <c r="EO263" s="198">
        <v>322109.30454899999</v>
      </c>
      <c r="EP263" s="198">
        <v>418418.23124599998</v>
      </c>
      <c r="EQ263" s="198"/>
      <c r="ER263" s="198">
        <v>168225.41087199998</v>
      </c>
      <c r="ES263" s="197">
        <v>44435.743057459993</v>
      </c>
      <c r="ET263" s="198">
        <v>4269.76880145</v>
      </c>
      <c r="EU263" s="198">
        <v>15141.81037954</v>
      </c>
      <c r="EV263" s="198">
        <v>6663.6882133600002</v>
      </c>
      <c r="EW263" s="198">
        <v>12417.39080547999</v>
      </c>
      <c r="EX263" s="198"/>
      <c r="EY263" s="198">
        <f t="shared" si="24"/>
        <v>5943.0848576299977</v>
      </c>
      <c r="EZ263" s="197">
        <v>22256.404609671001</v>
      </c>
      <c r="FA263" s="198">
        <v>1304.0850187000001</v>
      </c>
      <c r="FB263" s="198">
        <v>5681.6144046310001</v>
      </c>
      <c r="FC263" s="198">
        <v>5854.9025583299899</v>
      </c>
      <c r="FD263" s="198">
        <v>4732.9663578500003</v>
      </c>
      <c r="FE263" s="198">
        <v>74.858237020000004</v>
      </c>
      <c r="FF263" s="198">
        <f t="shared" si="17"/>
        <v>4682.8362701600108</v>
      </c>
      <c r="FG263" s="197">
        <v>20573913.388404001</v>
      </c>
      <c r="FH263" s="198">
        <v>1974605.5072100002</v>
      </c>
      <c r="FI263" s="198">
        <v>3895810.4412279995</v>
      </c>
      <c r="FJ263" s="198"/>
      <c r="FK263" s="198">
        <v>2042905.9201469999</v>
      </c>
      <c r="FL263" s="198"/>
      <c r="FM263" s="198">
        <f t="shared" si="28"/>
        <v>12660591.519819001</v>
      </c>
      <c r="FN263" s="197">
        <v>89886.909</v>
      </c>
      <c r="FO263" s="198">
        <v>17508.523000000001</v>
      </c>
      <c r="FP263" s="198">
        <v>12787.948</v>
      </c>
      <c r="FQ263" s="198">
        <v>11821.569</v>
      </c>
      <c r="FR263" s="198">
        <v>15836.722</v>
      </c>
      <c r="FS263" s="198"/>
      <c r="FT263" s="199">
        <f t="shared" si="25"/>
        <v>31932.146999999997</v>
      </c>
      <c r="FU263" s="197">
        <v>364172.61839494907</v>
      </c>
      <c r="FV263" s="198">
        <v>25459.026462579994</v>
      </c>
      <c r="FW263" s="198">
        <v>59638.619443849748</v>
      </c>
      <c r="FX263" s="198">
        <v>73043.985241439965</v>
      </c>
      <c r="FY263" s="198">
        <v>83683.441280499406</v>
      </c>
      <c r="FZ263" s="198"/>
      <c r="GA263" s="199">
        <f>FU263-FV263-FW263-FX263-FY263</f>
        <v>122347.54596657991</v>
      </c>
      <c r="GB263" s="197">
        <v>2208.4679999999998</v>
      </c>
      <c r="GC263" s="198">
        <v>20.695</v>
      </c>
      <c r="GD263" s="198">
        <v>223.96899999999999</v>
      </c>
      <c r="GE263" s="198">
        <v>427.47300000000001</v>
      </c>
      <c r="GF263" s="198">
        <v>397.44</v>
      </c>
      <c r="GG263" s="198"/>
      <c r="GH263" s="199">
        <f>GB263-GC263-GD263-GE263-GF263</f>
        <v>1138.8909999999996</v>
      </c>
      <c r="GI263" s="197">
        <v>1255.03</v>
      </c>
      <c r="GJ263" s="198">
        <v>58.237000000000002</v>
      </c>
      <c r="GK263" s="198">
        <v>130.61799999999999</v>
      </c>
      <c r="GL263" s="198">
        <v>355.48599999999999</v>
      </c>
      <c r="GM263" s="198">
        <v>244.74700000000001</v>
      </c>
      <c r="GN263" s="198"/>
      <c r="GO263" s="199">
        <f>GI263-GJ263-GK263-GL263-GM263</f>
        <v>465.94199999999995</v>
      </c>
      <c r="GP263" s="197">
        <v>3825.944</v>
      </c>
      <c r="GQ263" s="198">
        <v>88.662999999999997</v>
      </c>
      <c r="GR263" s="198">
        <v>1062.7360000000001</v>
      </c>
      <c r="GS263" s="198">
        <v>592.95699999999999</v>
      </c>
      <c r="GT263" s="198">
        <v>518.54</v>
      </c>
      <c r="GU263" s="198"/>
      <c r="GV263" s="199">
        <f>GP263-GQ263-GR263-GS263-GT263</f>
        <v>1563.0480000000002</v>
      </c>
      <c r="GW263" s="197">
        <f>[2]sur!P47</f>
        <v>2582.3000000000002</v>
      </c>
      <c r="GX263" s="198">
        <f>[2]sur!Q47</f>
        <v>167.3</v>
      </c>
      <c r="GY263" s="198">
        <f>[2]sur!R47</f>
        <v>614.9</v>
      </c>
      <c r="GZ263" s="198">
        <f>[2]sur!S47</f>
        <v>435.40000000000003</v>
      </c>
      <c r="HA263" s="198"/>
      <c r="HB263" s="198"/>
      <c r="HC263" s="199">
        <f>[2]sur!V47</f>
        <v>1364.6999999999998</v>
      </c>
      <c r="HD263" s="197">
        <f>'[2]t&amp;t'!W395</f>
        <v>45884</v>
      </c>
      <c r="HE263" s="198">
        <f>'[2]t&amp;t'!X395</f>
        <v>3383</v>
      </c>
      <c r="HF263" s="198">
        <f>'[2]t&amp;t'!Y395</f>
        <v>3823.2999999999997</v>
      </c>
      <c r="HG263" s="198">
        <f>'[2]t&amp;t'!Z395</f>
        <v>8666.2999999999993</v>
      </c>
      <c r="HH263" s="198">
        <f>'[2]t&amp;t'!AA395</f>
        <v>12233.199999999999</v>
      </c>
      <c r="HI263" s="198"/>
      <c r="HJ263" s="199">
        <f>'[2]t&amp;t'!AC395</f>
        <v>17778.2</v>
      </c>
      <c r="HK263" s="197">
        <v>7568.0342564798002</v>
      </c>
      <c r="HL263" s="198">
        <v>1478.7259336432787</v>
      </c>
      <c r="HM263" s="198">
        <v>719.19659072942488</v>
      </c>
      <c r="HN263" s="198">
        <v>128.35739450645244</v>
      </c>
      <c r="HO263" s="198">
        <v>2647.3720392588702</v>
      </c>
      <c r="HP263" s="198"/>
      <c r="HQ263" s="198">
        <f t="shared" si="16"/>
        <v>2594.3822983417731</v>
      </c>
      <c r="HR263" s="197">
        <v>140338.649</v>
      </c>
      <c r="HS263" s="198">
        <v>7442.3980000000001</v>
      </c>
      <c r="HT263" s="198">
        <v>56034.402999999998</v>
      </c>
      <c r="HU263" s="198">
        <v>17597.517</v>
      </c>
      <c r="HV263" s="198">
        <v>33095.845000000001</v>
      </c>
      <c r="HW263" s="198">
        <v>4571.5079999999998</v>
      </c>
      <c r="HX263" s="198">
        <v>21596.977999999999</v>
      </c>
      <c r="HY263" s="198"/>
    </row>
    <row r="264" spans="1:233">
      <c r="A264" s="185" t="s">
        <v>495</v>
      </c>
      <c r="B264" s="197">
        <v>3097.308</v>
      </c>
      <c r="C264" s="198"/>
      <c r="D264" s="198"/>
      <c r="E264" s="198"/>
      <c r="F264" s="198"/>
      <c r="G264" s="198"/>
      <c r="H264" s="199"/>
      <c r="I264" s="197">
        <v>153066.4</v>
      </c>
      <c r="J264" s="198"/>
      <c r="K264" s="198"/>
      <c r="L264" s="198">
        <v>18874.099999999999</v>
      </c>
      <c r="M264" s="198">
        <v>27179.200000000001</v>
      </c>
      <c r="N264" s="198"/>
      <c r="O264" s="199">
        <f>[3]arg!$G130</f>
        <v>91192.2</v>
      </c>
      <c r="P264" s="198">
        <v>7123.6090000000004</v>
      </c>
      <c r="Q264" s="198">
        <v>34.031999999999996</v>
      </c>
      <c r="R264" s="198">
        <v>397.33499999999998</v>
      </c>
      <c r="S264" s="198">
        <v>406.81299999999999</v>
      </c>
      <c r="T264" s="198">
        <v>5027.3760000000002</v>
      </c>
      <c r="U264" s="198"/>
      <c r="V264" s="199">
        <f t="shared" si="22"/>
        <v>1258.0529999999999</v>
      </c>
      <c r="W264" s="198">
        <v>5723.0389999999998</v>
      </c>
      <c r="X264" s="198">
        <v>114.47199999999999</v>
      </c>
      <c r="Y264" s="198">
        <v>919.01499999999999</v>
      </c>
      <c r="Z264" s="198">
        <v>445.87700000000001</v>
      </c>
      <c r="AA264" s="198">
        <v>2654.1210000000001</v>
      </c>
      <c r="AB264" s="198"/>
      <c r="AC264" s="199">
        <f t="shared" si="14"/>
        <v>1589.5539999999992</v>
      </c>
      <c r="AD264" s="198"/>
      <c r="AE264" s="198">
        <v>48.46</v>
      </c>
      <c r="AF264" s="198">
        <v>358.94299999999998</v>
      </c>
      <c r="AG264" s="198">
        <v>644.22800000000007</v>
      </c>
      <c r="AH264" s="198">
        <v>373.65899999999999</v>
      </c>
      <c r="AI264" s="198"/>
      <c r="AJ264" s="198"/>
      <c r="AK264" s="197"/>
      <c r="AL264" s="198"/>
      <c r="AM264" s="198"/>
      <c r="AN264" s="198"/>
      <c r="AO264" s="198"/>
      <c r="AP264" s="198"/>
      <c r="AQ264" s="199"/>
      <c r="AR264" s="198">
        <v>1306841.7637049127</v>
      </c>
      <c r="AS264" s="198">
        <v>296659.24750917999</v>
      </c>
      <c r="AT264" s="198">
        <v>121876.7556858</v>
      </c>
      <c r="AU264" s="198">
        <v>76938.604882420012</v>
      </c>
      <c r="AV264" s="198">
        <v>431960.50257720007</v>
      </c>
      <c r="AW264" s="198"/>
      <c r="AX264" s="198">
        <v>379406.65305031266</v>
      </c>
      <c r="AY264" s="197">
        <v>66750531</v>
      </c>
      <c r="AZ264" s="198"/>
      <c r="BA264" s="198">
        <v>41631450</v>
      </c>
      <c r="BB264" s="198">
        <v>16695711</v>
      </c>
      <c r="BC264" s="198">
        <v>8423370</v>
      </c>
      <c r="BD264" s="198"/>
      <c r="BE264" s="198"/>
      <c r="BF264" s="197">
        <v>149677068.94</v>
      </c>
      <c r="BG264" s="198"/>
      <c r="BH264" s="198">
        <v>95730602.840000004</v>
      </c>
      <c r="BI264" s="198">
        <v>10371811.189999998</v>
      </c>
      <c r="BJ264" s="198">
        <v>39987939.229999997</v>
      </c>
      <c r="BK264" s="198">
        <v>3586715.68</v>
      </c>
      <c r="BL264" s="198"/>
      <c r="BM264" s="197">
        <v>8654454.4440000001</v>
      </c>
      <c r="BN264" s="198">
        <v>401947.29499999998</v>
      </c>
      <c r="BO264" s="198">
        <v>921063.27800000005</v>
      </c>
      <c r="BP264" s="198">
        <v>2810966.9310000003</v>
      </c>
      <c r="BQ264" s="198">
        <v>2287172.4040000001</v>
      </c>
      <c r="BR264" s="198"/>
      <c r="BS264" s="198">
        <f t="shared" si="2"/>
        <v>2233304.5359999994</v>
      </c>
      <c r="BT264" s="197"/>
      <c r="BU264" s="198"/>
      <c r="BV264" s="198"/>
      <c r="BW264" s="198"/>
      <c r="BX264" s="198"/>
      <c r="BY264" s="198"/>
      <c r="BZ264" s="199"/>
      <c r="CA264" s="198">
        <v>732.06700000000001</v>
      </c>
      <c r="CB264" s="198"/>
      <c r="CC264" s="198"/>
      <c r="CD264" s="198"/>
      <c r="CE264" s="198"/>
      <c r="CF264" s="198"/>
      <c r="CG264" s="199"/>
      <c r="CH264" s="197">
        <v>13080748.885299999</v>
      </c>
      <c r="CI264" s="198"/>
      <c r="CJ264" s="198">
        <v>6042058.8976300005</v>
      </c>
      <c r="CK264" s="198">
        <v>1527460.88806</v>
      </c>
      <c r="CL264" s="198">
        <v>3992048.4553799992</v>
      </c>
      <c r="CM264" s="198">
        <v>1519180.6442299997</v>
      </c>
      <c r="CN264" s="198"/>
      <c r="CO264" s="197">
        <v>8746.024449999999</v>
      </c>
      <c r="CP264" s="198">
        <v>721.55604000000005</v>
      </c>
      <c r="CQ264" s="198">
        <v>1337.72892</v>
      </c>
      <c r="CR264" s="198">
        <v>2214.1805099999997</v>
      </c>
      <c r="CS264" s="198">
        <v>2296.0324999999998</v>
      </c>
      <c r="CT264" s="198"/>
      <c r="CU264" s="198">
        <v>2176.5264799999995</v>
      </c>
      <c r="CV264" s="197">
        <v>1907.63</v>
      </c>
      <c r="CW264" s="198"/>
      <c r="CX264" s="198"/>
      <c r="CY264" s="198"/>
      <c r="CZ264" s="198"/>
      <c r="DA264" s="198"/>
      <c r="DB264" s="199"/>
      <c r="DC264" s="197">
        <v>76736.2</v>
      </c>
      <c r="DD264" s="198">
        <v>8247.8799999999992</v>
      </c>
      <c r="DE264" s="198">
        <v>15197.82</v>
      </c>
      <c r="DF264" s="198"/>
      <c r="DG264" s="198">
        <v>20173.834999999999</v>
      </c>
      <c r="DH264" s="198"/>
      <c r="DI264" s="198">
        <f t="shared" si="23"/>
        <v>33116.664999999994</v>
      </c>
      <c r="DJ264" s="197">
        <f>3178.2+57022.3</f>
        <v>60200.5</v>
      </c>
      <c r="DK264" s="198">
        <f>1988.1+12359.7</f>
        <v>14347.800000000001</v>
      </c>
      <c r="DL264" s="198">
        <f>1817.9+12362.2</f>
        <v>14180.1</v>
      </c>
      <c r="DM264" s="198">
        <v>5249.5</v>
      </c>
      <c r="DN264" s="198">
        <f>17082-DM264</f>
        <v>11832.5</v>
      </c>
      <c r="DO264" s="198"/>
      <c r="DP264" s="198">
        <f t="shared" si="30"/>
        <v>14590.599999999999</v>
      </c>
      <c r="DQ264" s="197"/>
      <c r="DR264" s="198"/>
      <c r="DS264" s="198"/>
      <c r="DT264" s="198"/>
      <c r="DU264" s="198"/>
      <c r="DV264" s="198"/>
      <c r="DW264" s="198"/>
      <c r="DX264" s="197">
        <v>136085.06003033</v>
      </c>
      <c r="DY264" s="198"/>
      <c r="DZ264" s="198">
        <v>89026.234321700002</v>
      </c>
      <c r="EA264" s="198">
        <v>24108.49249941</v>
      </c>
      <c r="EB264" s="198">
        <v>21557.850556530004</v>
      </c>
      <c r="EC264" s="198">
        <v>1392.4826526900001</v>
      </c>
      <c r="ED264" s="198"/>
      <c r="EE264" s="197">
        <v>258312.929</v>
      </c>
      <c r="EF264" s="198">
        <v>8600.58</v>
      </c>
      <c r="EG264" s="198">
        <v>66831.323000000004</v>
      </c>
      <c r="EH264" s="198">
        <v>19169.418000000001</v>
      </c>
      <c r="EI264" s="198">
        <v>89737.014999999999</v>
      </c>
      <c r="EJ264" s="198"/>
      <c r="EK264" s="198">
        <f t="shared" si="29"/>
        <v>73974.593000000008</v>
      </c>
      <c r="EL264" s="197">
        <v>1867551.1849109998</v>
      </c>
      <c r="EM264" s="198">
        <v>879549.1851440001</v>
      </c>
      <c r="EN264" s="198">
        <v>68572.283056</v>
      </c>
      <c r="EO264" s="198">
        <v>324619.49403300002</v>
      </c>
      <c r="EP264" s="198">
        <v>412046.07462900004</v>
      </c>
      <c r="EQ264" s="198"/>
      <c r="ER264" s="198">
        <v>182764.14798000001</v>
      </c>
      <c r="ES264" s="197">
        <v>43626.843699999998</v>
      </c>
      <c r="ET264" s="198">
        <v>4216.4718000000003</v>
      </c>
      <c r="EU264" s="198">
        <v>14513.700999999999</v>
      </c>
      <c r="EV264" s="198">
        <v>6614.2046</v>
      </c>
      <c r="EW264" s="198">
        <v>12237.8316</v>
      </c>
      <c r="EX264" s="198"/>
      <c r="EY264" s="198">
        <f t="shared" si="24"/>
        <v>6044.6346999999969</v>
      </c>
      <c r="EZ264" s="197">
        <v>22231.447390484998</v>
      </c>
      <c r="FA264" s="198">
        <v>1302.6887072300001</v>
      </c>
      <c r="FB264" s="198">
        <v>5685.1021118750004</v>
      </c>
      <c r="FC264" s="198">
        <v>5906.2105036400098</v>
      </c>
      <c r="FD264" s="198">
        <v>4732.7601379799999</v>
      </c>
      <c r="FE264" s="198">
        <v>75.509904660000004</v>
      </c>
      <c r="FF264" s="198">
        <f t="shared" si="17"/>
        <v>4604.6859297599876</v>
      </c>
      <c r="FG264" s="197">
        <v>20755723.558506995</v>
      </c>
      <c r="FH264" s="198">
        <v>1954854.4821219998</v>
      </c>
      <c r="FI264" s="198">
        <v>3493937.1189219998</v>
      </c>
      <c r="FJ264" s="198"/>
      <c r="FK264" s="198">
        <v>2059304.6201619999</v>
      </c>
      <c r="FL264" s="198"/>
      <c r="FM264" s="198">
        <f t="shared" si="28"/>
        <v>13247627.337300997</v>
      </c>
      <c r="FN264" s="197">
        <v>90528.311000000002</v>
      </c>
      <c r="FO264" s="198">
        <v>17871.045999999998</v>
      </c>
      <c r="FP264" s="198">
        <v>12698.419</v>
      </c>
      <c r="FQ264" s="198">
        <v>11903.837</v>
      </c>
      <c r="FR264" s="198">
        <v>15785.593000000001</v>
      </c>
      <c r="FS264" s="198"/>
      <c r="FT264" s="199">
        <f t="shared" si="25"/>
        <v>32269.416000000005</v>
      </c>
      <c r="FU264" s="197"/>
      <c r="FV264" s="198"/>
      <c r="FW264" s="198"/>
      <c r="FX264" s="198"/>
      <c r="FY264" s="198"/>
      <c r="FZ264" s="198"/>
      <c r="GA264" s="199"/>
      <c r="GB264" s="197">
        <v>2362.2040000000002</v>
      </c>
      <c r="GC264" s="198"/>
      <c r="GD264" s="198"/>
      <c r="GE264" s="198"/>
      <c r="GF264" s="198"/>
      <c r="GG264" s="198"/>
      <c r="GH264" s="199"/>
      <c r="GI264" s="197">
        <v>1261.4580000000001</v>
      </c>
      <c r="GJ264" s="198"/>
      <c r="GK264" s="198"/>
      <c r="GL264" s="198"/>
      <c r="GM264" s="198"/>
      <c r="GN264" s="198"/>
      <c r="GO264" s="199"/>
      <c r="GP264" s="197">
        <v>3845.884</v>
      </c>
      <c r="GQ264" s="198"/>
      <c r="GR264" s="198"/>
      <c r="GS264" s="198"/>
      <c r="GT264" s="198"/>
      <c r="GU264" s="198"/>
      <c r="GV264" s="199"/>
      <c r="GW264" s="197">
        <f>[2]sur!P48</f>
        <v>2636</v>
      </c>
      <c r="GX264" s="198">
        <f>[2]sur!Q48</f>
        <v>163.80000000000001</v>
      </c>
      <c r="GY264" s="198">
        <f>[2]sur!R48</f>
        <v>640.20000000000005</v>
      </c>
      <c r="GZ264" s="198">
        <f>[2]sur!S48</f>
        <v>439.1</v>
      </c>
      <c r="HA264" s="198"/>
      <c r="HB264" s="198"/>
      <c r="HC264" s="199">
        <f>[2]sur!V48</f>
        <v>1392.8999999999996</v>
      </c>
      <c r="HD264" s="197"/>
      <c r="HE264" s="198"/>
      <c r="HF264" s="198"/>
      <c r="HG264" s="198"/>
      <c r="HH264" s="198"/>
      <c r="HI264" s="198"/>
      <c r="HJ264" s="199"/>
      <c r="HK264" s="197">
        <v>7491.7841463755003</v>
      </c>
      <c r="HL264" s="198">
        <v>1405.5922721113977</v>
      </c>
      <c r="HM264" s="198">
        <v>706.62706882451653</v>
      </c>
      <c r="HN264" s="198">
        <v>132.35252892731182</v>
      </c>
      <c r="HO264" s="198">
        <v>2673.3603210382003</v>
      </c>
      <c r="HP264" s="198"/>
      <c r="HQ264" s="198">
        <f t="shared" si="16"/>
        <v>2573.8519554740737</v>
      </c>
      <c r="HR264" s="197">
        <v>142696.261</v>
      </c>
      <c r="HS264" s="198">
        <v>7491.5420000000004</v>
      </c>
      <c r="HT264" s="198">
        <v>57605.055999999997</v>
      </c>
      <c r="HU264" s="198">
        <v>18134.184000000001</v>
      </c>
      <c r="HV264" s="198">
        <v>33160.277000000002</v>
      </c>
      <c r="HW264" s="198">
        <v>4636.5680000000002</v>
      </c>
      <c r="HX264" s="198">
        <v>21668.633999999998</v>
      </c>
      <c r="HY264" s="198"/>
    </row>
    <row r="265" spans="1:233">
      <c r="A265" s="185" t="s">
        <v>496</v>
      </c>
      <c r="B265" s="197">
        <v>3106.386</v>
      </c>
      <c r="C265" s="198"/>
      <c r="D265" s="198"/>
      <c r="E265" s="198"/>
      <c r="F265" s="198"/>
      <c r="G265" s="198"/>
      <c r="H265" s="199"/>
      <c r="I265" s="197">
        <v>153344.1</v>
      </c>
      <c r="J265" s="198"/>
      <c r="K265" s="198"/>
      <c r="L265" s="198">
        <v>18381.400000000001</v>
      </c>
      <c r="M265" s="198">
        <v>27435.599999999999</v>
      </c>
      <c r="N265" s="198"/>
      <c r="O265" s="199">
        <f>[3]arg!$G131</f>
        <v>91522.900000000009</v>
      </c>
      <c r="P265" s="198">
        <v>7024.7150000000001</v>
      </c>
      <c r="Q265" s="198">
        <v>31.097000000000001</v>
      </c>
      <c r="R265" s="198">
        <v>364.48099999999999</v>
      </c>
      <c r="S265" s="198">
        <v>414.51400000000001</v>
      </c>
      <c r="T265" s="198">
        <v>5053.92</v>
      </c>
      <c r="U265" s="198"/>
      <c r="V265" s="199">
        <f t="shared" si="22"/>
        <v>1160.7030000000004</v>
      </c>
      <c r="W265" s="198">
        <v>5695.5050000000001</v>
      </c>
      <c r="X265" s="198">
        <v>109.67100000000001</v>
      </c>
      <c r="Y265" s="198">
        <v>908.21499999999992</v>
      </c>
      <c r="Z265" s="198">
        <v>457.28100000000001</v>
      </c>
      <c r="AA265" s="198">
        <v>2670.855</v>
      </c>
      <c r="AB265" s="198"/>
      <c r="AC265" s="199">
        <f t="shared" si="14"/>
        <v>1549.4829999999997</v>
      </c>
      <c r="AD265" s="198"/>
      <c r="AE265" s="198">
        <v>49.337000000000003</v>
      </c>
      <c r="AF265" s="198">
        <v>356.16500000000002</v>
      </c>
      <c r="AG265" s="198">
        <v>649.39499999999998</v>
      </c>
      <c r="AH265" s="198">
        <v>379.33199999999999</v>
      </c>
      <c r="AI265" s="198"/>
      <c r="AJ265" s="198"/>
      <c r="AK265" s="197"/>
      <c r="AL265" s="198"/>
      <c r="AM265" s="198"/>
      <c r="AN265" s="198"/>
      <c r="AO265" s="198"/>
      <c r="AP265" s="198"/>
      <c r="AQ265" s="199"/>
      <c r="AR265" s="198">
        <v>1327273.284585665</v>
      </c>
      <c r="AS265" s="198">
        <v>296049.26870651002</v>
      </c>
      <c r="AT265" s="198">
        <v>124696.24031282999</v>
      </c>
      <c r="AU265" s="198">
        <v>79849.895729569995</v>
      </c>
      <c r="AV265" s="198">
        <v>437502.12768169999</v>
      </c>
      <c r="AW265" s="198"/>
      <c r="AX265" s="198">
        <v>389175.752155055</v>
      </c>
      <c r="AY265" s="197">
        <v>67210287</v>
      </c>
      <c r="AZ265" s="198"/>
      <c r="BA265" s="198">
        <v>41977000</v>
      </c>
      <c r="BB265" s="198">
        <v>16807000</v>
      </c>
      <c r="BC265" s="198">
        <v>8426000</v>
      </c>
      <c r="BD265" s="198"/>
      <c r="BE265" s="198"/>
      <c r="BF265" s="197">
        <v>147989801.11000004</v>
      </c>
      <c r="BG265" s="198"/>
      <c r="BH265" s="198">
        <v>93986004.200000018</v>
      </c>
      <c r="BI265" s="198">
        <v>10226471.669999998</v>
      </c>
      <c r="BJ265" s="198">
        <v>40118337.899999999</v>
      </c>
      <c r="BK265" s="198">
        <v>3658987.34</v>
      </c>
      <c r="BL265" s="198"/>
      <c r="BM265" s="197">
        <v>8719503.1469999999</v>
      </c>
      <c r="BN265" s="198">
        <v>403824.58799999999</v>
      </c>
      <c r="BO265" s="198">
        <v>923752.82700000005</v>
      </c>
      <c r="BP265" s="198">
        <v>2833884.503</v>
      </c>
      <c r="BQ265" s="198">
        <v>2300474.2450000001</v>
      </c>
      <c r="BR265" s="198"/>
      <c r="BS265" s="198">
        <f t="shared" si="2"/>
        <v>2257566.9839999992</v>
      </c>
      <c r="BT265" s="197"/>
      <c r="BU265" s="198"/>
      <c r="BV265" s="198"/>
      <c r="BW265" s="198"/>
      <c r="BX265" s="198"/>
      <c r="BY265" s="198"/>
      <c r="BZ265" s="199"/>
      <c r="CA265" s="198">
        <v>741.73099999999999</v>
      </c>
      <c r="CB265" s="198"/>
      <c r="CC265" s="198"/>
      <c r="CD265" s="198"/>
      <c r="CE265" s="198"/>
      <c r="CF265" s="198"/>
      <c r="CG265" s="199"/>
      <c r="CH265" s="197">
        <v>13145695.23715</v>
      </c>
      <c r="CI265" s="198"/>
      <c r="CJ265" s="198">
        <v>6031579.4112100005</v>
      </c>
      <c r="CK265" s="198">
        <v>1540675.6161700003</v>
      </c>
      <c r="CL265" s="198">
        <v>4038385.6328999996</v>
      </c>
      <c r="CM265" s="198">
        <v>1535054.57687</v>
      </c>
      <c r="CN265" s="198"/>
      <c r="CO265" s="197">
        <v>8711.28233</v>
      </c>
      <c r="CP265" s="198">
        <v>704.99718000000007</v>
      </c>
      <c r="CQ265" s="198">
        <v>1333.8439900000001</v>
      </c>
      <c r="CR265" s="198">
        <v>2210.05474</v>
      </c>
      <c r="CS265" s="198">
        <v>2304.5676899999999</v>
      </c>
      <c r="CT265" s="198"/>
      <c r="CU265" s="198">
        <v>2157.8187300000004</v>
      </c>
      <c r="CV265" s="197">
        <v>1919.499</v>
      </c>
      <c r="CW265" s="198"/>
      <c r="CX265" s="198"/>
      <c r="CY265" s="198"/>
      <c r="CZ265" s="198"/>
      <c r="DA265" s="198"/>
      <c r="DB265" s="199"/>
      <c r="DC265" s="197">
        <v>76984.407999999996</v>
      </c>
      <c r="DD265" s="198">
        <v>8394.3369999999995</v>
      </c>
      <c r="DE265" s="198">
        <v>15187.933999999999</v>
      </c>
      <c r="DF265" s="198"/>
      <c r="DG265" s="198">
        <v>20210.798999999999</v>
      </c>
      <c r="DH265" s="198"/>
      <c r="DI265" s="198">
        <f t="shared" si="23"/>
        <v>33191.337999999996</v>
      </c>
      <c r="DJ265" s="197">
        <f>3070.2+56655.6</f>
        <v>59725.799999999996</v>
      </c>
      <c r="DK265" s="198">
        <f>1988.7+12265.5</f>
        <v>14254.2</v>
      </c>
      <c r="DL265" s="198">
        <f>1786.9+12182.6</f>
        <v>13969.5</v>
      </c>
      <c r="DM265" s="198">
        <v>4613.5</v>
      </c>
      <c r="DN265" s="198">
        <f>17022.6-DM265</f>
        <v>12409.099999999999</v>
      </c>
      <c r="DO265" s="198"/>
      <c r="DP265" s="198">
        <f t="shared" si="30"/>
        <v>14479.5</v>
      </c>
      <c r="DQ265" s="197"/>
      <c r="DR265" s="198"/>
      <c r="DS265" s="198"/>
      <c r="DT265" s="198"/>
      <c r="DU265" s="198"/>
      <c r="DV265" s="198"/>
      <c r="DW265" s="198"/>
      <c r="DX265" s="197">
        <v>135132.93828300998</v>
      </c>
      <c r="DY265" s="198"/>
      <c r="DZ265" s="198">
        <v>88091.813833659995</v>
      </c>
      <c r="EA265" s="198">
        <v>24467.365190709999</v>
      </c>
      <c r="EB265" s="198">
        <v>21188.432211090003</v>
      </c>
      <c r="EC265" s="198">
        <v>1385.3270475500003</v>
      </c>
      <c r="ED265" s="198"/>
      <c r="EE265" s="197">
        <v>259701.97899999999</v>
      </c>
      <c r="EF265" s="198">
        <v>9154.982</v>
      </c>
      <c r="EG265" s="198">
        <v>66058.724000000002</v>
      </c>
      <c r="EH265" s="198">
        <v>19004.839</v>
      </c>
      <c r="EI265" s="198">
        <v>90349.71</v>
      </c>
      <c r="EJ265" s="198"/>
      <c r="EK265" s="198">
        <f t="shared" si="29"/>
        <v>75133.723999999973</v>
      </c>
      <c r="EL265" s="197">
        <v>1853090.8844900001</v>
      </c>
      <c r="EM265" s="198">
        <v>869804.45347600023</v>
      </c>
      <c r="EN265" s="198">
        <v>69278.251667000004</v>
      </c>
      <c r="EO265" s="198">
        <v>319665.29703199997</v>
      </c>
      <c r="EP265" s="198">
        <v>405837.23053699988</v>
      </c>
      <c r="EQ265" s="198"/>
      <c r="ER265" s="198">
        <v>188505.65159100003</v>
      </c>
      <c r="ES265" s="197">
        <v>43544.244584189968</v>
      </c>
      <c r="ET265" s="198">
        <v>4206.3027103699997</v>
      </c>
      <c r="EU265" s="198">
        <v>14440.001532169999</v>
      </c>
      <c r="EV265" s="198">
        <v>6621.9576292600004</v>
      </c>
      <c r="EW265" s="198">
        <v>12068.65469952997</v>
      </c>
      <c r="EX265" s="198"/>
      <c r="EY265" s="198">
        <f t="shared" si="24"/>
        <v>6207.3280128599999</v>
      </c>
      <c r="EZ265" s="197">
        <v>22241.607879651001</v>
      </c>
      <c r="FA265" s="198">
        <v>1365.3686510299999</v>
      </c>
      <c r="FB265" s="198">
        <v>5563.7481988910004</v>
      </c>
      <c r="FC265" s="198">
        <v>5968.4476759499903</v>
      </c>
      <c r="FD265" s="198">
        <v>4731.9665947500098</v>
      </c>
      <c r="FE265" s="198">
        <v>75.622909770000007</v>
      </c>
      <c r="FF265" s="198">
        <f t="shared" si="17"/>
        <v>4612.0767590300011</v>
      </c>
      <c r="FG265" s="197">
        <v>20710524.180257</v>
      </c>
      <c r="FH265" s="198">
        <v>1924845.056966</v>
      </c>
      <c r="FI265" s="198">
        <v>3731749.747467</v>
      </c>
      <c r="FJ265" s="198"/>
      <c r="FK265" s="198">
        <v>2099945.4340659999</v>
      </c>
      <c r="FL265" s="198"/>
      <c r="FM265" s="198">
        <f t="shared" si="28"/>
        <v>12953983.941757999</v>
      </c>
      <c r="FN265" s="197">
        <v>89749.808999999994</v>
      </c>
      <c r="FO265" s="198">
        <v>17203.523000000001</v>
      </c>
      <c r="FP265" s="198">
        <v>12529.439</v>
      </c>
      <c r="FQ265" s="198">
        <v>11967.013999999999</v>
      </c>
      <c r="FR265" s="198">
        <v>15908.467000000001</v>
      </c>
      <c r="FS265" s="198"/>
      <c r="FT265" s="199">
        <f t="shared" si="25"/>
        <v>32141.365999999995</v>
      </c>
      <c r="FU265" s="197"/>
      <c r="FV265" s="198"/>
      <c r="FW265" s="198"/>
      <c r="FX265" s="198"/>
      <c r="FY265" s="198"/>
      <c r="FZ265" s="198"/>
      <c r="GA265" s="199"/>
      <c r="GB265" s="197">
        <v>2236.6080000000002</v>
      </c>
      <c r="GC265" s="198"/>
      <c r="GD265" s="198"/>
      <c r="GE265" s="198"/>
      <c r="GF265" s="198"/>
      <c r="GG265" s="198"/>
      <c r="GH265" s="199"/>
      <c r="GI265" s="197">
        <v>1266.02</v>
      </c>
      <c r="GJ265" s="198"/>
      <c r="GK265" s="198"/>
      <c r="GL265" s="198"/>
      <c r="GM265" s="198"/>
      <c r="GN265" s="198"/>
      <c r="GO265" s="199"/>
      <c r="GP265" s="197">
        <v>3856.9490000000001</v>
      </c>
      <c r="GQ265" s="198"/>
      <c r="GR265" s="198"/>
      <c r="GS265" s="198"/>
      <c r="GT265" s="198"/>
      <c r="GU265" s="198"/>
      <c r="GV265" s="199"/>
      <c r="GW265" s="197">
        <f>[2]sur!P49</f>
        <v>2651.7</v>
      </c>
      <c r="GX265" s="198">
        <f>[2]sur!Q49</f>
        <v>158.5</v>
      </c>
      <c r="GY265" s="198">
        <f>[2]sur!R49</f>
        <v>631.20000000000005</v>
      </c>
      <c r="GZ265" s="198">
        <f>[2]sur!S49</f>
        <v>442.59999999999997</v>
      </c>
      <c r="HA265" s="198"/>
      <c r="HB265" s="198"/>
      <c r="HC265" s="199">
        <f>[2]sur!V49</f>
        <v>1419.4</v>
      </c>
      <c r="HD265" s="197"/>
      <c r="HE265" s="198"/>
      <c r="HF265" s="198"/>
      <c r="HG265" s="198"/>
      <c r="HH265" s="198"/>
      <c r="HI265" s="198"/>
      <c r="HJ265" s="199"/>
      <c r="HK265" s="197">
        <v>7626.2821006589993</v>
      </c>
      <c r="HL265" s="198">
        <v>1411.5393051999997</v>
      </c>
      <c r="HM265" s="198">
        <v>689.3241787500001</v>
      </c>
      <c r="HN265" s="198">
        <v>132.22890421000002</v>
      </c>
      <c r="HO265" s="198">
        <v>2761.7685687722005</v>
      </c>
      <c r="HP265" s="198"/>
      <c r="HQ265" s="198">
        <f t="shared" si="16"/>
        <v>2631.4211437267986</v>
      </c>
      <c r="HR265" s="197">
        <v>144375.071</v>
      </c>
      <c r="HS265" s="198">
        <v>7879.0879999999997</v>
      </c>
      <c r="HT265" s="198">
        <v>57539.512000000002</v>
      </c>
      <c r="HU265" s="198">
        <v>18645.381000000001</v>
      </c>
      <c r="HV265" s="198">
        <v>33402.269999999997</v>
      </c>
      <c r="HW265" s="198">
        <v>4611.6180000000004</v>
      </c>
      <c r="HX265" s="198">
        <v>22297.202000000001</v>
      </c>
      <c r="HY265" s="198"/>
    </row>
    <row r="266" spans="1:233">
      <c r="A266" s="185" t="s">
        <v>497</v>
      </c>
      <c r="B266" s="197">
        <v>3108.1039999999998</v>
      </c>
      <c r="C266" s="198">
        <v>50.600999999999999</v>
      </c>
      <c r="D266" s="198">
        <v>564.75800000000004</v>
      </c>
      <c r="E266" s="198">
        <v>752.60500000000002</v>
      </c>
      <c r="F266" s="198">
        <v>537.75699999999995</v>
      </c>
      <c r="G266" s="198"/>
      <c r="H266" s="199">
        <v>1202.383</v>
      </c>
      <c r="I266" s="197">
        <v>154789.4</v>
      </c>
      <c r="J266" s="198"/>
      <c r="K266" s="198"/>
      <c r="L266" s="198">
        <v>18494.3</v>
      </c>
      <c r="M266" s="198">
        <v>27982.9</v>
      </c>
      <c r="N266" s="198"/>
      <c r="O266" s="199">
        <f>[3]arg!$G132</f>
        <v>91095.9</v>
      </c>
      <c r="P266" s="198">
        <v>7070.13</v>
      </c>
      <c r="Q266" s="198">
        <v>31.718</v>
      </c>
      <c r="R266" s="198">
        <v>370.46099999999996</v>
      </c>
      <c r="S266" s="198">
        <v>414.37299999999999</v>
      </c>
      <c r="T266" s="198">
        <v>5042.9040000000005</v>
      </c>
      <c r="U266" s="198"/>
      <c r="V266" s="199">
        <f t="shared" si="22"/>
        <v>1210.674</v>
      </c>
      <c r="W266" s="198">
        <v>5727.8720000000003</v>
      </c>
      <c r="X266" s="198">
        <v>117.245</v>
      </c>
      <c r="Y266" s="198">
        <v>917.346</v>
      </c>
      <c r="Z266" s="198">
        <v>451.28100000000001</v>
      </c>
      <c r="AA266" s="198">
        <v>2683.2890000000002</v>
      </c>
      <c r="AB266" s="198"/>
      <c r="AC266" s="199">
        <f t="shared" si="14"/>
        <v>1558.7110000000007</v>
      </c>
      <c r="AD266" s="198"/>
      <c r="AE266" s="198">
        <v>51.13</v>
      </c>
      <c r="AF266" s="198">
        <v>362.03399999999999</v>
      </c>
      <c r="AG266" s="198">
        <v>654.57399999999996</v>
      </c>
      <c r="AH266" s="198">
        <v>376.00900000000001</v>
      </c>
      <c r="AI266" s="198"/>
      <c r="AJ266" s="198"/>
      <c r="AK266" s="197">
        <v>37366.722499999996</v>
      </c>
      <c r="AL266" s="198"/>
      <c r="AM266" s="198">
        <v>16067.690674999998</v>
      </c>
      <c r="AN266" s="198">
        <v>7473.3445000000002</v>
      </c>
      <c r="AO266" s="198">
        <v>3736.6722500000001</v>
      </c>
      <c r="AP266" s="198">
        <v>10089.015075000001</v>
      </c>
      <c r="AQ266" s="199"/>
      <c r="AR266" s="198">
        <v>1348198.3787612601</v>
      </c>
      <c r="AS266" s="198">
        <v>298796.91460923007</v>
      </c>
      <c r="AT266" s="198">
        <v>127501.49971223999</v>
      </c>
      <c r="AU266" s="198">
        <v>82715.881560050009</v>
      </c>
      <c r="AV266" s="198">
        <v>444685.69767902</v>
      </c>
      <c r="AW266" s="198"/>
      <c r="AX266" s="198">
        <v>394498.38520072005</v>
      </c>
      <c r="AY266" s="197">
        <v>67331232</v>
      </c>
      <c r="AZ266" s="198"/>
      <c r="BA266" s="198">
        <v>41949249</v>
      </c>
      <c r="BB266" s="198">
        <v>16924610</v>
      </c>
      <c r="BC266" s="198">
        <v>8457373</v>
      </c>
      <c r="BD266" s="198"/>
      <c r="BE266" s="198"/>
      <c r="BF266" s="197">
        <v>148051682.59999999</v>
      </c>
      <c r="BG266" s="198"/>
      <c r="BH266" s="198">
        <v>93560061.800000012</v>
      </c>
      <c r="BI266" s="198">
        <v>10538351.889999999</v>
      </c>
      <c r="BJ266" s="198">
        <v>40227264.250000007</v>
      </c>
      <c r="BK266" s="198">
        <v>3726004.66</v>
      </c>
      <c r="BL266" s="198"/>
      <c r="BM266" s="197">
        <v>8758964.0449999999</v>
      </c>
      <c r="BN266" s="198">
        <v>414662.22</v>
      </c>
      <c r="BO266" s="198">
        <v>920328.272</v>
      </c>
      <c r="BP266" s="198">
        <v>2845208.5619999999</v>
      </c>
      <c r="BQ266" s="198">
        <v>2315328.227</v>
      </c>
      <c r="BR266" s="198"/>
      <c r="BS266" s="198">
        <f t="shared" si="2"/>
        <v>2263436.7640000004</v>
      </c>
      <c r="BT266" s="197"/>
      <c r="BU266" s="198"/>
      <c r="BV266" s="198"/>
      <c r="BW266" s="198"/>
      <c r="BX266" s="198"/>
      <c r="BY266" s="198"/>
      <c r="BZ266" s="199"/>
      <c r="CA266" s="198">
        <v>749.255</v>
      </c>
      <c r="CB266" s="198">
        <v>34.345999999999997</v>
      </c>
      <c r="CC266" s="198">
        <v>101.16</v>
      </c>
      <c r="CD266" s="198">
        <v>242.78100000000001</v>
      </c>
      <c r="CE266" s="198">
        <v>154.30600000000001</v>
      </c>
      <c r="CF266" s="198"/>
      <c r="CG266" s="199">
        <f>CA266-CB266-CC266-CD266-CE266</f>
        <v>216.66200000000001</v>
      </c>
      <c r="CH266" s="197">
        <v>13309078.398940001</v>
      </c>
      <c r="CI266" s="198"/>
      <c r="CJ266" s="198">
        <v>6088631.3706899993</v>
      </c>
      <c r="CK266" s="198">
        <v>1561202.43352</v>
      </c>
      <c r="CL266" s="198">
        <v>4098923.0404300001</v>
      </c>
      <c r="CM266" s="198">
        <v>1560321.5543</v>
      </c>
      <c r="CN266" s="198"/>
      <c r="CO266" s="197">
        <v>8673.6139999999996</v>
      </c>
      <c r="CP266" s="198">
        <v>692.12883999999997</v>
      </c>
      <c r="CQ266" s="198">
        <v>1322.0195200000001</v>
      </c>
      <c r="CR266" s="198">
        <v>2207.4781800000001</v>
      </c>
      <c r="CS266" s="198">
        <v>2328.7167400000003</v>
      </c>
      <c r="CT266" s="198"/>
      <c r="CU266" s="198">
        <v>2123.2707199999995</v>
      </c>
      <c r="CV266" s="197">
        <v>1925.249</v>
      </c>
      <c r="CW266" s="198">
        <v>38.841999999999999</v>
      </c>
      <c r="CX266" s="198">
        <v>339.12099999999998</v>
      </c>
      <c r="CY266" s="198">
        <v>623.32899999999995</v>
      </c>
      <c r="CZ266" s="198">
        <v>504.54899999999998</v>
      </c>
      <c r="DA266" s="198"/>
      <c r="DB266" s="199">
        <f>CV266-CW266-CX266-CY266-CZ266</f>
        <v>419.40800000000013</v>
      </c>
      <c r="DC266" s="197">
        <v>77183.271999999997</v>
      </c>
      <c r="DD266" s="198">
        <v>8510.5619999999999</v>
      </c>
      <c r="DE266" s="198">
        <v>15125.539000000001</v>
      </c>
      <c r="DF266" s="198"/>
      <c r="DG266" s="198">
        <v>20243.492999999999</v>
      </c>
      <c r="DH266" s="198"/>
      <c r="DI266" s="198">
        <f t="shared" si="23"/>
        <v>33303.677999999985</v>
      </c>
      <c r="DJ266" s="197">
        <f>2861.3+57049</f>
        <v>59910.3</v>
      </c>
      <c r="DK266" s="198">
        <f>2013+10980.5</f>
        <v>12993.5</v>
      </c>
      <c r="DL266" s="198">
        <f>1805.6+12406.1</f>
        <v>14211.7</v>
      </c>
      <c r="DM266" s="198">
        <v>4665.8999999999996</v>
      </c>
      <c r="DN266" s="198">
        <f>17191.7-DM266</f>
        <v>12525.800000000001</v>
      </c>
      <c r="DO266" s="198"/>
      <c r="DP266" s="198">
        <f t="shared" si="30"/>
        <v>15513.400000000001</v>
      </c>
      <c r="DQ266" s="197"/>
      <c r="DR266" s="198"/>
      <c r="DS266" s="198"/>
      <c r="DT266" s="198"/>
      <c r="DU266" s="198"/>
      <c r="DV266" s="198"/>
      <c r="DW266" s="198"/>
      <c r="DX266" s="197">
        <v>135033.83979015</v>
      </c>
      <c r="DY266" s="198"/>
      <c r="DZ266" s="198">
        <v>87814.528442739989</v>
      </c>
      <c r="EA266" s="198">
        <v>24679.41177694</v>
      </c>
      <c r="EB266" s="198">
        <v>21166.61937407</v>
      </c>
      <c r="EC266" s="198">
        <v>1373.2801964</v>
      </c>
      <c r="ED266" s="198"/>
      <c r="EE266" s="197">
        <v>257227.40100000001</v>
      </c>
      <c r="EF266" s="198">
        <v>8687.1299999999992</v>
      </c>
      <c r="EG266" s="198">
        <v>64955.868999999999</v>
      </c>
      <c r="EH266" s="198">
        <v>19375.795999999998</v>
      </c>
      <c r="EI266" s="198">
        <v>90480.057000000001</v>
      </c>
      <c r="EJ266" s="198"/>
      <c r="EK266" s="198">
        <f t="shared" si="29"/>
        <v>73728.548999999999</v>
      </c>
      <c r="EL266" s="197">
        <v>1890390.2403520001</v>
      </c>
      <c r="EM266" s="198">
        <v>884684.99960900005</v>
      </c>
      <c r="EN266" s="198">
        <v>67303.945070999995</v>
      </c>
      <c r="EO266" s="198">
        <v>323803.878103</v>
      </c>
      <c r="EP266" s="198">
        <v>398744.97300700005</v>
      </c>
      <c r="EQ266" s="198"/>
      <c r="ER266" s="198">
        <v>215852.44476400004</v>
      </c>
      <c r="ES266" s="197">
        <v>43394.764482129991</v>
      </c>
      <c r="ET266" s="198">
        <v>4091.0400209600002</v>
      </c>
      <c r="EU266" s="198">
        <v>14465.036390159999</v>
      </c>
      <c r="EV266" s="198">
        <v>6631.8629714999997</v>
      </c>
      <c r="EW266" s="198">
        <v>11871.80972048999</v>
      </c>
      <c r="EX266" s="198"/>
      <c r="EY266" s="198">
        <f t="shared" si="24"/>
        <v>6335.0153790200056</v>
      </c>
      <c r="EZ266" s="197">
        <v>22208.8287488266</v>
      </c>
      <c r="FA266" s="198">
        <v>1210.2266202599999</v>
      </c>
      <c r="FB266" s="198">
        <v>5685.3547883765996</v>
      </c>
      <c r="FC266" s="198">
        <v>6017.8823817499997</v>
      </c>
      <c r="FD266" s="198">
        <v>4746.3081982800004</v>
      </c>
      <c r="FE266" s="198">
        <v>75.492110530000005</v>
      </c>
      <c r="FF266" s="198">
        <f t="shared" si="17"/>
        <v>4549.0567601599987</v>
      </c>
      <c r="FG266" s="197">
        <v>21033237.039913002</v>
      </c>
      <c r="FH266" s="198">
        <v>1948799.0656070001</v>
      </c>
      <c r="FI266" s="198">
        <v>3870518.0771150002</v>
      </c>
      <c r="FJ266" s="198"/>
      <c r="FK266" s="198">
        <v>2142677.283537</v>
      </c>
      <c r="FL266" s="198"/>
      <c r="FM266" s="198">
        <f t="shared" ref="FM266:FM277" si="31">FG266-FH266-FI266-FK266</f>
        <v>13071242.613654003</v>
      </c>
      <c r="FN266" s="197">
        <v>88284.857000000004</v>
      </c>
      <c r="FO266" s="198">
        <v>16164.255999999999</v>
      </c>
      <c r="FP266" s="198">
        <v>12194.545</v>
      </c>
      <c r="FQ266" s="198">
        <v>12003.293</v>
      </c>
      <c r="FR266" s="198">
        <v>15998.821</v>
      </c>
      <c r="FS266" s="198"/>
      <c r="FT266" s="199">
        <f t="shared" si="25"/>
        <v>31923.94200000001</v>
      </c>
      <c r="FU266" s="197">
        <v>373571.11906381015</v>
      </c>
      <c r="FV266" s="198">
        <v>28576.904923370024</v>
      </c>
      <c r="FW266" s="198">
        <v>44590.350540119995</v>
      </c>
      <c r="FX266" s="198">
        <v>80719.384247419963</v>
      </c>
      <c r="FY266" s="198">
        <v>84968.578294410123</v>
      </c>
      <c r="FZ266" s="198"/>
      <c r="GA266" s="199">
        <f>FU266-FV266-FW266-FX266-FY266</f>
        <v>134715.90105849004</v>
      </c>
      <c r="GB266" s="197">
        <v>2251.3629999999998</v>
      </c>
      <c r="GC266" s="198">
        <v>22.256</v>
      </c>
      <c r="GD266" s="198">
        <v>213.05</v>
      </c>
      <c r="GE266" s="198">
        <v>436.38900000000001</v>
      </c>
      <c r="GF266" s="198">
        <v>400.89800000000002</v>
      </c>
      <c r="GG266" s="198"/>
      <c r="GH266" s="199">
        <f>GB266-GC266-GD266-GE266-GF266</f>
        <v>1178.77</v>
      </c>
      <c r="GI266" s="197">
        <v>1263.211</v>
      </c>
      <c r="GJ266" s="198">
        <v>56.347000000000001</v>
      </c>
      <c r="GK266" s="198">
        <v>135.899</v>
      </c>
      <c r="GL266" s="198">
        <v>360.97</v>
      </c>
      <c r="GM266" s="198">
        <v>247.80099999999999</v>
      </c>
      <c r="GN266" s="198"/>
      <c r="GO266" s="199">
        <f>GI266-GJ266-GK266-GL266-GM266</f>
        <v>462.19400000000013</v>
      </c>
      <c r="GP266" s="197">
        <v>3875.4760000000001</v>
      </c>
      <c r="GQ266" s="198">
        <v>94.144000000000005</v>
      </c>
      <c r="GR266" s="198">
        <v>1046.8969999999999</v>
      </c>
      <c r="GS266" s="198">
        <v>580.94399999999996</v>
      </c>
      <c r="GT266" s="198">
        <v>517.44899999999996</v>
      </c>
      <c r="GU266" s="198"/>
      <c r="GV266" s="199">
        <f>GP266-GQ266-GR266-GS266-GT266</f>
        <v>1636.0420000000004</v>
      </c>
      <c r="GW266" s="197">
        <f>[2]sur!P50</f>
        <v>2686.8</v>
      </c>
      <c r="GX266" s="198">
        <f>[2]sur!Q50</f>
        <v>156.19999999999999</v>
      </c>
      <c r="GY266" s="198">
        <f>[2]sur!R50</f>
        <v>640.6</v>
      </c>
      <c r="GZ266" s="198">
        <f>[2]sur!S50</f>
        <v>448.40000000000003</v>
      </c>
      <c r="HA266" s="198"/>
      <c r="HB266" s="198"/>
      <c r="HC266" s="199">
        <f>[2]sur!V50</f>
        <v>1441.6</v>
      </c>
      <c r="HD266" s="197">
        <f>'[2]t&amp;t'!W398</f>
        <v>44879</v>
      </c>
      <c r="HE266" s="198">
        <f>'[2]t&amp;t'!X398</f>
        <v>3302.3</v>
      </c>
      <c r="HF266" s="198">
        <f>'[2]t&amp;t'!Y398</f>
        <v>3668.2000000000003</v>
      </c>
      <c r="HG266" s="198">
        <f>'[2]t&amp;t'!Z398</f>
        <v>8829.2999999999993</v>
      </c>
      <c r="HH266" s="198">
        <f>'[2]t&amp;t'!AA398</f>
        <v>12257.4</v>
      </c>
      <c r="HI266" s="198"/>
      <c r="HJ266" s="199">
        <f>'[2]t&amp;t'!AC398</f>
        <v>16821.8</v>
      </c>
      <c r="HK266" s="197">
        <v>7788.718629</v>
      </c>
      <c r="HL266" s="198">
        <v>1333.1547430000001</v>
      </c>
      <c r="HM266" s="198">
        <v>721.48841299999992</v>
      </c>
      <c r="HN266" s="198">
        <v>138.19603900000001</v>
      </c>
      <c r="HO266" s="198">
        <v>2941.5322230000002</v>
      </c>
      <c r="HP266" s="198"/>
      <c r="HQ266" s="198">
        <f t="shared" si="16"/>
        <v>2654.3472109999993</v>
      </c>
      <c r="HR266" s="197">
        <v>151090.11300000001</v>
      </c>
      <c r="HS266" s="198">
        <v>8270.2939999999999</v>
      </c>
      <c r="HT266" s="198">
        <v>61584.116000000002</v>
      </c>
      <c r="HU266" s="198">
        <v>19256.217000000001</v>
      </c>
      <c r="HV266" s="198">
        <v>33781.542999999998</v>
      </c>
      <c r="HW266" s="198">
        <v>4776.4629999999997</v>
      </c>
      <c r="HX266" s="198">
        <v>23421.48</v>
      </c>
      <c r="HY266" s="198"/>
    </row>
    <row r="267" spans="1:233">
      <c r="A267" s="185" t="s">
        <v>498</v>
      </c>
      <c r="B267" s="197">
        <v>3118.4569999999999</v>
      </c>
      <c r="C267" s="198"/>
      <c r="D267" s="198"/>
      <c r="E267" s="198"/>
      <c r="F267" s="198"/>
      <c r="G267" s="198"/>
      <c r="H267" s="199"/>
      <c r="I267" s="197">
        <v>156822</v>
      </c>
      <c r="J267" s="198"/>
      <c r="K267" s="198"/>
      <c r="L267" s="198">
        <v>18582.099999999999</v>
      </c>
      <c r="M267" s="198">
        <v>28487.3</v>
      </c>
      <c r="N267" s="198"/>
      <c r="O267" s="199">
        <f>[3]arg!$G133</f>
        <v>92244.400000000009</v>
      </c>
      <c r="P267" s="198">
        <v>7143.116</v>
      </c>
      <c r="Q267" s="198">
        <v>29.138999999999999</v>
      </c>
      <c r="R267" s="198">
        <v>374.29199999999997</v>
      </c>
      <c r="S267" s="198">
        <v>401.76900000000001</v>
      </c>
      <c r="T267" s="198">
        <v>5022.6469999999999</v>
      </c>
      <c r="U267" s="198"/>
      <c r="V267" s="199">
        <f t="shared" si="22"/>
        <v>1315.2689999999993</v>
      </c>
      <c r="W267" s="198">
        <v>5787.8549999999996</v>
      </c>
      <c r="X267" s="198">
        <v>115.361</v>
      </c>
      <c r="Y267" s="198">
        <v>903.58200000000011</v>
      </c>
      <c r="Z267" s="198">
        <v>453.66500000000002</v>
      </c>
      <c r="AA267" s="198">
        <v>2700.489</v>
      </c>
      <c r="AB267" s="198"/>
      <c r="AC267" s="199">
        <f t="shared" si="14"/>
        <v>1614.7579999999994</v>
      </c>
      <c r="AD267" s="198"/>
      <c r="AE267" s="198">
        <v>52.216000000000001</v>
      </c>
      <c r="AF267" s="198">
        <v>368.58100000000002</v>
      </c>
      <c r="AG267" s="198">
        <v>657.4</v>
      </c>
      <c r="AH267" s="198">
        <v>376.322</v>
      </c>
      <c r="AI267" s="198"/>
      <c r="AJ267" s="198"/>
      <c r="AK267" s="197"/>
      <c r="AL267" s="198"/>
      <c r="AM267" s="198"/>
      <c r="AN267" s="198"/>
      <c r="AO267" s="198"/>
      <c r="AP267" s="198"/>
      <c r="AQ267" s="199"/>
      <c r="AR267" s="198">
        <v>1367597.5774984499</v>
      </c>
      <c r="AS267" s="198">
        <v>299058.43225265003</v>
      </c>
      <c r="AT267" s="198">
        <v>130680.15405658999</v>
      </c>
      <c r="AU267" s="198">
        <v>85243.377198460003</v>
      </c>
      <c r="AV267" s="198">
        <v>451890.80519006995</v>
      </c>
      <c r="AW267" s="198"/>
      <c r="AX267" s="198">
        <v>400724.80880067975</v>
      </c>
      <c r="AY267" s="197">
        <v>67528285</v>
      </c>
      <c r="AZ267" s="198"/>
      <c r="BA267" s="198">
        <v>41842605</v>
      </c>
      <c r="BB267" s="198">
        <v>17165569</v>
      </c>
      <c r="BC267" s="198">
        <v>8520111</v>
      </c>
      <c r="BD267" s="198"/>
      <c r="BE267" s="198"/>
      <c r="BF267" s="197">
        <v>148859060.29999998</v>
      </c>
      <c r="BG267" s="198"/>
      <c r="BH267" s="198">
        <v>93716470.649999991</v>
      </c>
      <c r="BI267" s="198">
        <v>10847845.889999999</v>
      </c>
      <c r="BJ267" s="198">
        <v>40493683.429999992</v>
      </c>
      <c r="BK267" s="198">
        <v>3801060.33</v>
      </c>
      <c r="BL267" s="198"/>
      <c r="BM267" s="197">
        <v>8771192.0899999999</v>
      </c>
      <c r="BN267" s="198">
        <v>415451.261</v>
      </c>
      <c r="BO267" s="198">
        <v>921202.87800000003</v>
      </c>
      <c r="BP267" s="198">
        <v>2841580.8189999997</v>
      </c>
      <c r="BQ267" s="198">
        <v>2318094.4479999999</v>
      </c>
      <c r="BR267" s="198"/>
      <c r="BS267" s="198">
        <f t="shared" si="2"/>
        <v>2274862.6840000004</v>
      </c>
      <c r="BT267" s="197"/>
      <c r="BU267" s="198"/>
      <c r="BV267" s="198"/>
      <c r="BW267" s="198"/>
      <c r="BX267" s="198"/>
      <c r="BY267" s="198"/>
      <c r="BZ267" s="199"/>
      <c r="CA267" s="198">
        <v>768.452</v>
      </c>
      <c r="CB267" s="198"/>
      <c r="CC267" s="198"/>
      <c r="CD267" s="198"/>
      <c r="CE267" s="198"/>
      <c r="CF267" s="198"/>
      <c r="CG267" s="199"/>
      <c r="CH267" s="197">
        <v>13460700.75963</v>
      </c>
      <c r="CI267" s="198"/>
      <c r="CJ267" s="198">
        <v>6161598.3421099996</v>
      </c>
      <c r="CK267" s="198">
        <v>1584842.1046500001</v>
      </c>
      <c r="CL267" s="198">
        <v>4128283.3421499999</v>
      </c>
      <c r="CM267" s="198">
        <v>1585976.9707199999</v>
      </c>
      <c r="CN267" s="198"/>
      <c r="CO267" s="197">
        <v>8629.8951099999995</v>
      </c>
      <c r="CP267" s="198">
        <v>681.16043000000002</v>
      </c>
      <c r="CQ267" s="198">
        <v>1307.2031399999998</v>
      </c>
      <c r="CR267" s="198">
        <v>2203.9993300000001</v>
      </c>
      <c r="CS267" s="198">
        <v>2325.7526400000002</v>
      </c>
      <c r="CT267" s="198"/>
      <c r="CU267" s="198">
        <v>2111.7795699999992</v>
      </c>
      <c r="CV267" s="197">
        <v>1932.9590000000001</v>
      </c>
      <c r="CW267" s="198"/>
      <c r="CX267" s="198"/>
      <c r="CY267" s="198"/>
      <c r="CZ267" s="198"/>
      <c r="DA267" s="198"/>
      <c r="DB267" s="199"/>
      <c r="DC267" s="197">
        <v>77287.396999999997</v>
      </c>
      <c r="DD267" s="198">
        <v>8421.5069999999996</v>
      </c>
      <c r="DE267" s="198">
        <v>15283.531999999999</v>
      </c>
      <c r="DF267" s="198"/>
      <c r="DG267" s="198">
        <v>20239.631000000001</v>
      </c>
      <c r="DH267" s="198"/>
      <c r="DI267" s="198">
        <f t="shared" si="23"/>
        <v>33342.726999999999</v>
      </c>
      <c r="DJ267" s="197">
        <f>2995.9+56729</f>
        <v>59724.9</v>
      </c>
      <c r="DK267" s="198">
        <f>1964.2+11092.6</f>
        <v>13056.800000000001</v>
      </c>
      <c r="DL267" s="198">
        <f>1874.6+12404.6</f>
        <v>14279.2</v>
      </c>
      <c r="DM267" s="198">
        <v>3854.2</v>
      </c>
      <c r="DN267" s="198">
        <f>16470.5-DM267</f>
        <v>12616.3</v>
      </c>
      <c r="DO267" s="198"/>
      <c r="DP267" s="198">
        <f t="shared" si="30"/>
        <v>15918.400000000001</v>
      </c>
      <c r="DQ267" s="197"/>
      <c r="DR267" s="198"/>
      <c r="DS267" s="198"/>
      <c r="DT267" s="198"/>
      <c r="DU267" s="198"/>
      <c r="DV267" s="198"/>
      <c r="DW267" s="198"/>
      <c r="DX267" s="197">
        <v>135762.00818189001</v>
      </c>
      <c r="DY267" s="198"/>
      <c r="DZ267" s="198">
        <v>88280.401857110002</v>
      </c>
      <c r="EA267" s="198">
        <v>24876.713340799997</v>
      </c>
      <c r="EB267" s="198">
        <v>21203.185654270001</v>
      </c>
      <c r="EC267" s="198">
        <v>1401.7073297099998</v>
      </c>
      <c r="ED267" s="198"/>
      <c r="EE267" s="197">
        <v>255489.12299999999</v>
      </c>
      <c r="EF267" s="198">
        <v>8642.2340000000004</v>
      </c>
      <c r="EG267" s="198">
        <v>64648.129000000001</v>
      </c>
      <c r="EH267" s="198">
        <v>20554.241999999998</v>
      </c>
      <c r="EI267" s="198">
        <v>90323.164000000004</v>
      </c>
      <c r="EJ267" s="198"/>
      <c r="EK267" s="198">
        <f t="shared" si="29"/>
        <v>71321.354000000007</v>
      </c>
      <c r="EL267" s="197">
        <v>1905142.1616010005</v>
      </c>
      <c r="EM267" s="198">
        <v>880104.20907400001</v>
      </c>
      <c r="EN267" s="198">
        <v>65210.420865999986</v>
      </c>
      <c r="EO267" s="198">
        <v>326765.672961</v>
      </c>
      <c r="EP267" s="198">
        <v>395807.53825400007</v>
      </c>
      <c r="EQ267" s="198"/>
      <c r="ER267" s="198">
        <v>237254.32028099999</v>
      </c>
      <c r="ES267" s="197">
        <v>43820.246547959992</v>
      </c>
      <c r="ET267" s="198">
        <v>4197.9594589600001</v>
      </c>
      <c r="EU267" s="198">
        <v>14765.099374380001</v>
      </c>
      <c r="EV267" s="198">
        <v>6689.4046722100002</v>
      </c>
      <c r="EW267" s="198">
        <v>11729.78230963999</v>
      </c>
      <c r="EX267" s="198"/>
      <c r="EY267" s="198">
        <f t="shared" si="24"/>
        <v>6438.0007327700023</v>
      </c>
      <c r="EZ267" s="197">
        <v>22444.568166812001</v>
      </c>
      <c r="FA267" s="198">
        <v>1201.56422722</v>
      </c>
      <c r="FB267" s="198">
        <v>5745.2865943419802</v>
      </c>
      <c r="FC267" s="198">
        <v>6064.3486267199896</v>
      </c>
      <c r="FD267" s="198">
        <v>4750.1132532499796</v>
      </c>
      <c r="FE267" s="198">
        <v>76.166912800000105</v>
      </c>
      <c r="FF267" s="198">
        <f t="shared" si="17"/>
        <v>4683.2554652800536</v>
      </c>
      <c r="FG267" s="197">
        <v>21693368.272679999</v>
      </c>
      <c r="FH267" s="198">
        <v>2017108.2350650001</v>
      </c>
      <c r="FI267" s="198">
        <v>4065025.9828739995</v>
      </c>
      <c r="FJ267" s="198"/>
      <c r="FK267" s="198">
        <v>2187972.7582780002</v>
      </c>
      <c r="FL267" s="198"/>
      <c r="FM267" s="198">
        <f t="shared" si="31"/>
        <v>13423261.296463002</v>
      </c>
      <c r="FN267" s="197">
        <v>89342.868000000002</v>
      </c>
      <c r="FO267" s="198">
        <v>16266.981</v>
      </c>
      <c r="FP267" s="198">
        <v>12548.18</v>
      </c>
      <c r="FQ267" s="198">
        <v>12250.736000000001</v>
      </c>
      <c r="FR267" s="198">
        <v>16213.151</v>
      </c>
      <c r="FS267" s="198"/>
      <c r="FT267" s="199">
        <f t="shared" si="25"/>
        <v>32063.820000000007</v>
      </c>
      <c r="FU267" s="197"/>
      <c r="FV267" s="198"/>
      <c r="FW267" s="198"/>
      <c r="FX267" s="198"/>
      <c r="FY267" s="198"/>
      <c r="FZ267" s="198"/>
      <c r="GA267" s="199"/>
      <c r="GB267" s="197">
        <v>2264.4490000000001</v>
      </c>
      <c r="GC267" s="198"/>
      <c r="GD267" s="198"/>
      <c r="GE267" s="198"/>
      <c r="GF267" s="198"/>
      <c r="GG267" s="198"/>
      <c r="GH267" s="199"/>
      <c r="GI267" s="197">
        <v>1256.3810000000001</v>
      </c>
      <c r="GJ267" s="198"/>
      <c r="GK267" s="198"/>
      <c r="GL267" s="198"/>
      <c r="GM267" s="198"/>
      <c r="GN267" s="198"/>
      <c r="GO267" s="199"/>
      <c r="GP267" s="197">
        <v>3890.9540000000002</v>
      </c>
      <c r="GQ267" s="198"/>
      <c r="GR267" s="198"/>
      <c r="GS267" s="198"/>
      <c r="GT267" s="198"/>
      <c r="GU267" s="198"/>
      <c r="GV267" s="199"/>
      <c r="GW267" s="197">
        <f>[2]sur!P51</f>
        <v>2727.1</v>
      </c>
      <c r="GX267" s="198">
        <f>[2]sur!Q51</f>
        <v>168.8</v>
      </c>
      <c r="GY267" s="198">
        <f>[2]sur!R51</f>
        <v>648.79999999999995</v>
      </c>
      <c r="GZ267" s="198">
        <f>[2]sur!S51</f>
        <v>456.4</v>
      </c>
      <c r="HA267" s="198"/>
      <c r="HB267" s="198"/>
      <c r="HC267" s="199">
        <f>[2]sur!V51</f>
        <v>1453.1</v>
      </c>
      <c r="HD267" s="197"/>
      <c r="HE267" s="198"/>
      <c r="HF267" s="198"/>
      <c r="HG267" s="198"/>
      <c r="HH267" s="198"/>
      <c r="HI267" s="198"/>
      <c r="HJ267" s="199"/>
      <c r="HK267" s="197">
        <v>7932.2454499999994</v>
      </c>
      <c r="HL267" s="198">
        <v>1353.5589620000001</v>
      </c>
      <c r="HM267" s="198">
        <v>750.40258800000004</v>
      </c>
      <c r="HN267" s="198">
        <v>141.34128900000002</v>
      </c>
      <c r="HO267" s="198">
        <v>2993.7347779999996</v>
      </c>
      <c r="HP267" s="198"/>
      <c r="HQ267" s="198">
        <f t="shared" si="16"/>
        <v>2693.2078329999999</v>
      </c>
      <c r="HR267" s="197">
        <v>159597.307</v>
      </c>
      <c r="HS267" s="198">
        <v>8896.1779999999999</v>
      </c>
      <c r="HT267" s="198">
        <v>67303.539000000004</v>
      </c>
      <c r="HU267" s="198">
        <v>20096.275000000001</v>
      </c>
      <c r="HV267" s="198">
        <v>34217.324999999997</v>
      </c>
      <c r="HW267" s="198">
        <v>4946.7709999999997</v>
      </c>
      <c r="HX267" s="198">
        <v>24137.219000000001</v>
      </c>
      <c r="HY267" s="198"/>
    </row>
    <row r="268" spans="1:233">
      <c r="A268" s="185" t="s">
        <v>499</v>
      </c>
      <c r="B268" s="197">
        <v>3137.05</v>
      </c>
      <c r="C268" s="198"/>
      <c r="D268" s="198"/>
      <c r="E268" s="198"/>
      <c r="F268" s="198"/>
      <c r="G268" s="198"/>
      <c r="H268" s="199"/>
      <c r="I268" s="197">
        <v>159537.60000000001</v>
      </c>
      <c r="J268" s="198"/>
      <c r="K268" s="198"/>
      <c r="L268" s="198">
        <v>18629.7</v>
      </c>
      <c r="M268" s="198">
        <v>29009.5</v>
      </c>
      <c r="N268" s="198"/>
      <c r="O268" s="199">
        <f>[3]arg!$G134</f>
        <v>93528.599999999991</v>
      </c>
      <c r="P268" s="198">
        <v>6870.8389999999999</v>
      </c>
      <c r="Q268" s="198">
        <v>31.561</v>
      </c>
      <c r="R268" s="198">
        <v>374.82299999999998</v>
      </c>
      <c r="S268" s="198">
        <v>400.97</v>
      </c>
      <c r="T268" s="198">
        <v>5020.4189999999999</v>
      </c>
      <c r="U268" s="198"/>
      <c r="V268" s="199">
        <f t="shared" si="22"/>
        <v>1043.0659999999998</v>
      </c>
      <c r="W268" s="198">
        <v>5732.74</v>
      </c>
      <c r="X268" s="198">
        <v>124.724</v>
      </c>
      <c r="Y268" s="198">
        <v>914.048</v>
      </c>
      <c r="Z268" s="198">
        <v>249.858</v>
      </c>
      <c r="AA268" s="198">
        <v>2657.4409999999998</v>
      </c>
      <c r="AB268" s="198"/>
      <c r="AC268" s="199">
        <f t="shared" si="14"/>
        <v>1786.6689999999999</v>
      </c>
      <c r="AD268" s="198"/>
      <c r="AE268" s="198">
        <v>50.936</v>
      </c>
      <c r="AF268" s="198">
        <v>360.70799999999997</v>
      </c>
      <c r="AG268" s="198">
        <v>669.61400000000003</v>
      </c>
      <c r="AH268" s="198">
        <v>374.89100000000002</v>
      </c>
      <c r="AI268" s="198"/>
      <c r="AJ268" s="198"/>
      <c r="AK268" s="197"/>
      <c r="AL268" s="198"/>
      <c r="AM268" s="198"/>
      <c r="AN268" s="198"/>
      <c r="AO268" s="198"/>
      <c r="AP268" s="198"/>
      <c r="AQ268" s="199"/>
      <c r="AR268" s="198">
        <v>1388235.3155819445</v>
      </c>
      <c r="AS268" s="198">
        <v>302807.13601002004</v>
      </c>
      <c r="AT268" s="198">
        <v>133887.39492619</v>
      </c>
      <c r="AU268" s="198">
        <v>86765.190042079979</v>
      </c>
      <c r="AV268" s="198">
        <v>458046.56594816013</v>
      </c>
      <c r="AW268" s="198"/>
      <c r="AX268" s="198">
        <v>406729.02865549433</v>
      </c>
      <c r="AY268" s="197">
        <v>67541428</v>
      </c>
      <c r="AZ268" s="198"/>
      <c r="BA268" s="198">
        <v>41560566</v>
      </c>
      <c r="BB268" s="198">
        <v>17405025</v>
      </c>
      <c r="BC268" s="198">
        <v>8575837</v>
      </c>
      <c r="BD268" s="198"/>
      <c r="BE268" s="198"/>
      <c r="BF268" s="197">
        <v>149688531.57000005</v>
      </c>
      <c r="BG268" s="198"/>
      <c r="BH268" s="198">
        <v>93541390.380000025</v>
      </c>
      <c r="BI268" s="198">
        <v>11133839.000000002</v>
      </c>
      <c r="BJ268" s="198">
        <v>41187939.720000006</v>
      </c>
      <c r="BK268" s="198">
        <v>3825362.47</v>
      </c>
      <c r="BL268" s="198"/>
      <c r="BM268" s="197">
        <v>8643175.2349999994</v>
      </c>
      <c r="BN268" s="198">
        <v>383274.86</v>
      </c>
      <c r="BO268" s="198">
        <v>895510.728</v>
      </c>
      <c r="BP268" s="198">
        <v>2773397.8929999997</v>
      </c>
      <c r="BQ268" s="198">
        <v>2349838.9449999998</v>
      </c>
      <c r="BR268" s="198"/>
      <c r="BS268" s="198">
        <f t="shared" si="2"/>
        <v>2241152.8090000004</v>
      </c>
      <c r="BT268" s="197"/>
      <c r="BU268" s="198"/>
      <c r="BV268" s="198"/>
      <c r="BW268" s="198"/>
      <c r="BX268" s="198"/>
      <c r="BY268" s="198"/>
      <c r="BZ268" s="199"/>
      <c r="CA268" s="198">
        <v>777.81</v>
      </c>
      <c r="CB268" s="198"/>
      <c r="CC268" s="198"/>
      <c r="CD268" s="198"/>
      <c r="CE268" s="198"/>
      <c r="CF268" s="198"/>
      <c r="CG268" s="199"/>
      <c r="CH268" s="197">
        <v>13722554.47672</v>
      </c>
      <c r="CI268" s="198"/>
      <c r="CJ268" s="198">
        <v>6341544.5263</v>
      </c>
      <c r="CK268" s="198">
        <v>1602564.0970100001</v>
      </c>
      <c r="CL268" s="198">
        <v>4172529.4327899991</v>
      </c>
      <c r="CM268" s="198">
        <v>1605916.42062</v>
      </c>
      <c r="CN268" s="198"/>
      <c r="CO268" s="197">
        <v>8626.8252700000012</v>
      </c>
      <c r="CP268" s="198">
        <v>683.23765000000003</v>
      </c>
      <c r="CQ268" s="198">
        <v>1300.93694</v>
      </c>
      <c r="CR268" s="198">
        <v>2221.33581</v>
      </c>
      <c r="CS268" s="198">
        <v>2328.31086</v>
      </c>
      <c r="CT268" s="198"/>
      <c r="CU268" s="198">
        <v>2093.0040100000015</v>
      </c>
      <c r="CV268" s="197">
        <v>1936.345</v>
      </c>
      <c r="CW268" s="198"/>
      <c r="CX268" s="198"/>
      <c r="CY268" s="198"/>
      <c r="CZ268" s="198"/>
      <c r="DA268" s="198"/>
      <c r="DB268" s="199"/>
      <c r="DC268" s="197">
        <v>77596.315000000002</v>
      </c>
      <c r="DD268" s="198">
        <v>8286.67</v>
      </c>
      <c r="DE268" s="198">
        <v>15085.471</v>
      </c>
      <c r="DF268" s="198"/>
      <c r="DG268" s="198">
        <v>20357.103999999999</v>
      </c>
      <c r="DH268" s="198"/>
      <c r="DI268" s="198">
        <f t="shared" si="23"/>
        <v>33867.070000000007</v>
      </c>
      <c r="DJ268" s="197">
        <f>3089.6+57650.2</f>
        <v>60739.799999999996</v>
      </c>
      <c r="DK268" s="198">
        <f>1965+10932.9</f>
        <v>12897.9</v>
      </c>
      <c r="DL268" s="198">
        <f>1992.4+13175.9</f>
        <v>15168.3</v>
      </c>
      <c r="DM268" s="198">
        <v>3737.3</v>
      </c>
      <c r="DN268" s="198">
        <f>16439-DM268</f>
        <v>12701.7</v>
      </c>
      <c r="DO268" s="198"/>
      <c r="DP268" s="198">
        <f t="shared" si="30"/>
        <v>16234.599999999999</v>
      </c>
      <c r="DQ268" s="197"/>
      <c r="DR268" s="198"/>
      <c r="DS268" s="198"/>
      <c r="DT268" s="198"/>
      <c r="DU268" s="198"/>
      <c r="DV268" s="198"/>
      <c r="DW268" s="198"/>
      <c r="DX268" s="197">
        <v>136700.60503647997</v>
      </c>
      <c r="DY268" s="198"/>
      <c r="DZ268" s="198">
        <v>88932.14173345</v>
      </c>
      <c r="EA268" s="198">
        <v>25075.07685116</v>
      </c>
      <c r="EB268" s="198">
        <v>21293.050632580002</v>
      </c>
      <c r="EC268" s="198">
        <v>1400.33581929</v>
      </c>
      <c r="ED268" s="198"/>
      <c r="EE268" s="197">
        <v>253683.101</v>
      </c>
      <c r="EF268" s="198">
        <v>8630.634</v>
      </c>
      <c r="EG268" s="198">
        <v>64257.601000000002</v>
      </c>
      <c r="EH268" s="198">
        <v>20668.045999999998</v>
      </c>
      <c r="EI268" s="198">
        <v>90605.069000000003</v>
      </c>
      <c r="EJ268" s="198"/>
      <c r="EK268" s="198">
        <f t="shared" si="29"/>
        <v>69521.751000000004</v>
      </c>
      <c r="EL268" s="197">
        <v>1924754.9156280002</v>
      </c>
      <c r="EM268" s="198">
        <v>887228.14228800009</v>
      </c>
      <c r="EN268" s="198">
        <v>66095.289341999989</v>
      </c>
      <c r="EO268" s="198">
        <v>328052.52843600005</v>
      </c>
      <c r="EP268" s="198">
        <v>395250.84134400001</v>
      </c>
      <c r="EQ268" s="198"/>
      <c r="ER268" s="198">
        <v>248128.11420900002</v>
      </c>
      <c r="ES268" s="197">
        <v>44305.944569239982</v>
      </c>
      <c r="ET268" s="198">
        <v>4078.1419763600002</v>
      </c>
      <c r="EU268" s="198">
        <v>15236.471355309999</v>
      </c>
      <c r="EV268" s="198">
        <v>6736.4231250499997</v>
      </c>
      <c r="EW268" s="198">
        <v>11607.944775579981</v>
      </c>
      <c r="EX268" s="198"/>
      <c r="EY268" s="198">
        <f t="shared" si="24"/>
        <v>6646.9633369399999</v>
      </c>
      <c r="EZ268" s="197">
        <v>22236.320734470999</v>
      </c>
      <c r="FA268" s="198">
        <v>1129.9352216499999</v>
      </c>
      <c r="FB268" s="198">
        <v>5740.2073174409898</v>
      </c>
      <c r="FC268" s="198">
        <v>6106.1907566399896</v>
      </c>
      <c r="FD268" s="198">
        <v>4750.5307289299999</v>
      </c>
      <c r="FE268" s="198">
        <v>76.057450860000003</v>
      </c>
      <c r="FF268" s="198">
        <f t="shared" si="17"/>
        <v>4509.4567098100197</v>
      </c>
      <c r="FG268" s="197">
        <v>22038913.396134004</v>
      </c>
      <c r="FH268" s="198">
        <v>2102610.2599140001</v>
      </c>
      <c r="FI268" s="198">
        <v>4222392.7313950006</v>
      </c>
      <c r="FJ268" s="198"/>
      <c r="FK268" s="198">
        <v>2280669.102585</v>
      </c>
      <c r="FL268" s="198"/>
      <c r="FM268" s="198">
        <f t="shared" si="31"/>
        <v>13433241.302240003</v>
      </c>
      <c r="FN268" s="197">
        <v>90891.248000000007</v>
      </c>
      <c r="FO268" s="198">
        <v>16556.202000000001</v>
      </c>
      <c r="FP268" s="198">
        <v>12756.215</v>
      </c>
      <c r="FQ268" s="198">
        <v>12424.016</v>
      </c>
      <c r="FR268" s="198">
        <v>16339.866</v>
      </c>
      <c r="FS268" s="198"/>
      <c r="FT268" s="199">
        <f t="shared" si="25"/>
        <v>32814.949000000001</v>
      </c>
      <c r="FU268" s="197"/>
      <c r="FV268" s="198"/>
      <c r="FW268" s="198"/>
      <c r="FX268" s="198"/>
      <c r="FY268" s="198"/>
      <c r="FZ268" s="198"/>
      <c r="GA268" s="199"/>
      <c r="GB268" s="197">
        <v>2268.8919999999998</v>
      </c>
      <c r="GC268" s="198"/>
      <c r="GD268" s="198"/>
      <c r="GE268" s="198"/>
      <c r="GF268" s="198"/>
      <c r="GG268" s="198"/>
      <c r="GH268" s="199"/>
      <c r="GI268" s="197">
        <v>1262.492</v>
      </c>
      <c r="GJ268" s="198"/>
      <c r="GK268" s="198"/>
      <c r="GL268" s="198"/>
      <c r="GM268" s="198"/>
      <c r="GN268" s="198"/>
      <c r="GO268" s="199"/>
      <c r="GP268" s="197">
        <v>3887.6709999999998</v>
      </c>
      <c r="GQ268" s="198"/>
      <c r="GR268" s="198"/>
      <c r="GS268" s="198"/>
      <c r="GT268" s="198"/>
      <c r="GU268" s="198"/>
      <c r="GV268" s="199"/>
      <c r="GW268" s="197">
        <f>[2]sur!P52</f>
        <v>2745.6</v>
      </c>
      <c r="GX268" s="198">
        <f>[2]sur!Q52</f>
        <v>172.5</v>
      </c>
      <c r="GY268" s="198">
        <f>[2]sur!R52</f>
        <v>644</v>
      </c>
      <c r="GZ268" s="198">
        <f>[2]sur!S52</f>
        <v>462.70000000000005</v>
      </c>
      <c r="HA268" s="198"/>
      <c r="HB268" s="198"/>
      <c r="HC268" s="199">
        <f>[2]sur!V52</f>
        <v>1466.3999999999999</v>
      </c>
      <c r="HD268" s="197"/>
      <c r="HE268" s="198"/>
      <c r="HF268" s="198"/>
      <c r="HG268" s="198"/>
      <c r="HH268" s="198"/>
      <c r="HI268" s="198"/>
      <c r="HJ268" s="199"/>
      <c r="HK268" s="197">
        <v>8002.8558640000001</v>
      </c>
      <c r="HL268" s="198">
        <v>1365.447467</v>
      </c>
      <c r="HM268" s="198">
        <v>774.72158600000012</v>
      </c>
      <c r="HN268" s="198">
        <v>148.48253900000003</v>
      </c>
      <c r="HO268" s="198">
        <v>2894.11625</v>
      </c>
      <c r="HP268" s="198"/>
      <c r="HQ268" s="198">
        <f t="shared" si="16"/>
        <v>2820.0880219999999</v>
      </c>
      <c r="HR268" s="197">
        <v>164094.28</v>
      </c>
      <c r="HS268" s="198">
        <v>10136.01</v>
      </c>
      <c r="HT268" s="198">
        <v>68862.281000000003</v>
      </c>
      <c r="HU268" s="198">
        <v>20882.28</v>
      </c>
      <c r="HV268" s="198">
        <v>34199.03</v>
      </c>
      <c r="HW268" s="198">
        <v>5156.7460000000001</v>
      </c>
      <c r="HX268" s="198">
        <v>24857.933000000001</v>
      </c>
      <c r="HY268" s="198"/>
    </row>
    <row r="269" spans="1:233">
      <c r="A269" s="202" t="s">
        <v>500</v>
      </c>
      <c r="B269" s="203">
        <v>3147.134</v>
      </c>
      <c r="C269" s="204">
        <v>48.354999999999997</v>
      </c>
      <c r="D269" s="204">
        <v>575.28700000000003</v>
      </c>
      <c r="E269" s="204">
        <v>757.05700000000002</v>
      </c>
      <c r="F269" s="204">
        <v>546.71600000000001</v>
      </c>
      <c r="G269" s="204"/>
      <c r="H269" s="205">
        <v>1219.7190000000001</v>
      </c>
      <c r="I269" s="203">
        <v>164044.29999999999</v>
      </c>
      <c r="J269" s="204"/>
      <c r="K269" s="204"/>
      <c r="L269" s="204">
        <v>18572.2</v>
      </c>
      <c r="M269" s="204">
        <v>29313.8</v>
      </c>
      <c r="N269" s="204"/>
      <c r="O269" s="205">
        <f>[3]arg!$G135</f>
        <v>97360.500000000015</v>
      </c>
      <c r="P269" s="204">
        <v>6951.1049999999996</v>
      </c>
      <c r="Q269" s="204">
        <v>37.118000000000002</v>
      </c>
      <c r="R269" s="204">
        <v>390.87400000000002</v>
      </c>
      <c r="S269" s="204">
        <v>409.56099999999998</v>
      </c>
      <c r="T269" s="204">
        <v>5031.7690000000002</v>
      </c>
      <c r="U269" s="204"/>
      <c r="V269" s="205">
        <f t="shared" si="22"/>
        <v>1081.7829999999994</v>
      </c>
      <c r="W269" s="204">
        <v>5777.8249999999998</v>
      </c>
      <c r="X269" s="204">
        <v>136.57300000000001</v>
      </c>
      <c r="Y269" s="204">
        <v>884.68900000000008</v>
      </c>
      <c r="Z269" s="204">
        <v>259.29399999999998</v>
      </c>
      <c r="AA269" s="204">
        <v>2679.7860000000001</v>
      </c>
      <c r="AB269" s="204"/>
      <c r="AC269" s="205">
        <f t="shared" si="14"/>
        <v>1817.4829999999993</v>
      </c>
      <c r="AD269" s="204"/>
      <c r="AE269" s="204">
        <v>49.61</v>
      </c>
      <c r="AF269" s="204">
        <v>363.58200000000005</v>
      </c>
      <c r="AG269" s="204">
        <v>673.36199999999997</v>
      </c>
      <c r="AH269" s="204">
        <v>374.42700000000002</v>
      </c>
      <c r="AI269" s="204">
        <v>83.09</v>
      </c>
      <c r="AJ269" s="204"/>
      <c r="AK269" s="203">
        <v>39592</v>
      </c>
      <c r="AL269" s="204"/>
      <c r="AM269" s="204">
        <v>16984.968000000001</v>
      </c>
      <c r="AN269" s="204">
        <v>7641.2560000000003</v>
      </c>
      <c r="AO269" s="204">
        <v>4236.3440000000001</v>
      </c>
      <c r="AP269" s="204">
        <v>10769.024000000001</v>
      </c>
      <c r="AQ269" s="205"/>
      <c r="AR269" s="204">
        <v>1414304.3626778652</v>
      </c>
      <c r="AS269" s="204">
        <v>304744.93809613999</v>
      </c>
      <c r="AT269" s="204">
        <v>136305.68479483997</v>
      </c>
      <c r="AU269" s="204">
        <v>91861.502965429972</v>
      </c>
      <c r="AV269" s="204">
        <v>462469.44532613008</v>
      </c>
      <c r="AW269" s="204"/>
      <c r="AX269" s="204">
        <v>418922.7914953251</v>
      </c>
      <c r="AY269" s="203">
        <v>68938045</v>
      </c>
      <c r="AZ269" s="204"/>
      <c r="BA269" s="204">
        <v>42689372</v>
      </c>
      <c r="BB269" s="204">
        <v>17547698</v>
      </c>
      <c r="BC269" s="204">
        <v>8700975</v>
      </c>
      <c r="BD269" s="204"/>
      <c r="BE269" s="204"/>
      <c r="BF269" s="203">
        <v>150574105.43999997</v>
      </c>
      <c r="BG269" s="204"/>
      <c r="BH269" s="204">
        <v>94164737.679999977</v>
      </c>
      <c r="BI269" s="204">
        <v>11177858.849999998</v>
      </c>
      <c r="BJ269" s="204">
        <v>41392369.439999998</v>
      </c>
      <c r="BK269" s="204">
        <v>3839139.47</v>
      </c>
      <c r="BL269" s="204"/>
      <c r="BM269" s="203">
        <v>8812590.6050000004</v>
      </c>
      <c r="BN269" s="204">
        <v>438045.30699999997</v>
      </c>
      <c r="BO269" s="204">
        <v>880717.777</v>
      </c>
      <c r="BP269" s="204">
        <v>2846796.1749999998</v>
      </c>
      <c r="BQ269" s="204">
        <v>2325370.923</v>
      </c>
      <c r="BR269" s="204"/>
      <c r="BS269" s="204">
        <f t="shared" si="2"/>
        <v>2321660.4230000004</v>
      </c>
      <c r="BT269" s="203"/>
      <c r="BU269" s="204"/>
      <c r="BV269" s="204"/>
      <c r="BW269" s="204"/>
      <c r="BX269" s="204"/>
      <c r="BY269" s="204"/>
      <c r="BZ269" s="205"/>
      <c r="CA269" s="204">
        <v>773.81399999999996</v>
      </c>
      <c r="CB269" s="204">
        <v>36.901000000000003</v>
      </c>
      <c r="CC269" s="204">
        <v>102.762</v>
      </c>
      <c r="CD269" s="204">
        <v>243.292</v>
      </c>
      <c r="CE269" s="204">
        <v>155.869</v>
      </c>
      <c r="CF269" s="204"/>
      <c r="CG269" s="205">
        <f>CA269-CB269-CC269-CD269-CE269</f>
        <v>234.99000000000004</v>
      </c>
      <c r="CH269" s="203">
        <v>14039167.881539999</v>
      </c>
      <c r="CI269" s="204"/>
      <c r="CJ269" s="204">
        <v>6529220.9314599996</v>
      </c>
      <c r="CK269" s="204">
        <v>1621646.89607</v>
      </c>
      <c r="CL269" s="204">
        <v>4265268.3466699999</v>
      </c>
      <c r="CM269" s="204">
        <v>1623031.7073400002</v>
      </c>
      <c r="CN269" s="204"/>
      <c r="CO269" s="203">
        <v>8638.0717199999981</v>
      </c>
      <c r="CP269" s="204">
        <v>776.99020999999993</v>
      </c>
      <c r="CQ269" s="204">
        <v>1270.40218</v>
      </c>
      <c r="CR269" s="204">
        <v>2185.24386</v>
      </c>
      <c r="CS269" s="204">
        <v>2340.1125999999999</v>
      </c>
      <c r="CT269" s="204"/>
      <c r="CU269" s="204">
        <v>2065.3228699999991</v>
      </c>
      <c r="CV269" s="203">
        <v>1942.4780000000001</v>
      </c>
      <c r="CW269" s="204">
        <v>35.761000000000003</v>
      </c>
      <c r="CX269" s="204">
        <v>297.952</v>
      </c>
      <c r="CY269" s="204">
        <v>633.61900000000003</v>
      </c>
      <c r="CZ269" s="204">
        <v>519.16999999999996</v>
      </c>
      <c r="DA269" s="204"/>
      <c r="DB269" s="205">
        <f>CV269-CW269-CX269-CY269-CZ269</f>
        <v>455.97600000000011</v>
      </c>
      <c r="DC269" s="203">
        <v>77889.293999999994</v>
      </c>
      <c r="DD269" s="204">
        <v>8290.9009999999998</v>
      </c>
      <c r="DE269" s="204">
        <v>15147.023999999999</v>
      </c>
      <c r="DF269" s="204"/>
      <c r="DG269" s="204">
        <v>20344.665000000001</v>
      </c>
      <c r="DH269" s="204"/>
      <c r="DI269" s="204">
        <f t="shared" si="23"/>
        <v>34106.703999999998</v>
      </c>
      <c r="DJ269" s="203">
        <f>2716.9+58796.1</f>
        <v>61513</v>
      </c>
      <c r="DK269" s="204">
        <f>1884.7+10441.8</f>
        <v>12326.5</v>
      </c>
      <c r="DL269" s="204">
        <f>1959+13849.3</f>
        <v>15808.3</v>
      </c>
      <c r="DM269" s="204">
        <v>3857.4</v>
      </c>
      <c r="DN269" s="204">
        <f>16583.8-DM269</f>
        <v>12726.4</v>
      </c>
      <c r="DO269" s="204"/>
      <c r="DP269" s="204">
        <f>DJ269-SUM(DK269:DN269)</f>
        <v>16794.400000000001</v>
      </c>
      <c r="DQ269" s="203"/>
      <c r="DR269" s="204"/>
      <c r="DS269" s="204"/>
      <c r="DT269" s="204"/>
      <c r="DU269" s="204"/>
      <c r="DV269" s="204"/>
      <c r="DW269" s="204"/>
      <c r="DX269" s="203">
        <v>137276.08372147998</v>
      </c>
      <c r="DY269" s="204"/>
      <c r="DZ269" s="204">
        <v>89608.375994000016</v>
      </c>
      <c r="EA269" s="204">
        <v>25198.995147319998</v>
      </c>
      <c r="EB269" s="204">
        <v>21065.59376009</v>
      </c>
      <c r="EC269" s="204">
        <v>1403.1188200699999</v>
      </c>
      <c r="ED269" s="204"/>
      <c r="EE269" s="203">
        <v>256389.86199999999</v>
      </c>
      <c r="EF269" s="204">
        <v>9392.9639999999999</v>
      </c>
      <c r="EG269" s="204">
        <v>65729.134999999995</v>
      </c>
      <c r="EH269" s="204">
        <v>19909.36</v>
      </c>
      <c r="EI269" s="204">
        <v>90761.501000000004</v>
      </c>
      <c r="EJ269" s="204"/>
      <c r="EK269" s="204">
        <f t="shared" si="29"/>
        <v>70596.901999999987</v>
      </c>
      <c r="EL269" s="203">
        <v>1966919.7186070003</v>
      </c>
      <c r="EM269" s="204">
        <v>909813.76664600009</v>
      </c>
      <c r="EN269" s="204">
        <v>70119.059765999977</v>
      </c>
      <c r="EO269" s="204">
        <v>333257.01408800005</v>
      </c>
      <c r="EP269" s="204">
        <v>383968.94017399993</v>
      </c>
      <c r="EQ269" s="204"/>
      <c r="ER269" s="204">
        <v>269760.93797000003</v>
      </c>
      <c r="ES269" s="203">
        <v>44241.663179299983</v>
      </c>
      <c r="ET269" s="204">
        <v>4117.8657749699996</v>
      </c>
      <c r="EU269" s="204">
        <v>15471.46955767</v>
      </c>
      <c r="EV269" s="204">
        <v>6753.9303583999999</v>
      </c>
      <c r="EW269" s="204">
        <v>11350.396727139982</v>
      </c>
      <c r="EX269" s="204"/>
      <c r="EY269" s="204">
        <f t="shared" si="24"/>
        <v>6548.0007611200017</v>
      </c>
      <c r="EZ269" s="203">
        <v>21826.145576511</v>
      </c>
      <c r="FA269" s="204">
        <v>1107.9236930899999</v>
      </c>
      <c r="FB269" s="204">
        <v>5353.6481385810002</v>
      </c>
      <c r="FC269" s="204">
        <v>6199.0503590099997</v>
      </c>
      <c r="FD269" s="204">
        <v>4789.0485471100001</v>
      </c>
      <c r="FE269" s="204">
        <v>75.485792839999903</v>
      </c>
      <c r="FF269" s="204">
        <f t="shared" si="17"/>
        <v>4376.4748387199998</v>
      </c>
      <c r="FG269" s="203">
        <v>22220452.616747003</v>
      </c>
      <c r="FH269" s="204">
        <v>2064478.2722229999</v>
      </c>
      <c r="FI269" s="204">
        <v>4359887.7792739999</v>
      </c>
      <c r="FJ269" s="204"/>
      <c r="FK269" s="204">
        <v>2316670.4412420001</v>
      </c>
      <c r="FL269" s="204"/>
      <c r="FM269" s="204">
        <f t="shared" si="31"/>
        <v>13479416.124008004</v>
      </c>
      <c r="FN269" s="203">
        <v>92397.308999999994</v>
      </c>
      <c r="FO269" s="204">
        <v>16534.990000000002</v>
      </c>
      <c r="FP269" s="204">
        <v>12558.543</v>
      </c>
      <c r="FQ269" s="204">
        <v>12593.13</v>
      </c>
      <c r="FR269" s="204">
        <v>16429.554</v>
      </c>
      <c r="FS269" s="204"/>
      <c r="FT269" s="205">
        <f t="shared" si="25"/>
        <v>34281.09199999999</v>
      </c>
      <c r="FU269" s="203">
        <v>394963.41518555989</v>
      </c>
      <c r="FV269" s="204">
        <v>32055.495564199991</v>
      </c>
      <c r="FW269" s="204">
        <v>50031.079241219959</v>
      </c>
      <c r="FX269" s="204">
        <v>84738.622326630008</v>
      </c>
      <c r="FY269" s="204">
        <v>86895.482103489907</v>
      </c>
      <c r="FZ269" s="204"/>
      <c r="GA269" s="205">
        <f>FU269-FV269-FW269-FX269-FY269</f>
        <v>141242.73595002003</v>
      </c>
      <c r="GB269" s="203">
        <v>2304.8449999999998</v>
      </c>
      <c r="GC269" s="204">
        <v>23.861999999999998</v>
      </c>
      <c r="GD269" s="204">
        <v>227.54</v>
      </c>
      <c r="GE269" s="204">
        <v>443.28699999999998</v>
      </c>
      <c r="GF269" s="204">
        <v>396.19900000000001</v>
      </c>
      <c r="GG269" s="204"/>
      <c r="GH269" s="205">
        <f>GB269-GC269-GD269-GE269-GF269</f>
        <v>1213.9569999999997</v>
      </c>
      <c r="GI269" s="203">
        <v>1213.126</v>
      </c>
      <c r="GJ269" s="204">
        <v>60.341999999999999</v>
      </c>
      <c r="GK269" s="204">
        <v>149.29499999999999</v>
      </c>
      <c r="GL269" s="204">
        <v>350.423</v>
      </c>
      <c r="GM269" s="204">
        <v>261.81700000000001</v>
      </c>
      <c r="GN269" s="204"/>
      <c r="GO269" s="205">
        <f>GI269-GJ269-GK269-GL269-GM269</f>
        <v>391.24899999999991</v>
      </c>
      <c r="GP269" s="203">
        <v>3914.433</v>
      </c>
      <c r="GQ269" s="204">
        <v>94.555999999999997</v>
      </c>
      <c r="GR269" s="204">
        <v>1056.9280000000001</v>
      </c>
      <c r="GS269" s="204">
        <v>602.39499999999998</v>
      </c>
      <c r="GT269" s="204">
        <v>508.596</v>
      </c>
      <c r="GU269" s="204"/>
      <c r="GV269" s="205">
        <f>GP269-GQ269-GR269-GS269-GT269</f>
        <v>1651.9579999999996</v>
      </c>
      <c r="GW269" s="203">
        <f>[2]sur!P53</f>
        <v>2765.8</v>
      </c>
      <c r="GX269" s="204">
        <f>[2]sur!Q53</f>
        <v>198.2</v>
      </c>
      <c r="GY269" s="204">
        <f>[2]sur!R53</f>
        <v>668</v>
      </c>
      <c r="GZ269" s="204">
        <f>[2]sur!S53</f>
        <v>468</v>
      </c>
      <c r="HA269" s="204"/>
      <c r="HB269" s="204"/>
      <c r="HC269" s="205">
        <f>[2]sur!V53</f>
        <v>1431.6</v>
      </c>
      <c r="HD269" s="203">
        <f>'[2]t&amp;t'!W401</f>
        <v>46509.3</v>
      </c>
      <c r="HE269" s="204">
        <f>'[2]t&amp;t'!X401</f>
        <v>3249.6000000000004</v>
      </c>
      <c r="HF269" s="204">
        <f>'[2]t&amp;t'!Y401</f>
        <v>3810.7</v>
      </c>
      <c r="HG269" s="204">
        <f>'[2]t&amp;t'!Z401</f>
        <v>10100.4</v>
      </c>
      <c r="HH269" s="204">
        <f>'[2]t&amp;t'!AA401</f>
        <v>11410.3</v>
      </c>
      <c r="HI269" s="204"/>
      <c r="HJ269" s="205">
        <f>'[2]t&amp;t'!AC401</f>
        <v>17938.3</v>
      </c>
      <c r="HK269" s="203">
        <v>8426.7803399999975</v>
      </c>
      <c r="HL269" s="204">
        <v>1400.480963</v>
      </c>
      <c r="HM269" s="204">
        <v>819.94025900000008</v>
      </c>
      <c r="HN269" s="204">
        <v>156.46552899999998</v>
      </c>
      <c r="HO269" s="204">
        <v>3070.2017680000004</v>
      </c>
      <c r="HP269" s="204"/>
      <c r="HQ269" s="204">
        <f t="shared" si="16"/>
        <v>2979.6918209999972</v>
      </c>
      <c r="HR269" s="203">
        <v>159003.609</v>
      </c>
      <c r="HS269" s="204">
        <v>11478.222</v>
      </c>
      <c r="HT269" s="204">
        <v>62298.048999999999</v>
      </c>
      <c r="HU269" s="204">
        <v>21435.565999999999</v>
      </c>
      <c r="HV269" s="204">
        <v>33144.654999999999</v>
      </c>
      <c r="HW269" s="204">
        <v>5232.5150000000003</v>
      </c>
      <c r="HX269" s="204">
        <v>25414.601999999999</v>
      </c>
      <c r="HY269" s="198"/>
    </row>
    <row r="270" spans="1:233">
      <c r="A270" s="185" t="s">
        <v>677</v>
      </c>
      <c r="B270" s="197">
        <v>3160.3040000000001</v>
      </c>
      <c r="C270" s="198"/>
      <c r="D270" s="198"/>
      <c r="E270" s="198"/>
      <c r="F270" s="198"/>
      <c r="G270" s="198"/>
      <c r="H270" s="199"/>
      <c r="I270" s="197">
        <v>163213.1</v>
      </c>
      <c r="J270" s="198"/>
      <c r="K270" s="198"/>
      <c r="L270" s="198">
        <v>18627.900000000001</v>
      </c>
      <c r="M270" s="198">
        <v>29760.9</v>
      </c>
      <c r="N270" s="198"/>
      <c r="O270" s="199">
        <f>[3]arg!$G136</f>
        <v>95895.6</v>
      </c>
      <c r="P270" s="198">
        <v>7008.17</v>
      </c>
      <c r="Q270" s="198">
        <v>34.142000000000003</v>
      </c>
      <c r="R270" s="198">
        <v>418.34300000000002</v>
      </c>
      <c r="S270" s="198">
        <v>414.70100000000002</v>
      </c>
      <c r="T270" s="198">
        <v>5004.9979999999996</v>
      </c>
      <c r="U270" s="198"/>
      <c r="V270" s="199">
        <f t="shared" si="22"/>
        <v>1135.9860000000008</v>
      </c>
      <c r="W270" s="198">
        <v>5838.4068299999999</v>
      </c>
      <c r="X270" s="198">
        <v>130.911</v>
      </c>
      <c r="Y270" s="198">
        <v>916.26800000000003</v>
      </c>
      <c r="Z270" s="198">
        <v>260.32400000000001</v>
      </c>
      <c r="AA270" s="198">
        <v>2700.8420000000001</v>
      </c>
      <c r="AB270" s="198"/>
      <c r="AC270" s="199">
        <f t="shared" si="14"/>
        <v>1830.0618300000001</v>
      </c>
      <c r="AD270" s="198"/>
      <c r="AE270" s="198">
        <v>52.618000000000002</v>
      </c>
      <c r="AF270" s="198">
        <v>364.267</v>
      </c>
      <c r="AG270" s="198">
        <v>672.66300000000001</v>
      </c>
      <c r="AH270" s="198">
        <v>373.72399999999999</v>
      </c>
      <c r="AI270" s="198">
        <v>89.656999999999996</v>
      </c>
      <c r="AJ270" s="198"/>
      <c r="AK270" s="197"/>
      <c r="AL270" s="198"/>
      <c r="AM270" s="198"/>
      <c r="AN270" s="198"/>
      <c r="AO270" s="198"/>
      <c r="AP270" s="198"/>
      <c r="AQ270" s="199"/>
      <c r="AR270" s="198">
        <v>1424809.9842875486</v>
      </c>
      <c r="AS270" s="198">
        <v>305140.21814540005</v>
      </c>
      <c r="AT270" s="198">
        <v>135890.15288490002</v>
      </c>
      <c r="AU270" s="198">
        <v>94223.736124219984</v>
      </c>
      <c r="AV270" s="198">
        <v>467015.78570899001</v>
      </c>
      <c r="AW270" s="198"/>
      <c r="AX270" s="198">
        <v>422540.09142403858</v>
      </c>
      <c r="AY270" s="197">
        <v>69306230</v>
      </c>
      <c r="AZ270" s="198"/>
      <c r="BA270" s="198">
        <v>43018965</v>
      </c>
      <c r="BB270" s="198">
        <v>17593510</v>
      </c>
      <c r="BC270" s="198">
        <v>8693755</v>
      </c>
      <c r="BD270" s="198"/>
      <c r="BE270" s="198"/>
      <c r="BF270" s="197">
        <v>150474645.44</v>
      </c>
      <c r="BG270" s="198"/>
      <c r="BH270" s="198">
        <v>93663588.570000008</v>
      </c>
      <c r="BI270" s="198">
        <v>11411838.249999998</v>
      </c>
      <c r="BJ270" s="198">
        <v>41553999.979999997</v>
      </c>
      <c r="BK270" s="198">
        <v>3845218.64</v>
      </c>
      <c r="BL270" s="198"/>
      <c r="BM270" s="197">
        <v>8767578.3760000002</v>
      </c>
      <c r="BN270" s="198">
        <v>432370.027</v>
      </c>
      <c r="BO270" s="198">
        <v>862398.75</v>
      </c>
      <c r="BP270" s="198">
        <v>2838629.2250000001</v>
      </c>
      <c r="BQ270" s="198">
        <v>2315621.4649999999</v>
      </c>
      <c r="BR270" s="198"/>
      <c r="BS270" s="198">
        <f t="shared" si="2"/>
        <v>2318558.909</v>
      </c>
      <c r="BT270" s="197"/>
      <c r="BU270" s="198"/>
      <c r="BV270" s="198"/>
      <c r="BW270" s="198"/>
      <c r="BX270" s="198"/>
      <c r="BY270" s="198"/>
      <c r="BZ270" s="199"/>
      <c r="CA270" s="198">
        <v>777.92899999999997</v>
      </c>
      <c r="CB270" s="198"/>
      <c r="CC270" s="198"/>
      <c r="CD270" s="198"/>
      <c r="CE270" s="198"/>
      <c r="CF270" s="198"/>
      <c r="CG270" s="199"/>
      <c r="CH270" s="197">
        <v>13927323.850880001</v>
      </c>
      <c r="CI270" s="198"/>
      <c r="CJ270" s="198">
        <v>6451585.1818200005</v>
      </c>
      <c r="CK270" s="198">
        <v>1582567.9044300001</v>
      </c>
      <c r="CL270" s="198">
        <v>4323477.9065000005</v>
      </c>
      <c r="CM270" s="198">
        <v>1569692.8581300001</v>
      </c>
      <c r="CN270" s="198"/>
      <c r="CO270" s="197">
        <v>8645.9664499999999</v>
      </c>
      <c r="CP270" s="198">
        <v>769.11503000000005</v>
      </c>
      <c r="CQ270" s="198">
        <v>1264.5496499999999</v>
      </c>
      <c r="CR270" s="198">
        <v>2180.4327499999999</v>
      </c>
      <c r="CS270" s="198">
        <v>2412.9135099999999</v>
      </c>
      <c r="CT270" s="198"/>
      <c r="CU270" s="198">
        <v>2018.9555099999998</v>
      </c>
      <c r="CV270" s="197">
        <v>1929.289</v>
      </c>
      <c r="CW270" s="198"/>
      <c r="CX270" s="198"/>
      <c r="CY270" s="198"/>
      <c r="CZ270" s="198"/>
      <c r="DA270" s="198"/>
      <c r="DB270" s="199"/>
      <c r="DC270" s="197">
        <v>77805.501000000004</v>
      </c>
      <c r="DD270" s="198">
        <v>8308.9570000000003</v>
      </c>
      <c r="DE270" s="198">
        <v>15268.839</v>
      </c>
      <c r="DF270" s="198"/>
      <c r="DG270" s="198">
        <v>20294.544999999998</v>
      </c>
      <c r="DH270" s="198"/>
      <c r="DI270" s="198">
        <f t="shared" si="23"/>
        <v>33933.160000000011</v>
      </c>
      <c r="DJ270" s="197">
        <f>3079.9+57395.2</f>
        <v>60475.1</v>
      </c>
      <c r="DK270" s="198">
        <f>1929.7+10228.3</f>
        <v>12158</v>
      </c>
      <c r="DL270" s="198">
        <f>2086.3+12666.2</f>
        <v>14752.5</v>
      </c>
      <c r="DM270" s="198">
        <v>4255.5</v>
      </c>
      <c r="DN270" s="198">
        <f>16689.7-DM270</f>
        <v>12434.2</v>
      </c>
      <c r="DO270" s="198"/>
      <c r="DP270" s="198">
        <f>DJ270-SUM(DK270:DN270)</f>
        <v>16874.900000000001</v>
      </c>
      <c r="DQ270" s="197"/>
      <c r="DR270" s="198"/>
      <c r="DS270" s="198"/>
      <c r="DT270" s="198"/>
      <c r="DU270" s="198"/>
      <c r="DV270" s="198"/>
      <c r="DW270" s="198"/>
      <c r="DX270" s="208">
        <v>136985.43094943001</v>
      </c>
      <c r="DY270" s="198"/>
      <c r="DZ270" s="198">
        <v>89432.972661379987</v>
      </c>
      <c r="EA270" s="198">
        <v>25227.499073350002</v>
      </c>
      <c r="EB270" s="198">
        <v>20938.619919739998</v>
      </c>
      <c r="EC270" s="198">
        <v>1386.3392949600002</v>
      </c>
      <c r="ED270" s="198"/>
      <c r="EE270" s="197">
        <v>252372.53</v>
      </c>
      <c r="EF270" s="198">
        <v>9144.7080000000005</v>
      </c>
      <c r="EG270" s="198">
        <v>64149.807000000001</v>
      </c>
      <c r="EH270" s="198">
        <v>16655.615000000002</v>
      </c>
      <c r="EI270" s="198">
        <v>89878.16</v>
      </c>
      <c r="EJ270" s="198"/>
      <c r="EK270" s="198">
        <f t="shared" si="29"/>
        <v>72544.239999999991</v>
      </c>
      <c r="EL270" s="197">
        <v>1965474.2345399999</v>
      </c>
      <c r="EM270" s="198">
        <v>909037.21037199988</v>
      </c>
      <c r="EN270" s="198">
        <v>62465.900645000002</v>
      </c>
      <c r="EO270" s="198">
        <v>337812.96242899995</v>
      </c>
      <c r="EP270" s="198">
        <v>379235.33629299997</v>
      </c>
      <c r="EQ270" s="198"/>
      <c r="ER270" s="198">
        <v>276922.82468899991</v>
      </c>
      <c r="ES270" s="197">
        <v>44058.309831710008</v>
      </c>
      <c r="ET270" s="198">
        <v>3950.77553382</v>
      </c>
      <c r="EU270" s="198">
        <v>15627.278449060001</v>
      </c>
      <c r="EV270" s="198">
        <v>6743.0856908699998</v>
      </c>
      <c r="EW270" s="198">
        <v>11249.83252768001</v>
      </c>
      <c r="EX270" s="198"/>
      <c r="EY270" s="198">
        <f t="shared" si="24"/>
        <v>6487.3376302799952</v>
      </c>
      <c r="EZ270" s="197">
        <v>21924.080000000002</v>
      </c>
      <c r="FA270" s="198">
        <v>1111.92</v>
      </c>
      <c r="FB270" s="198">
        <v>5374.05</v>
      </c>
      <c r="FC270" s="198">
        <v>6223.45</v>
      </c>
      <c r="FD270" s="198">
        <v>4798.41</v>
      </c>
      <c r="FE270" s="198">
        <v>76.12</v>
      </c>
      <c r="FF270" s="198">
        <f t="shared" si="17"/>
        <v>4416.2500000000036</v>
      </c>
      <c r="FG270" s="197">
        <v>22571771.030111004</v>
      </c>
      <c r="FH270" s="198">
        <v>2097746.5417260001</v>
      </c>
      <c r="FI270" s="198">
        <v>4453066.4203749998</v>
      </c>
      <c r="FJ270" s="198"/>
      <c r="FK270" s="198">
        <v>2429305.534403</v>
      </c>
      <c r="FL270" s="198"/>
      <c r="FM270" s="198">
        <f t="shared" si="31"/>
        <v>13591652.533607002</v>
      </c>
      <c r="FN270" s="197">
        <v>92071.743000000002</v>
      </c>
      <c r="FO270" s="198">
        <v>16669.746999999999</v>
      </c>
      <c r="FP270" s="198">
        <v>12475.841</v>
      </c>
      <c r="FQ270" s="198">
        <v>12667.823</v>
      </c>
      <c r="FR270" s="198">
        <v>16392.017</v>
      </c>
      <c r="FS270" s="198"/>
      <c r="FT270" s="199">
        <f t="shared" si="25"/>
        <v>33866.315000000002</v>
      </c>
      <c r="FU270" s="197"/>
      <c r="FV270" s="198"/>
      <c r="FW270" s="198"/>
      <c r="FX270" s="198"/>
      <c r="FY270" s="198"/>
      <c r="FZ270" s="198"/>
      <c r="GA270" s="199"/>
      <c r="GB270" s="197">
        <v>2310.866</v>
      </c>
      <c r="GC270" s="198"/>
      <c r="GD270" s="198"/>
      <c r="GE270" s="198"/>
      <c r="GF270" s="198"/>
      <c r="GG270" s="198"/>
      <c r="GH270" s="199"/>
      <c r="GI270" s="197">
        <v>1213.3710000000001</v>
      </c>
      <c r="GJ270" s="198"/>
      <c r="GK270" s="198"/>
      <c r="GL270" s="198"/>
      <c r="GM270" s="198"/>
      <c r="GN270" s="198"/>
      <c r="GO270" s="199"/>
      <c r="GP270" s="197">
        <v>3928.74</v>
      </c>
      <c r="GQ270" s="198"/>
      <c r="GR270" s="198"/>
      <c r="GS270" s="198"/>
      <c r="GT270" s="198"/>
      <c r="GU270" s="198"/>
      <c r="GV270" s="199"/>
      <c r="GW270" s="197">
        <f>[2]sur!P54</f>
        <v>2769.8</v>
      </c>
      <c r="GX270" s="198">
        <f>[2]sur!Q54</f>
        <v>196.7</v>
      </c>
      <c r="GY270" s="198">
        <f>[2]sur!R54</f>
        <v>662.40000000000009</v>
      </c>
      <c r="GZ270" s="198">
        <f>[2]sur!S54</f>
        <v>471.4</v>
      </c>
      <c r="HA270" s="198"/>
      <c r="HB270" s="198"/>
      <c r="HC270" s="199">
        <f>[2]sur!V54</f>
        <v>1439.3000000000002</v>
      </c>
      <c r="HD270" s="197"/>
      <c r="HE270" s="198"/>
      <c r="HF270" s="198"/>
      <c r="HG270" s="198"/>
      <c r="HH270" s="198"/>
      <c r="HI270" s="198"/>
      <c r="HJ270" s="199"/>
      <c r="HK270" s="197">
        <v>8275.4218768258997</v>
      </c>
      <c r="HL270" s="198">
        <v>1377.813985</v>
      </c>
      <c r="HM270" s="198">
        <v>792.68864100000008</v>
      </c>
      <c r="HN270" s="198">
        <v>144.36883</v>
      </c>
      <c r="HO270" s="198">
        <v>3085.3808963413999</v>
      </c>
      <c r="HP270" s="198"/>
      <c r="HQ270" s="198">
        <f t="shared" si="16"/>
        <v>2875.1695244845</v>
      </c>
      <c r="HR270" s="197">
        <v>156537.16800000001</v>
      </c>
      <c r="HS270" s="198">
        <v>11452.324000000001</v>
      </c>
      <c r="HT270" s="198">
        <v>59195.688000000002</v>
      </c>
      <c r="HU270" s="198">
        <v>21744.61</v>
      </c>
      <c r="HV270" s="198">
        <v>34227.678999999996</v>
      </c>
      <c r="HW270" s="198">
        <v>5151.5910000000003</v>
      </c>
      <c r="HX270" s="198">
        <v>24765.276000000002</v>
      </c>
      <c r="HY270" s="198"/>
    </row>
    <row r="271" spans="1:233">
      <c r="A271" s="185" t="s">
        <v>490</v>
      </c>
      <c r="B271" s="197">
        <v>3140.7350000000001</v>
      </c>
      <c r="C271" s="198"/>
      <c r="D271" s="198"/>
      <c r="E271" s="198"/>
      <c r="F271" s="198"/>
      <c r="G271" s="198"/>
      <c r="H271" s="199"/>
      <c r="I271" s="197">
        <v>166562.9</v>
      </c>
      <c r="J271" s="198"/>
      <c r="K271" s="198"/>
      <c r="L271" s="198">
        <v>18834.2</v>
      </c>
      <c r="M271" s="198">
        <v>30010.2</v>
      </c>
      <c r="N271" s="198"/>
      <c r="O271" s="199">
        <f>[3]arg!$G137</f>
        <v>97181.099999999991</v>
      </c>
      <c r="P271" s="198">
        <v>7001.8760000000002</v>
      </c>
      <c r="Q271" s="198">
        <v>31.507999999999999</v>
      </c>
      <c r="R271" s="198">
        <v>414.80799999999999</v>
      </c>
      <c r="S271" s="198">
        <v>416.51400000000001</v>
      </c>
      <c r="T271" s="198">
        <v>5006.5680000000002</v>
      </c>
      <c r="U271" s="198"/>
      <c r="V271" s="199">
        <f t="shared" si="22"/>
        <v>1132.4780000000001</v>
      </c>
      <c r="W271" s="198">
        <v>5794.2175599999991</v>
      </c>
      <c r="X271" s="198">
        <v>133.006</v>
      </c>
      <c r="Y271" s="198">
        <v>901.04499999999996</v>
      </c>
      <c r="Z271" s="198">
        <v>257.577</v>
      </c>
      <c r="AA271" s="198">
        <v>2698.5059999999999</v>
      </c>
      <c r="AB271" s="198"/>
      <c r="AC271" s="199">
        <f t="shared" si="14"/>
        <v>1804.0835599999987</v>
      </c>
      <c r="AD271" s="198"/>
      <c r="AE271" s="198">
        <v>52.121000000000002</v>
      </c>
      <c r="AF271" s="198">
        <v>364.05499999999995</v>
      </c>
      <c r="AG271" s="198">
        <v>673.64300000000003</v>
      </c>
      <c r="AH271" s="198">
        <v>367.87700000000001</v>
      </c>
      <c r="AI271" s="198">
        <v>83.728999999999999</v>
      </c>
      <c r="AJ271" s="198"/>
      <c r="AK271" s="197"/>
      <c r="AL271" s="198"/>
      <c r="AM271" s="198"/>
      <c r="AN271" s="198"/>
      <c r="AO271" s="198"/>
      <c r="AP271" s="198"/>
      <c r="AQ271" s="199"/>
      <c r="AR271" s="198">
        <v>1436261.8308563137</v>
      </c>
      <c r="AS271" s="198">
        <v>306551.95596421004</v>
      </c>
      <c r="AT271" s="198">
        <v>137364.21149061</v>
      </c>
      <c r="AU271" s="198">
        <v>97001.190024389987</v>
      </c>
      <c r="AV271" s="198">
        <v>470587.06181919004</v>
      </c>
      <c r="AW271" s="198"/>
      <c r="AX271" s="198">
        <v>424757.41155791364</v>
      </c>
      <c r="AY271" s="197">
        <v>69193391</v>
      </c>
      <c r="AZ271" s="198"/>
      <c r="BA271" s="198">
        <v>42801985</v>
      </c>
      <c r="BB271" s="198">
        <v>17706841</v>
      </c>
      <c r="BC271" s="198">
        <v>8684565</v>
      </c>
      <c r="BD271" s="198"/>
      <c r="BE271" s="198"/>
      <c r="BF271" s="197">
        <v>151582873.38999999</v>
      </c>
      <c r="BG271" s="198"/>
      <c r="BH271" s="198">
        <v>94389188.049999997</v>
      </c>
      <c r="BI271" s="198">
        <v>11515709.000000002</v>
      </c>
      <c r="BJ271" s="198">
        <v>41813499.030000001</v>
      </c>
      <c r="BK271" s="198">
        <v>3864477.31</v>
      </c>
      <c r="BL271" s="198"/>
      <c r="BM271" s="197">
        <v>8646385.0620000008</v>
      </c>
      <c r="BN271" s="198">
        <v>418174.24100000004</v>
      </c>
      <c r="BO271" s="198">
        <v>854882.00900000008</v>
      </c>
      <c r="BP271" s="198">
        <v>2827881.3759999997</v>
      </c>
      <c r="BQ271" s="198">
        <v>2241556.142</v>
      </c>
      <c r="BR271" s="198"/>
      <c r="BS271" s="198">
        <f t="shared" si="2"/>
        <v>2303891.2940000016</v>
      </c>
      <c r="BT271" s="197"/>
      <c r="BU271" s="198"/>
      <c r="BV271" s="198"/>
      <c r="BW271" s="198"/>
      <c r="BX271" s="198"/>
      <c r="BY271" s="198"/>
      <c r="BZ271" s="199"/>
      <c r="CA271" s="198">
        <v>779.697</v>
      </c>
      <c r="CB271" s="198"/>
      <c r="CC271" s="198"/>
      <c r="CD271" s="198"/>
      <c r="CE271" s="198"/>
      <c r="CF271" s="198"/>
      <c r="CG271" s="199"/>
      <c r="CH271" s="197">
        <v>13973346.403660001</v>
      </c>
      <c r="CI271" s="198"/>
      <c r="CJ271" s="198">
        <v>6441028.770370001</v>
      </c>
      <c r="CK271" s="198">
        <v>1597337.5109600001</v>
      </c>
      <c r="CL271" s="198">
        <v>4340530.3409200003</v>
      </c>
      <c r="CM271" s="198">
        <v>1594449.7814099998</v>
      </c>
      <c r="CN271" s="198"/>
      <c r="CO271" s="197">
        <v>8561.5464900000006</v>
      </c>
      <c r="CP271" s="198">
        <v>741.78339000000017</v>
      </c>
      <c r="CQ271" s="198">
        <v>1253.54107</v>
      </c>
      <c r="CR271" s="198">
        <v>2173.5812199999996</v>
      </c>
      <c r="CS271" s="198">
        <v>2400.6585499999997</v>
      </c>
      <c r="CT271" s="198"/>
      <c r="CU271" s="198">
        <v>1991.9822600000007</v>
      </c>
      <c r="CV271" s="197">
        <v>1946.8889999999999</v>
      </c>
      <c r="CW271" s="198"/>
      <c r="CX271" s="198"/>
      <c r="CY271" s="198"/>
      <c r="CZ271" s="198"/>
      <c r="DA271" s="198"/>
      <c r="DB271" s="199"/>
      <c r="DC271" s="197">
        <v>77019.728000000003</v>
      </c>
      <c r="DD271" s="198">
        <v>8376.2729999999992</v>
      </c>
      <c r="DE271" s="198">
        <v>14760.912</v>
      </c>
      <c r="DF271" s="198"/>
      <c r="DG271" s="198">
        <v>20265.005000000001</v>
      </c>
      <c r="DH271" s="198"/>
      <c r="DI271" s="198">
        <f t="shared" si="23"/>
        <v>33617.538</v>
      </c>
      <c r="DJ271" s="197">
        <f>2823.9+58988.5</f>
        <v>61812.4</v>
      </c>
      <c r="DK271" s="198">
        <f>1895.7+11369.2</f>
        <v>13264.900000000001</v>
      </c>
      <c r="DL271" s="198">
        <f>2047+13032.3</f>
        <v>15079.3</v>
      </c>
      <c r="DM271" s="198">
        <v>4306.8</v>
      </c>
      <c r="DN271" s="198">
        <f>16777.2-DM271</f>
        <v>12470.400000000001</v>
      </c>
      <c r="DO271" s="198"/>
      <c r="DP271" s="198">
        <f>DJ271-SUM(DK271:DN271)</f>
        <v>16691</v>
      </c>
      <c r="DQ271" s="197"/>
      <c r="DR271" s="198"/>
      <c r="DS271" s="198"/>
      <c r="DT271" s="198"/>
      <c r="DU271" s="198"/>
      <c r="DV271" s="198"/>
      <c r="DW271" s="198"/>
      <c r="DX271" s="197">
        <v>136653.45350651001</v>
      </c>
      <c r="DY271" s="198"/>
      <c r="DZ271" s="198">
        <v>89081.665043540008</v>
      </c>
      <c r="EA271" s="198">
        <v>25363.174552880002</v>
      </c>
      <c r="EB271" s="198">
        <v>20824.289918890001</v>
      </c>
      <c r="EC271" s="198">
        <v>1384.3239912000001</v>
      </c>
      <c r="ED271" s="198"/>
      <c r="EE271" s="197">
        <v>253568.117</v>
      </c>
      <c r="EF271" s="198">
        <v>9035.6270000000004</v>
      </c>
      <c r="EG271" s="198">
        <v>63285.45</v>
      </c>
      <c r="EH271" s="198">
        <v>16894.82</v>
      </c>
      <c r="EI271" s="198">
        <v>90424.218999999997</v>
      </c>
      <c r="EJ271" s="198"/>
      <c r="EK271" s="198">
        <f t="shared" si="29"/>
        <v>73928.000999999975</v>
      </c>
      <c r="EL271" s="197">
        <v>1963445.7230410001</v>
      </c>
      <c r="EM271" s="198">
        <v>906424.14437800006</v>
      </c>
      <c r="EN271" s="198">
        <v>64062.699713000009</v>
      </c>
      <c r="EO271" s="198">
        <v>340120.38492099987</v>
      </c>
      <c r="EP271" s="198">
        <v>376012.75667600002</v>
      </c>
      <c r="EQ271" s="198"/>
      <c r="ER271" s="198">
        <v>276825.73721300001</v>
      </c>
      <c r="ES271" s="197">
        <v>43986.507891179979</v>
      </c>
      <c r="ET271" s="198">
        <v>3980.5365662099998</v>
      </c>
      <c r="EU271" s="198">
        <v>15979.639506990001</v>
      </c>
      <c r="EV271" s="198">
        <v>6766.76031143</v>
      </c>
      <c r="EW271" s="198">
        <v>11156.227163649979</v>
      </c>
      <c r="EX271" s="198"/>
      <c r="EY271" s="198">
        <f t="shared" si="24"/>
        <v>6103.3443428999963</v>
      </c>
      <c r="EZ271" s="197">
        <v>22027.264251150998</v>
      </c>
      <c r="FA271" s="198">
        <v>1154.9650172900001</v>
      </c>
      <c r="FB271" s="198">
        <v>5395.3309168610003</v>
      </c>
      <c r="FC271" s="198">
        <v>6251.7855457699998</v>
      </c>
      <c r="FD271" s="198">
        <v>4818.1490312200003</v>
      </c>
      <c r="FE271" s="198">
        <v>75.801960030000004</v>
      </c>
      <c r="FF271" s="198">
        <f t="shared" si="17"/>
        <v>4407.0337400099997</v>
      </c>
      <c r="FG271" s="197">
        <v>23075439.757228002</v>
      </c>
      <c r="FH271" s="198">
        <v>2220920.2024799995</v>
      </c>
      <c r="FI271" s="198">
        <v>4428534.7063790001</v>
      </c>
      <c r="FJ271" s="198"/>
      <c r="FK271" s="198">
        <v>2463992.7902050004</v>
      </c>
      <c r="FL271" s="198"/>
      <c r="FM271" s="198">
        <f t="shared" si="31"/>
        <v>13961992.058164002</v>
      </c>
      <c r="FN271" s="197">
        <v>93132.570999999996</v>
      </c>
      <c r="FO271" s="198">
        <v>17197.006000000001</v>
      </c>
      <c r="FP271" s="198">
        <v>12916.84</v>
      </c>
      <c r="FQ271" s="198">
        <v>12762.703</v>
      </c>
      <c r="FR271" s="198">
        <v>16465.424999999999</v>
      </c>
      <c r="FS271" s="198"/>
      <c r="FT271" s="199">
        <f t="shared" si="25"/>
        <v>33790.596999999994</v>
      </c>
      <c r="FU271" s="197"/>
      <c r="FV271" s="198"/>
      <c r="FW271" s="198"/>
      <c r="FX271" s="198"/>
      <c r="FY271" s="198"/>
      <c r="FZ271" s="198"/>
      <c r="GA271" s="199"/>
      <c r="GB271" s="197">
        <v>2296.6370000000002</v>
      </c>
      <c r="GC271" s="198"/>
      <c r="GD271" s="198"/>
      <c r="GE271" s="198"/>
      <c r="GF271" s="198"/>
      <c r="GG271" s="198"/>
      <c r="GH271" s="199"/>
      <c r="GI271" s="197">
        <v>1236.941</v>
      </c>
      <c r="GJ271" s="198"/>
      <c r="GK271" s="198"/>
      <c r="GL271" s="198"/>
      <c r="GM271" s="198"/>
      <c r="GN271" s="198"/>
      <c r="GO271" s="199"/>
      <c r="GP271" s="197">
        <v>3915.74</v>
      </c>
      <c r="GQ271" s="198"/>
      <c r="GR271" s="198"/>
      <c r="GS271" s="198"/>
      <c r="GT271" s="198"/>
      <c r="GU271" s="198"/>
      <c r="GV271" s="199"/>
      <c r="GW271" s="197">
        <f>[2]sur!P55</f>
        <v>2789</v>
      </c>
      <c r="GX271" s="198">
        <f>[2]sur!Q55</f>
        <v>189.8</v>
      </c>
      <c r="GY271" s="198">
        <f>[2]sur!R55</f>
        <v>658.6</v>
      </c>
      <c r="GZ271" s="198">
        <f>[2]sur!S55</f>
        <v>477.7</v>
      </c>
      <c r="HA271" s="198"/>
      <c r="HB271" s="198"/>
      <c r="HC271" s="199">
        <f>[2]sur!V55</f>
        <v>1462.9</v>
      </c>
      <c r="HD271" s="197"/>
      <c r="HE271" s="198"/>
      <c r="HF271" s="198"/>
      <c r="HG271" s="198"/>
      <c r="HH271" s="198"/>
      <c r="HI271" s="198"/>
      <c r="HJ271" s="199"/>
      <c r="HK271" s="197">
        <v>8256.7712050000009</v>
      </c>
      <c r="HL271" s="198">
        <v>1378.7167939999999</v>
      </c>
      <c r="HM271" s="198">
        <v>782.75822100000005</v>
      </c>
      <c r="HN271" s="198">
        <v>138.854994</v>
      </c>
      <c r="HO271" s="198">
        <v>3062.2202290000005</v>
      </c>
      <c r="HP271" s="198"/>
      <c r="HQ271" s="198">
        <f t="shared" si="16"/>
        <v>2894.2209670000002</v>
      </c>
      <c r="HR271" s="197">
        <v>156479.74900000001</v>
      </c>
      <c r="HS271" s="198">
        <v>11462.504000000001</v>
      </c>
      <c r="HT271" s="198">
        <v>57941.686000000002</v>
      </c>
      <c r="HU271" s="198">
        <v>22302.916000000001</v>
      </c>
      <c r="HV271" s="198">
        <v>34223.843000000001</v>
      </c>
      <c r="HW271" s="198">
        <v>5149.9920000000002</v>
      </c>
      <c r="HX271" s="198">
        <v>25398.808000000001</v>
      </c>
      <c r="HY271" s="198"/>
    </row>
    <row r="272" spans="1:233">
      <c r="A272" s="185" t="s">
        <v>491</v>
      </c>
      <c r="B272" s="197">
        <v>3122.299</v>
      </c>
      <c r="C272" s="198">
        <v>49.40514744</v>
      </c>
      <c r="D272" s="198">
        <v>579.14140519000011</v>
      </c>
      <c r="E272" s="198">
        <v>753.69379205000007</v>
      </c>
      <c r="F272" s="198">
        <v>533.00804258999995</v>
      </c>
      <c r="G272" s="198"/>
      <c r="H272" s="199">
        <v>1207.0506127300002</v>
      </c>
      <c r="I272" s="197">
        <v>170167</v>
      </c>
      <c r="J272" s="198"/>
      <c r="K272" s="198"/>
      <c r="L272" s="198">
        <v>18981.599999999999</v>
      </c>
      <c r="M272" s="198">
        <v>30598.9</v>
      </c>
      <c r="N272" s="198"/>
      <c r="O272" s="199">
        <f>[3]arg!$G138</f>
        <v>100001.60000000001</v>
      </c>
      <c r="P272" s="198">
        <v>7013.6760000000004</v>
      </c>
      <c r="Q272" s="198">
        <v>30.253</v>
      </c>
      <c r="R272" s="198">
        <v>423.23599999999999</v>
      </c>
      <c r="S272" s="198">
        <v>405.21600000000001</v>
      </c>
      <c r="T272" s="198">
        <v>4990.7190000000001</v>
      </c>
      <c r="U272" s="198"/>
      <c r="V272" s="199">
        <f t="shared" si="22"/>
        <v>1164.2520000000004</v>
      </c>
      <c r="W272" s="198">
        <v>5748.0794000000005</v>
      </c>
      <c r="X272" s="198">
        <v>135.221</v>
      </c>
      <c r="Y272" s="198">
        <v>882.89400000000001</v>
      </c>
      <c r="Z272" s="198">
        <v>257.00400000000002</v>
      </c>
      <c r="AA272" s="198">
        <v>2707.5239999999999</v>
      </c>
      <c r="AB272" s="198"/>
      <c r="AC272" s="199">
        <f t="shared" si="14"/>
        <v>1765.436400000001</v>
      </c>
      <c r="AD272" s="198"/>
      <c r="AE272" s="198">
        <v>52.026000000000003</v>
      </c>
      <c r="AF272" s="198">
        <v>362.49200000000002</v>
      </c>
      <c r="AG272" s="198">
        <v>622.05600000000004</v>
      </c>
      <c r="AH272" s="198">
        <v>364.36399999999998</v>
      </c>
      <c r="AI272" s="198">
        <v>82.066000000000003</v>
      </c>
      <c r="AJ272" s="198"/>
      <c r="AK272" s="197">
        <v>39695.993999999999</v>
      </c>
      <c r="AL272" s="198"/>
      <c r="AM272" s="198">
        <v>16592.925491999995</v>
      </c>
      <c r="AN272" s="198">
        <v>7899.5028059999995</v>
      </c>
      <c r="AO272" s="198">
        <v>4287.1673519999995</v>
      </c>
      <c r="AP272" s="198">
        <v>10916.398349999999</v>
      </c>
      <c r="AQ272" s="199"/>
      <c r="AR272" s="198">
        <v>1451946.2088749299</v>
      </c>
      <c r="AS272" s="198">
        <v>307229.84375095996</v>
      </c>
      <c r="AT272" s="198">
        <v>138474.13163729999</v>
      </c>
      <c r="AU272" s="198">
        <v>100749.88564939001</v>
      </c>
      <c r="AV272" s="198">
        <v>478420.62617160997</v>
      </c>
      <c r="AW272" s="198"/>
      <c r="AX272" s="198">
        <v>427071.72166566993</v>
      </c>
      <c r="AY272" s="197">
        <v>69318466</v>
      </c>
      <c r="AZ272" s="198"/>
      <c r="BA272" s="198">
        <v>42724674</v>
      </c>
      <c r="BB272" s="198">
        <v>17820777</v>
      </c>
      <c r="BC272" s="198">
        <v>8773015</v>
      </c>
      <c r="BD272" s="198"/>
      <c r="BE272" s="198"/>
      <c r="BF272" s="197">
        <v>152398945.95000002</v>
      </c>
      <c r="BG272" s="198"/>
      <c r="BH272" s="198">
        <v>94687002.88000001</v>
      </c>
      <c r="BI272" s="198">
        <v>11858585.940000003</v>
      </c>
      <c r="BJ272" s="198">
        <v>41998989.859999999</v>
      </c>
      <c r="BK272" s="198">
        <v>3854367.27</v>
      </c>
      <c r="BL272" s="198"/>
      <c r="BM272" s="197">
        <v>8464680.8729999997</v>
      </c>
      <c r="BN272" s="198">
        <v>409088.272</v>
      </c>
      <c r="BO272" s="198">
        <v>822791.70699999994</v>
      </c>
      <c r="BP272" s="198">
        <v>2772671.7760000001</v>
      </c>
      <c r="BQ272" s="198">
        <v>2219546.057</v>
      </c>
      <c r="BR272" s="198"/>
      <c r="BS272" s="198">
        <f t="shared" si="2"/>
        <v>2240583.0609999998</v>
      </c>
      <c r="BT272" s="197"/>
      <c r="BU272" s="198"/>
      <c r="BV272" s="198"/>
      <c r="BW272" s="198"/>
      <c r="BX272" s="198"/>
      <c r="BY272" s="198"/>
      <c r="BZ272" s="199"/>
      <c r="CA272" s="198">
        <v>782.13499999999999</v>
      </c>
      <c r="CB272" s="198">
        <v>35.78</v>
      </c>
      <c r="CC272" s="198">
        <v>103.955</v>
      </c>
      <c r="CD272" s="198">
        <v>245.24600000000001</v>
      </c>
      <c r="CE272" s="198">
        <v>140.46799999999999</v>
      </c>
      <c r="CF272" s="198"/>
      <c r="CG272" s="199">
        <f>CA272-CB272-CC272-CD272-CE272</f>
        <v>256.68600000000004</v>
      </c>
      <c r="CH272" s="197">
        <v>14197108.331230002</v>
      </c>
      <c r="CI272" s="198"/>
      <c r="CJ272" s="198">
        <v>6531868.6550600007</v>
      </c>
      <c r="CK272" s="198">
        <v>1630389.7643900004</v>
      </c>
      <c r="CL272" s="198">
        <v>4401172.7364499997</v>
      </c>
      <c r="CM272" s="198">
        <v>1633677.1753299998</v>
      </c>
      <c r="CN272" s="198"/>
      <c r="CO272" s="197">
        <v>8546.4034800000009</v>
      </c>
      <c r="CP272" s="198">
        <v>802.99308999999971</v>
      </c>
      <c r="CQ272" s="198">
        <v>1226.3884700000001</v>
      </c>
      <c r="CR272" s="198">
        <v>2165.5623899999996</v>
      </c>
      <c r="CS272" s="198">
        <v>2383.8147399999998</v>
      </c>
      <c r="CT272" s="198"/>
      <c r="CU272" s="198">
        <v>1967.644790000001</v>
      </c>
      <c r="CV272" s="197">
        <v>1948.5309999999999</v>
      </c>
      <c r="CW272" s="198">
        <v>36.431905329999999</v>
      </c>
      <c r="CX272" s="198">
        <v>306.30418094999993</v>
      </c>
      <c r="CY272" s="198">
        <v>637.61340997000002</v>
      </c>
      <c r="CZ272" s="198">
        <v>521.30275376999987</v>
      </c>
      <c r="DA272" s="198"/>
      <c r="DB272" s="199">
        <f>CV272-CW272-CX272-CY272-CZ272</f>
        <v>446.87874997999995</v>
      </c>
      <c r="DC272" s="197">
        <v>76682.532000000007</v>
      </c>
      <c r="DD272" s="198">
        <v>8341.4680000000008</v>
      </c>
      <c r="DE272" s="198">
        <v>14847.618</v>
      </c>
      <c r="DF272" s="198"/>
      <c r="DG272" s="198">
        <v>20290.172999999999</v>
      </c>
      <c r="DH272" s="198"/>
      <c r="DI272" s="198">
        <f t="shared" si="23"/>
        <v>33203.273000000016</v>
      </c>
      <c r="DJ272" s="197">
        <f>2937.3+59688</f>
        <v>62625.3</v>
      </c>
      <c r="DK272" s="198">
        <f>1879.9+11383.5</f>
        <v>13263.4</v>
      </c>
      <c r="DL272" s="198">
        <f>2078+13376.3</f>
        <v>15454.3</v>
      </c>
      <c r="DM272" s="198">
        <v>4290.8999999999996</v>
      </c>
      <c r="DN272" s="198">
        <f>15918.5-DM272</f>
        <v>11627.6</v>
      </c>
      <c r="DO272" s="198"/>
      <c r="DP272" s="198">
        <f>DJ272-SUM(DK272:DN272)</f>
        <v>17989.100000000006</v>
      </c>
      <c r="DQ272" s="197"/>
      <c r="DR272" s="198"/>
      <c r="DS272" s="198"/>
      <c r="DT272" s="198"/>
      <c r="DU272" s="198"/>
      <c r="DV272" s="198"/>
      <c r="DW272" s="198"/>
      <c r="DX272" s="197">
        <v>137070.91746467998</v>
      </c>
      <c r="DY272" s="198"/>
      <c r="DZ272" s="198">
        <v>89365.233502840012</v>
      </c>
      <c r="EA272" s="198">
        <v>25107.360545569998</v>
      </c>
      <c r="EB272" s="198">
        <v>21209.310780310003</v>
      </c>
      <c r="EC272" s="198">
        <v>1389.0126359600001</v>
      </c>
      <c r="ED272" s="198"/>
      <c r="EE272" s="197">
        <v>256993.66899999999</v>
      </c>
      <c r="EF272" s="198">
        <v>9088.57</v>
      </c>
      <c r="EG272" s="198">
        <v>64156.165000000001</v>
      </c>
      <c r="EH272" s="198">
        <v>16962.762999999999</v>
      </c>
      <c r="EI272" s="198">
        <v>89740.506999999998</v>
      </c>
      <c r="EJ272" s="198"/>
      <c r="EK272" s="198">
        <f t="shared" si="29"/>
        <v>77045.663999999975</v>
      </c>
      <c r="EL272" s="197">
        <v>1961840.2931409995</v>
      </c>
      <c r="EM272" s="198">
        <v>908411.01953499985</v>
      </c>
      <c r="EN272" s="198">
        <v>65764.98961199999</v>
      </c>
      <c r="EO272" s="198">
        <v>341801.78546699992</v>
      </c>
      <c r="EP272" s="198">
        <v>371773.165912</v>
      </c>
      <c r="EQ272" s="198"/>
      <c r="ER272" s="198">
        <v>274089.332521</v>
      </c>
      <c r="ES272" s="197">
        <v>43142.422729109989</v>
      </c>
      <c r="ET272" s="198">
        <v>4626.0883291</v>
      </c>
      <c r="EU272" s="198">
        <v>15418.858956350001</v>
      </c>
      <c r="EV272" s="198">
        <v>6786.0826095299999</v>
      </c>
      <c r="EW272" s="198">
        <v>10832.282852159991</v>
      </c>
      <c r="EX272" s="198"/>
      <c r="EY272" s="198">
        <f t="shared" si="24"/>
        <v>5479.1099819699994</v>
      </c>
      <c r="EZ272" s="197">
        <v>22209.042975831999</v>
      </c>
      <c r="FA272" s="198">
        <v>1218.8678368000001</v>
      </c>
      <c r="FB272" s="198">
        <v>5426.026309412</v>
      </c>
      <c r="FC272" s="198">
        <v>6315.5816610100101</v>
      </c>
      <c r="FD272" s="198">
        <v>4817.0532618200104</v>
      </c>
      <c r="FE272" s="198">
        <v>61.6675775799999</v>
      </c>
      <c r="FF272" s="198">
        <f t="shared" si="17"/>
        <v>4431.5139067899781</v>
      </c>
      <c r="FG272" s="197">
        <v>24095779.092821002</v>
      </c>
      <c r="FH272" s="198">
        <v>2231788.2059939997</v>
      </c>
      <c r="FI272" s="198">
        <v>4623251.4662810005</v>
      </c>
      <c r="FJ272" s="198"/>
      <c r="FK272" s="198">
        <v>2501962.6313340003</v>
      </c>
      <c r="FL272" s="198"/>
      <c r="FM272" s="198">
        <f t="shared" si="31"/>
        <v>14738776.789212003</v>
      </c>
      <c r="FN272" s="197">
        <v>94100.104999999996</v>
      </c>
      <c r="FO272" s="198">
        <v>17316.441999999999</v>
      </c>
      <c r="FP272" s="198">
        <v>13084.401</v>
      </c>
      <c r="FQ272" s="198">
        <v>13007.656999999999</v>
      </c>
      <c r="FR272" s="198">
        <v>16544.751</v>
      </c>
      <c r="FS272" s="198"/>
      <c r="FT272" s="199">
        <f t="shared" si="25"/>
        <v>34146.853999999992</v>
      </c>
      <c r="FU272" s="197">
        <v>417390.35230242007</v>
      </c>
      <c r="FV272" s="198">
        <v>30547.092830450005</v>
      </c>
      <c r="FW272" s="198">
        <v>50230.29842005</v>
      </c>
      <c r="FX272" s="198">
        <v>85863.589216909953</v>
      </c>
      <c r="FY272" s="198">
        <v>90358.586879970098</v>
      </c>
      <c r="FZ272" s="198"/>
      <c r="GA272" s="199">
        <f>FU272-FV272-FW272-FX272-FY272</f>
        <v>160390.78495504003</v>
      </c>
      <c r="GB272" s="197">
        <v>2308.1030000000001</v>
      </c>
      <c r="GC272" s="198">
        <v>23.221</v>
      </c>
      <c r="GD272" s="198">
        <v>223.155</v>
      </c>
      <c r="GE272" s="198">
        <v>447.149</v>
      </c>
      <c r="GF272" s="198">
        <v>392.98099999999999</v>
      </c>
      <c r="GG272" s="198"/>
      <c r="GH272" s="199">
        <f>GB272-GC272-GD272-GE272-GF272</f>
        <v>1221.597</v>
      </c>
      <c r="GI272" s="197">
        <v>1235.327</v>
      </c>
      <c r="GJ272" s="198">
        <v>60.800860020000002</v>
      </c>
      <c r="GK272" s="198">
        <v>159.62108728999999</v>
      </c>
      <c r="GL272" s="198">
        <v>347.71024712999997</v>
      </c>
      <c r="GM272" s="198">
        <v>265.78652347000002</v>
      </c>
      <c r="GN272" s="198"/>
      <c r="GO272" s="199">
        <f>GI272-GJ272-GK272-GL272-GM272</f>
        <v>401.40828208999994</v>
      </c>
      <c r="GP272" s="197">
        <v>3891.5810000000001</v>
      </c>
      <c r="GQ272" s="198">
        <v>96.885000000000005</v>
      </c>
      <c r="GR272" s="198">
        <v>1050.5840000000001</v>
      </c>
      <c r="GS272" s="198">
        <v>602.76099999999997</v>
      </c>
      <c r="GT272" s="198">
        <v>541.89</v>
      </c>
      <c r="GU272" s="198"/>
      <c r="GV272" s="199">
        <f>GP272-GQ272-GR272-GS272-GT272</f>
        <v>1599.4610000000002</v>
      </c>
      <c r="GW272" s="197">
        <f>[2]sur!P56</f>
        <v>2819.9</v>
      </c>
      <c r="GX272" s="198">
        <f>[2]sur!Q56</f>
        <v>188</v>
      </c>
      <c r="GY272" s="198">
        <f>[2]sur!R56</f>
        <v>660.5</v>
      </c>
      <c r="GZ272" s="198">
        <f>[2]sur!S56</f>
        <v>474.3</v>
      </c>
      <c r="HA272" s="198"/>
      <c r="HB272" s="198"/>
      <c r="HC272" s="199">
        <f>[2]sur!V56</f>
        <v>1497.1</v>
      </c>
      <c r="HD272" s="197">
        <f>'[2]t&amp;t'!W404</f>
        <v>45321</v>
      </c>
      <c r="HE272" s="198">
        <f>'[2]t&amp;t'!X404</f>
        <v>2999.9</v>
      </c>
      <c r="HF272" s="198">
        <f>'[2]t&amp;t'!Y404</f>
        <v>3698.9</v>
      </c>
      <c r="HG272" s="198">
        <f>'[2]t&amp;t'!Z404</f>
        <v>10239.5</v>
      </c>
      <c r="HH272" s="198">
        <f>'[2]t&amp;t'!AA404</f>
        <v>11069</v>
      </c>
      <c r="HI272" s="198"/>
      <c r="HJ272" s="199">
        <f>'[2]t&amp;t'!AC404</f>
        <v>17313.7</v>
      </c>
      <c r="HK272" s="197">
        <v>8471.2979219999997</v>
      </c>
      <c r="HL272" s="198">
        <v>1388.5754509999999</v>
      </c>
      <c r="HM272" s="198">
        <v>793.30660099999989</v>
      </c>
      <c r="HN272" s="198">
        <v>136.83199299999998</v>
      </c>
      <c r="HO272" s="198">
        <v>3167.0152400000002</v>
      </c>
      <c r="HP272" s="198"/>
      <c r="HQ272" s="198">
        <f t="shared" si="16"/>
        <v>2985.5686369999999</v>
      </c>
      <c r="HR272" s="197">
        <v>156338.06299999999</v>
      </c>
      <c r="HS272" s="198">
        <v>11715.833000000001</v>
      </c>
      <c r="HT272" s="198">
        <v>55979.525000000001</v>
      </c>
      <c r="HU272" s="198">
        <v>22860.940999999999</v>
      </c>
      <c r="HV272" s="198">
        <v>34348.696000000004</v>
      </c>
      <c r="HW272" s="198">
        <v>5250.317</v>
      </c>
      <c r="HX272" s="198">
        <v>26182.751</v>
      </c>
      <c r="HY272" s="198"/>
    </row>
    <row r="273" spans="1:233">
      <c r="A273" s="185" t="s">
        <v>492</v>
      </c>
      <c r="B273" s="197">
        <v>3158.645</v>
      </c>
      <c r="C273" s="198"/>
      <c r="D273" s="198"/>
      <c r="E273" s="198"/>
      <c r="F273" s="198"/>
      <c r="G273" s="198"/>
      <c r="H273" s="199"/>
      <c r="I273" s="197">
        <v>175598.4</v>
      </c>
      <c r="J273" s="198"/>
      <c r="K273" s="198"/>
      <c r="L273" s="198">
        <v>19043.7</v>
      </c>
      <c r="M273" s="198">
        <v>31269.599999999999</v>
      </c>
      <c r="N273" s="198"/>
      <c r="O273" s="199">
        <f>[3]arg!$G139</f>
        <v>104621.5</v>
      </c>
      <c r="P273" s="198">
        <v>7011.6790000000001</v>
      </c>
      <c r="Q273" s="198">
        <v>31.614999999999998</v>
      </c>
      <c r="R273" s="198">
        <v>421.34100000000001</v>
      </c>
      <c r="S273" s="198">
        <v>404.50400000000002</v>
      </c>
      <c r="T273" s="198">
        <v>5006.9989999999998</v>
      </c>
      <c r="U273" s="198"/>
      <c r="V273" s="199">
        <f t="shared" si="22"/>
        <v>1147.2200000000003</v>
      </c>
      <c r="W273" s="198">
        <v>5764.9229999999998</v>
      </c>
      <c r="X273" s="198">
        <v>130.98500000000001</v>
      </c>
      <c r="Y273" s="198">
        <v>890.65285000000006</v>
      </c>
      <c r="Z273" s="198">
        <v>261.25900000000001</v>
      </c>
      <c r="AA273" s="198">
        <v>2730.0139100000001</v>
      </c>
      <c r="AB273" s="198"/>
      <c r="AC273" s="199">
        <f t="shared" si="14"/>
        <v>1752.0122399999996</v>
      </c>
      <c r="AD273" s="198"/>
      <c r="AE273" s="198">
        <v>51.341000000000001</v>
      </c>
      <c r="AF273" s="198">
        <v>364.52299999999997</v>
      </c>
      <c r="AG273" s="198">
        <v>619.72400000000005</v>
      </c>
      <c r="AH273" s="198">
        <v>364.572</v>
      </c>
      <c r="AI273" s="198">
        <v>81.233999999999995</v>
      </c>
      <c r="AJ273" s="198"/>
      <c r="AK273" s="197"/>
      <c r="AL273" s="198"/>
      <c r="AM273" s="198"/>
      <c r="AN273" s="198"/>
      <c r="AO273" s="198"/>
      <c r="AP273" s="198"/>
      <c r="AQ273" s="199"/>
      <c r="AR273" s="198">
        <v>1468019.6110499725</v>
      </c>
      <c r="AS273" s="198">
        <v>307328.89489788003</v>
      </c>
      <c r="AT273" s="198">
        <v>140865.68366872001</v>
      </c>
      <c r="AU273" s="198">
        <v>104076.66434390999</v>
      </c>
      <c r="AV273" s="198">
        <v>484257.28571689001</v>
      </c>
      <c r="AW273" s="198"/>
      <c r="AX273" s="198">
        <v>431491.08242257242</v>
      </c>
      <c r="AY273" s="197">
        <v>69951724</v>
      </c>
      <c r="AZ273" s="198"/>
      <c r="BA273" s="198">
        <v>43103857</v>
      </c>
      <c r="BB273" s="198">
        <v>17929868</v>
      </c>
      <c r="BC273" s="198">
        <v>8917999</v>
      </c>
      <c r="BD273" s="198"/>
      <c r="BE273" s="198"/>
      <c r="BF273" s="197">
        <v>153300174.46000001</v>
      </c>
      <c r="BG273" s="198"/>
      <c r="BH273" s="198">
        <v>95426000.969999999</v>
      </c>
      <c r="BI273" s="198">
        <v>11701936.840000002</v>
      </c>
      <c r="BJ273" s="198">
        <v>42296654.860000007</v>
      </c>
      <c r="BK273" s="198">
        <v>3875581.79</v>
      </c>
      <c r="BL273" s="198"/>
      <c r="BM273" s="197">
        <v>8409389.4519999996</v>
      </c>
      <c r="BN273" s="198">
        <v>393143.64799999999</v>
      </c>
      <c r="BO273" s="198">
        <v>808429.73600000003</v>
      </c>
      <c r="BP273" s="198">
        <v>2766715.7340000002</v>
      </c>
      <c r="BQ273" s="198">
        <v>2222537.5</v>
      </c>
      <c r="BR273" s="198"/>
      <c r="BS273" s="198">
        <f t="shared" si="2"/>
        <v>2218562.8339999989</v>
      </c>
      <c r="BT273" s="197"/>
      <c r="BU273" s="198"/>
      <c r="BV273" s="198"/>
      <c r="BW273" s="198"/>
      <c r="BX273" s="198"/>
      <c r="BY273" s="198"/>
      <c r="BZ273" s="199"/>
      <c r="CA273" s="198">
        <v>773.55399999999997</v>
      </c>
      <c r="CB273" s="198"/>
      <c r="CC273" s="198"/>
      <c r="CD273" s="198"/>
      <c r="CE273" s="198"/>
      <c r="CF273" s="198"/>
      <c r="CG273" s="199"/>
      <c r="CH273" s="197">
        <v>14581552.72903</v>
      </c>
      <c r="CI273" s="198"/>
      <c r="CJ273" s="198">
        <v>6756191.9440699983</v>
      </c>
      <c r="CK273" s="198">
        <v>1649822.4368200002</v>
      </c>
      <c r="CL273" s="198">
        <v>4491685.5985800009</v>
      </c>
      <c r="CM273" s="198">
        <v>1683852.7495599999</v>
      </c>
      <c r="CN273" s="198"/>
      <c r="CO273" s="197">
        <v>8558.8438499999993</v>
      </c>
      <c r="CP273" s="198">
        <v>793.46587999999997</v>
      </c>
      <c r="CQ273" s="198">
        <v>1239.60626</v>
      </c>
      <c r="CR273" s="198">
        <v>2159.8211700000002</v>
      </c>
      <c r="CS273" s="198">
        <v>2384.9737599999994</v>
      </c>
      <c r="CT273" s="198"/>
      <c r="CU273" s="198">
        <v>1980.9767799999993</v>
      </c>
      <c r="CV273" s="197">
        <v>1942.546</v>
      </c>
      <c r="CW273" s="198"/>
      <c r="CX273" s="198"/>
      <c r="CY273" s="198"/>
      <c r="CZ273" s="198"/>
      <c r="DA273" s="198"/>
      <c r="DB273" s="199"/>
      <c r="DC273" s="197">
        <v>77224.657000000007</v>
      </c>
      <c r="DD273" s="198">
        <v>8503.8029999999999</v>
      </c>
      <c r="DE273" s="198">
        <v>14774.591</v>
      </c>
      <c r="DF273" s="198"/>
      <c r="DG273" s="198">
        <v>20479.013999999999</v>
      </c>
      <c r="DH273" s="198"/>
      <c r="DI273" s="198">
        <f t="shared" si="23"/>
        <v>33467.249000000011</v>
      </c>
      <c r="DJ273" s="197">
        <f>2802.1+60845.1</f>
        <v>63647.199999999997</v>
      </c>
      <c r="DK273" s="198">
        <f>1847.3+11559.4</f>
        <v>13406.699999999999</v>
      </c>
      <c r="DL273" s="198">
        <f>2043.1+14126.4</f>
        <v>16169.5</v>
      </c>
      <c r="DM273" s="198">
        <v>4359.6000000000004</v>
      </c>
      <c r="DN273" s="198">
        <f>15787.6-DM273</f>
        <v>11428</v>
      </c>
      <c r="DO273" s="198"/>
      <c r="DP273" s="198">
        <f t="shared" ref="DP273:DP280" si="32">DJ273-SUM(DK273:DN273)</f>
        <v>18283.400000000001</v>
      </c>
      <c r="DQ273" s="197"/>
      <c r="DR273" s="198"/>
      <c r="DS273" s="198"/>
      <c r="DT273" s="198"/>
      <c r="DU273" s="198"/>
      <c r="DV273" s="198"/>
      <c r="DW273" s="198"/>
      <c r="DX273" s="197">
        <v>137678.52802213997</v>
      </c>
      <c r="DY273" s="198"/>
      <c r="DZ273" s="198">
        <v>89703.592819259997</v>
      </c>
      <c r="EA273" s="198">
        <v>25740.503718229997</v>
      </c>
      <c r="EB273" s="198">
        <v>20831.35293469</v>
      </c>
      <c r="EC273" s="198">
        <v>1403.0785499599999</v>
      </c>
      <c r="ED273" s="198"/>
      <c r="EE273" s="197">
        <v>253485.921</v>
      </c>
      <c r="EF273" s="198">
        <v>8855.1980000000003</v>
      </c>
      <c r="EG273" s="198">
        <v>60753.178</v>
      </c>
      <c r="EH273" s="198">
        <v>20145.608</v>
      </c>
      <c r="EI273" s="198">
        <v>90162.070999999996</v>
      </c>
      <c r="EJ273" s="198"/>
      <c r="EK273" s="198">
        <f t="shared" si="29"/>
        <v>73569.86599999998</v>
      </c>
      <c r="EL273" s="197">
        <v>1959891.6831830004</v>
      </c>
      <c r="EM273" s="198">
        <v>906832.63032700017</v>
      </c>
      <c r="EN273" s="198">
        <v>64079.756816000008</v>
      </c>
      <c r="EO273" s="198">
        <v>344048.75348999997</v>
      </c>
      <c r="EP273" s="198">
        <v>372252.56004699995</v>
      </c>
      <c r="EQ273" s="198"/>
      <c r="ER273" s="198">
        <v>272677.98260599998</v>
      </c>
      <c r="ES273" s="197">
        <v>43027.832161179991</v>
      </c>
      <c r="ET273" s="198">
        <v>4705.7297841299996</v>
      </c>
      <c r="EU273" s="198">
        <v>15254.369437310001</v>
      </c>
      <c r="EV273" s="198">
        <v>6794.8382288900002</v>
      </c>
      <c r="EW273" s="198">
        <v>10860.129123199989</v>
      </c>
      <c r="EX273" s="198"/>
      <c r="EY273" s="198">
        <f t="shared" si="24"/>
        <v>5412.7655876499994</v>
      </c>
      <c r="EZ273" s="197">
        <v>22328.192163111999</v>
      </c>
      <c r="FA273" s="198">
        <v>1171.8980254999999</v>
      </c>
      <c r="FB273" s="198">
        <v>5518.4285451320002</v>
      </c>
      <c r="FC273" s="198">
        <v>6370.0738048000003</v>
      </c>
      <c r="FD273" s="198">
        <v>4873.6564907000102</v>
      </c>
      <c r="FE273" s="198">
        <v>75.824215859999995</v>
      </c>
      <c r="FF273" s="198">
        <f t="shared" si="17"/>
        <v>4394.13529697999</v>
      </c>
      <c r="FG273" s="197">
        <v>25285955.646528002</v>
      </c>
      <c r="FH273" s="198">
        <v>2415366.9733019997</v>
      </c>
      <c r="FI273" s="198">
        <v>4692235.5323510002</v>
      </c>
      <c r="FJ273" s="198"/>
      <c r="FK273" s="198">
        <v>2532353.14322</v>
      </c>
      <c r="FL273" s="198"/>
      <c r="FM273" s="198">
        <f t="shared" si="31"/>
        <v>15645999.997655004</v>
      </c>
      <c r="FN273" s="197">
        <v>95970.671000000002</v>
      </c>
      <c r="FO273" s="198">
        <v>17967.827000000001</v>
      </c>
      <c r="FP273" s="198">
        <v>13533.332</v>
      </c>
      <c r="FQ273" s="198">
        <v>13280.707</v>
      </c>
      <c r="FR273" s="198">
        <v>16715.393</v>
      </c>
      <c r="FS273" s="198"/>
      <c r="FT273" s="199">
        <f t="shared" si="25"/>
        <v>34473.411999999997</v>
      </c>
      <c r="FU273" s="197"/>
      <c r="FV273" s="198"/>
      <c r="FW273" s="198"/>
      <c r="FX273" s="198"/>
      <c r="FY273" s="198"/>
      <c r="FZ273" s="198"/>
      <c r="GA273" s="199"/>
      <c r="GB273" s="197">
        <v>2320.549</v>
      </c>
      <c r="GC273" s="198"/>
      <c r="GD273" s="198"/>
      <c r="GE273" s="198"/>
      <c r="GF273" s="198"/>
      <c r="GG273" s="198"/>
      <c r="GH273" s="199"/>
      <c r="GI273" s="197">
        <v>1264.423</v>
      </c>
      <c r="GJ273" s="198"/>
      <c r="GK273" s="198"/>
      <c r="GL273" s="198"/>
      <c r="GM273" s="198"/>
      <c r="GN273" s="198"/>
      <c r="GO273" s="199"/>
      <c r="GP273" s="197">
        <v>3891.18</v>
      </c>
      <c r="GQ273" s="198"/>
      <c r="GR273" s="198"/>
      <c r="GS273" s="198"/>
      <c r="GT273" s="198"/>
      <c r="GU273" s="198"/>
      <c r="GV273" s="199"/>
      <c r="GW273" s="197">
        <f>[2]sur!P57</f>
        <v>2839.2</v>
      </c>
      <c r="GX273" s="198">
        <f>[2]sur!Q57</f>
        <v>198.6</v>
      </c>
      <c r="GY273" s="198">
        <f>[2]sur!R57</f>
        <v>671.90000000000009</v>
      </c>
      <c r="GZ273" s="198">
        <f>[2]sur!S57</f>
        <v>482.09999999999997</v>
      </c>
      <c r="HA273" s="198"/>
      <c r="HB273" s="198"/>
      <c r="HC273" s="199">
        <f>[2]sur!V57</f>
        <v>1486.6</v>
      </c>
      <c r="HD273" s="197"/>
      <c r="HE273" s="198"/>
      <c r="HF273" s="198"/>
      <c r="HG273" s="198"/>
      <c r="HH273" s="198"/>
      <c r="HI273" s="198"/>
      <c r="HJ273" s="199"/>
      <c r="HK273" s="197">
        <v>8583.5123756134999</v>
      </c>
      <c r="HL273" s="198">
        <v>1389.5487230000001</v>
      </c>
      <c r="HM273" s="198">
        <v>835.80904199999998</v>
      </c>
      <c r="HN273" s="198">
        <v>137.552584</v>
      </c>
      <c r="HO273" s="198">
        <v>3230.5296280000002</v>
      </c>
      <c r="HP273" s="198"/>
      <c r="HQ273" s="198">
        <f t="shared" si="16"/>
        <v>2990.0723986134999</v>
      </c>
      <c r="HR273" s="197">
        <v>159318.005</v>
      </c>
      <c r="HS273" s="198">
        <v>11967.308000000001</v>
      </c>
      <c r="HT273" s="198">
        <v>56682.34</v>
      </c>
      <c r="HU273" s="198">
        <v>23330.573</v>
      </c>
      <c r="HV273" s="198">
        <v>34651.044000000002</v>
      </c>
      <c r="HW273" s="198">
        <v>5341.7479999999996</v>
      </c>
      <c r="HX273" s="198">
        <v>27344.991999999998</v>
      </c>
      <c r="HY273" s="198"/>
    </row>
    <row r="274" spans="1:233">
      <c r="A274" s="185" t="s">
        <v>493</v>
      </c>
      <c r="B274" s="197">
        <v>3008.931</v>
      </c>
      <c r="C274" s="198"/>
      <c r="D274" s="198"/>
      <c r="E274" s="198"/>
      <c r="F274" s="198"/>
      <c r="G274" s="198"/>
      <c r="H274" s="199"/>
      <c r="I274" s="197">
        <v>180846.9</v>
      </c>
      <c r="J274" s="198"/>
      <c r="K274" s="198"/>
      <c r="L274" s="198">
        <v>19176.5</v>
      </c>
      <c r="M274" s="198">
        <v>31752.6</v>
      </c>
      <c r="N274" s="198"/>
      <c r="O274" s="199">
        <f>[3]arg!$G140</f>
        <v>109114.5</v>
      </c>
      <c r="P274" s="198">
        <v>6969.27</v>
      </c>
      <c r="Q274" s="198">
        <v>28.981000000000002</v>
      </c>
      <c r="R274" s="198">
        <v>402.84699999999998</v>
      </c>
      <c r="S274" s="198">
        <v>404.40199999999999</v>
      </c>
      <c r="T274" s="198">
        <v>4989.8360000000002</v>
      </c>
      <c r="U274" s="198"/>
      <c r="V274" s="199">
        <f t="shared" si="22"/>
        <v>1143.2040000000006</v>
      </c>
      <c r="W274" s="198">
        <v>5761.0129999999999</v>
      </c>
      <c r="X274" s="198">
        <v>134.54400000000001</v>
      </c>
      <c r="Y274" s="198">
        <v>862.827</v>
      </c>
      <c r="Z274" s="198">
        <v>234.46299999999999</v>
      </c>
      <c r="AA274" s="198">
        <v>2442.7950000000001</v>
      </c>
      <c r="AB274" s="198"/>
      <c r="AC274" s="199">
        <f t="shared" si="14"/>
        <v>2086.384</v>
      </c>
      <c r="AD274" s="198"/>
      <c r="AE274" s="198">
        <v>49.94</v>
      </c>
      <c r="AF274" s="198">
        <v>364.76700000000005</v>
      </c>
      <c r="AG274" s="198">
        <v>623.44299999999998</v>
      </c>
      <c r="AH274" s="198">
        <v>364.48599999999999</v>
      </c>
      <c r="AI274" s="198">
        <v>80.114000000000004</v>
      </c>
      <c r="AJ274" s="198"/>
      <c r="AK274" s="197"/>
      <c r="AL274" s="198"/>
      <c r="AM274" s="198"/>
      <c r="AN274" s="198"/>
      <c r="AO274" s="198"/>
      <c r="AP274" s="198"/>
      <c r="AQ274" s="199"/>
      <c r="AR274" s="198">
        <v>1498596.038042871</v>
      </c>
      <c r="AS274" s="198">
        <v>312986.28237604996</v>
      </c>
      <c r="AT274" s="198">
        <v>147703.86310615001</v>
      </c>
      <c r="AU274" s="198">
        <v>107745.34578526999</v>
      </c>
      <c r="AV274" s="198">
        <v>492108.9158270901</v>
      </c>
      <c r="AW274" s="198"/>
      <c r="AX274" s="198">
        <v>438051.63094831101</v>
      </c>
      <c r="AY274" s="197">
        <v>70968671</v>
      </c>
      <c r="AZ274" s="198"/>
      <c r="BA274" s="198">
        <v>43897349</v>
      </c>
      <c r="BB274" s="198">
        <v>18149361</v>
      </c>
      <c r="BC274" s="198">
        <v>8921961</v>
      </c>
      <c r="BD274" s="198"/>
      <c r="BE274" s="198"/>
      <c r="BF274" s="197">
        <v>155430683.97999999</v>
      </c>
      <c r="BG274" s="198"/>
      <c r="BH274" s="198">
        <v>96638925.459999993</v>
      </c>
      <c r="BI274" s="198">
        <v>12056139.330000002</v>
      </c>
      <c r="BJ274" s="198">
        <v>42843437.289999999</v>
      </c>
      <c r="BK274" s="198">
        <v>3892181.9000000008</v>
      </c>
      <c r="BL274" s="198"/>
      <c r="BM274" s="197">
        <v>8655959.0490000006</v>
      </c>
      <c r="BN274" s="198">
        <v>424628.44399999996</v>
      </c>
      <c r="BO274" s="198">
        <v>847777.30999999994</v>
      </c>
      <c r="BP274" s="198">
        <v>2871170.8050000002</v>
      </c>
      <c r="BQ274" s="198">
        <v>2266623.2769999998</v>
      </c>
      <c r="BR274" s="198"/>
      <c r="BS274" s="198">
        <f t="shared" si="2"/>
        <v>2245759.2130000005</v>
      </c>
      <c r="BT274" s="197"/>
      <c r="BU274" s="198"/>
      <c r="BV274" s="198"/>
      <c r="BW274" s="198"/>
      <c r="BX274" s="198"/>
      <c r="BY274" s="198"/>
      <c r="BZ274" s="199"/>
      <c r="CA274" s="198">
        <v>774.11500000000001</v>
      </c>
      <c r="CB274" s="198"/>
      <c r="CC274" s="198"/>
      <c r="CD274" s="198"/>
      <c r="CE274" s="198"/>
      <c r="CF274" s="198"/>
      <c r="CG274" s="199"/>
      <c r="CH274" s="197">
        <v>14819429.248589998</v>
      </c>
      <c r="CI274" s="198"/>
      <c r="CJ274" s="198">
        <v>6809962.2297399985</v>
      </c>
      <c r="CK274" s="198">
        <v>1666544.10307</v>
      </c>
      <c r="CL274" s="198">
        <v>4612939.1440799991</v>
      </c>
      <c r="CM274" s="198">
        <v>1729983.7716999997</v>
      </c>
      <c r="CN274" s="198"/>
      <c r="CO274" s="197">
        <v>8474.0372200000002</v>
      </c>
      <c r="CP274" s="198">
        <v>782.64170999999999</v>
      </c>
      <c r="CQ274" s="198">
        <v>1224.3202099999996</v>
      </c>
      <c r="CR274" s="198">
        <v>2159.8077399999997</v>
      </c>
      <c r="CS274" s="198">
        <v>2367.6236499999995</v>
      </c>
      <c r="CT274" s="198"/>
      <c r="CU274" s="198">
        <v>1939.6439100000021</v>
      </c>
      <c r="CV274" s="197">
        <v>1958.223</v>
      </c>
      <c r="CW274" s="198"/>
      <c r="CX274" s="198"/>
      <c r="CY274" s="198"/>
      <c r="CZ274" s="198"/>
      <c r="DA274" s="198"/>
      <c r="DB274" s="199"/>
      <c r="DC274" s="197">
        <v>77430.133000000002</v>
      </c>
      <c r="DD274" s="198">
        <v>8367.1440000000002</v>
      </c>
      <c r="DE274" s="198">
        <v>14597.558000000001</v>
      </c>
      <c r="DF274" s="198"/>
      <c r="DG274" s="198">
        <v>20627.960999999999</v>
      </c>
      <c r="DH274" s="198"/>
      <c r="DI274" s="198">
        <f t="shared" si="23"/>
        <v>33837.47</v>
      </c>
      <c r="DJ274" s="197">
        <f>2825.3+60551.2</f>
        <v>63376.5</v>
      </c>
      <c r="DK274" s="198">
        <f>1888+11594.3</f>
        <v>13482.3</v>
      </c>
      <c r="DL274" s="198">
        <f>2112.1+14477.3</f>
        <v>16589.399999999998</v>
      </c>
      <c r="DM274" s="198">
        <v>4343.3</v>
      </c>
      <c r="DN274" s="198">
        <f>15886.3-DM274</f>
        <v>11543</v>
      </c>
      <c r="DO274" s="198"/>
      <c r="DP274" s="198">
        <f t="shared" si="32"/>
        <v>17418.5</v>
      </c>
      <c r="DQ274" s="197"/>
      <c r="DR274" s="198"/>
      <c r="DS274" s="198"/>
      <c r="DT274" s="198"/>
      <c r="DU274" s="198"/>
      <c r="DV274" s="198"/>
      <c r="DW274" s="198"/>
      <c r="DX274" s="197">
        <v>137442.81120484998</v>
      </c>
      <c r="DY274" s="198"/>
      <c r="DZ274" s="198">
        <v>89194.431241870014</v>
      </c>
      <c r="EA274" s="198">
        <v>25910.820057500001</v>
      </c>
      <c r="EB274" s="198">
        <v>20927.264727169997</v>
      </c>
      <c r="EC274" s="198">
        <v>1410.29517831</v>
      </c>
      <c r="ED274" s="198"/>
      <c r="EE274" s="197">
        <v>254588.71799999999</v>
      </c>
      <c r="EF274" s="198">
        <v>8756.9779999999992</v>
      </c>
      <c r="EG274" s="198">
        <v>61532.226999999999</v>
      </c>
      <c r="EH274" s="198">
        <v>20280.047999999999</v>
      </c>
      <c r="EI274" s="198">
        <v>90500.442999999999</v>
      </c>
      <c r="EJ274" s="198"/>
      <c r="EK274" s="198">
        <f t="shared" si="29"/>
        <v>73519.021999999968</v>
      </c>
      <c r="EL274" s="197">
        <v>1996585.0335280001</v>
      </c>
      <c r="EM274" s="198">
        <v>923208.27463699982</v>
      </c>
      <c r="EN274" s="198">
        <v>74219.553089000008</v>
      </c>
      <c r="EO274" s="198">
        <v>346489.07894699997</v>
      </c>
      <c r="EP274" s="198">
        <v>372313.76185200003</v>
      </c>
      <c r="EQ274" s="198"/>
      <c r="ER274" s="198">
        <v>280354.36499099992</v>
      </c>
      <c r="ES274" s="197">
        <v>42826.669552200001</v>
      </c>
      <c r="ET274" s="198">
        <v>4786.86785487</v>
      </c>
      <c r="EU274" s="198">
        <v>15035.639967540001</v>
      </c>
      <c r="EV274" s="198">
        <v>6790.4611054300003</v>
      </c>
      <c r="EW274" s="198">
        <v>10815.437529459999</v>
      </c>
      <c r="EX274" s="198"/>
      <c r="EY274" s="198">
        <f t="shared" si="24"/>
        <v>5398.2630949000013</v>
      </c>
      <c r="EZ274" s="197">
        <v>22636.462964130998</v>
      </c>
      <c r="FA274" s="198">
        <v>1171.84961129</v>
      </c>
      <c r="FB274" s="198">
        <v>5617.4397857109998</v>
      </c>
      <c r="FC274" s="198">
        <v>6415.5904836199998</v>
      </c>
      <c r="FD274" s="198">
        <v>4958.7967040399999</v>
      </c>
      <c r="FE274" s="198">
        <v>76.120922309999898</v>
      </c>
      <c r="FF274" s="198">
        <f t="shared" si="17"/>
        <v>4472.7863794699988</v>
      </c>
      <c r="FG274" s="197">
        <v>25447685.328446999</v>
      </c>
      <c r="FH274" s="198">
        <v>2547569.1806369997</v>
      </c>
      <c r="FI274" s="198">
        <v>4814980.7588839997</v>
      </c>
      <c r="FJ274" s="198"/>
      <c r="FK274" s="198">
        <v>2586889.7883589999</v>
      </c>
      <c r="FL274" s="198"/>
      <c r="FM274" s="198">
        <f t="shared" si="31"/>
        <v>15498245.600567</v>
      </c>
      <c r="FN274" s="197">
        <v>98100.892000000007</v>
      </c>
      <c r="FO274" s="198">
        <v>18237.483</v>
      </c>
      <c r="FP274" s="198">
        <v>13858.949000000001</v>
      </c>
      <c r="FQ274" s="198">
        <v>13533.321</v>
      </c>
      <c r="FR274" s="198">
        <v>17025.671999999999</v>
      </c>
      <c r="FS274" s="198"/>
      <c r="FT274" s="199">
        <f t="shared" si="25"/>
        <v>35445.467000000011</v>
      </c>
      <c r="FU274" s="197"/>
      <c r="FV274" s="198"/>
      <c r="FW274" s="198"/>
      <c r="FX274" s="198"/>
      <c r="FY274" s="198"/>
      <c r="FZ274" s="198"/>
      <c r="GA274" s="199"/>
      <c r="GB274" s="197">
        <v>2336.0149999999999</v>
      </c>
      <c r="GC274" s="198"/>
      <c r="GD274" s="198"/>
      <c r="GE274" s="198"/>
      <c r="GF274" s="198"/>
      <c r="GG274" s="198"/>
      <c r="GH274" s="199"/>
      <c r="GI274" s="197">
        <v>1247.4259999999999</v>
      </c>
      <c r="GJ274" s="198"/>
      <c r="GK274" s="198"/>
      <c r="GL274" s="198"/>
      <c r="GM274" s="198"/>
      <c r="GN274" s="198"/>
      <c r="GO274" s="199"/>
      <c r="GP274" s="197">
        <v>3883.2539999999999</v>
      </c>
      <c r="GQ274" s="198"/>
      <c r="GR274" s="198"/>
      <c r="GS274" s="198"/>
      <c r="GT274" s="198"/>
      <c r="GU274" s="198"/>
      <c r="GV274" s="199"/>
      <c r="GW274" s="197">
        <f>[2]sur!P58</f>
        <v>2954.4</v>
      </c>
      <c r="GX274" s="198">
        <f>[2]sur!Q58</f>
        <v>203.2</v>
      </c>
      <c r="GY274" s="198">
        <f>[2]sur!R58</f>
        <v>668.2</v>
      </c>
      <c r="GZ274" s="198">
        <f>[2]sur!S58</f>
        <v>485.7</v>
      </c>
      <c r="HA274" s="198"/>
      <c r="HB274" s="198"/>
      <c r="HC274" s="199">
        <f>[2]sur!V58</f>
        <v>1597.3000000000002</v>
      </c>
      <c r="HD274" s="197"/>
      <c r="HE274" s="198"/>
      <c r="HF274" s="198"/>
      <c r="HG274" s="198"/>
      <c r="HH274" s="198"/>
      <c r="HI274" s="198"/>
      <c r="HJ274" s="199"/>
      <c r="HK274" s="197">
        <v>8579.1076389999998</v>
      </c>
      <c r="HL274" s="198">
        <v>1398.500372</v>
      </c>
      <c r="HM274" s="198">
        <v>862.68497600000001</v>
      </c>
      <c r="HN274" s="198">
        <v>137.394082</v>
      </c>
      <c r="HO274" s="198">
        <v>3286.0450169999995</v>
      </c>
      <c r="HP274" s="198"/>
      <c r="HQ274" s="198">
        <f t="shared" si="16"/>
        <v>2894.4831919999997</v>
      </c>
      <c r="HR274" s="197">
        <v>161156.67300000001</v>
      </c>
      <c r="HS274" s="198">
        <v>12311.734</v>
      </c>
      <c r="HT274" s="198">
        <v>56649.665999999997</v>
      </c>
      <c r="HU274" s="198">
        <v>23769.002</v>
      </c>
      <c r="HV274" s="198">
        <v>34887.370000000003</v>
      </c>
      <c r="HW274" s="198">
        <v>5503.9530000000004</v>
      </c>
      <c r="HX274" s="198">
        <v>28034.948</v>
      </c>
      <c r="HY274" s="198"/>
    </row>
    <row r="275" spans="1:233">
      <c r="A275" s="185" t="s">
        <v>494</v>
      </c>
      <c r="B275" s="197">
        <v>3009.59</v>
      </c>
      <c r="C275" s="198">
        <v>50.723981479999999</v>
      </c>
      <c r="D275" s="198">
        <v>585.43600000000004</v>
      </c>
      <c r="E275" s="198">
        <v>760.08900000000006</v>
      </c>
      <c r="F275" s="198">
        <v>544.91899999999998</v>
      </c>
      <c r="G275" s="198"/>
      <c r="H275" s="199">
        <v>1068.4220185199999</v>
      </c>
      <c r="I275" s="197">
        <v>185338.1</v>
      </c>
      <c r="J275" s="198"/>
      <c r="K275" s="198"/>
      <c r="L275" s="198">
        <v>19349.2</v>
      </c>
      <c r="M275" s="198">
        <v>32194.9</v>
      </c>
      <c r="N275" s="198"/>
      <c r="O275" s="199">
        <f>[3]arg!$G141</f>
        <v>111644.8</v>
      </c>
      <c r="P275" s="198">
        <v>7035.27</v>
      </c>
      <c r="Q275" s="198">
        <v>28.428999999999998</v>
      </c>
      <c r="R275" s="198">
        <v>392.02299999999997</v>
      </c>
      <c r="S275" s="198">
        <v>405.20600000000002</v>
      </c>
      <c r="T275" s="198">
        <v>5014.1490000000003</v>
      </c>
      <c r="U275" s="198"/>
      <c r="V275" s="199">
        <f t="shared" si="22"/>
        <v>1195.4629999999997</v>
      </c>
      <c r="W275" s="198">
        <v>5767.665</v>
      </c>
      <c r="X275" s="198">
        <v>134.87700000000001</v>
      </c>
      <c r="Y275" s="198">
        <v>865.4620000000001</v>
      </c>
      <c r="Z275" s="198">
        <v>235.91300000000001</v>
      </c>
      <c r="AA275" s="198">
        <v>2702.2220000000002</v>
      </c>
      <c r="AB275" s="198"/>
      <c r="AC275" s="199">
        <f t="shared" ref="AC275:AC305" si="33">W275-X275-Y275-Z275-AA275</f>
        <v>1829.1909999999984</v>
      </c>
      <c r="AD275" s="198"/>
      <c r="AE275" s="198">
        <v>46.404000000000003</v>
      </c>
      <c r="AF275" s="198">
        <v>369.25400000000002</v>
      </c>
      <c r="AG275" s="198">
        <v>627.18700000000001</v>
      </c>
      <c r="AH275" s="198">
        <v>364.27199999999999</v>
      </c>
      <c r="AI275" s="198">
        <v>79.213999999999999</v>
      </c>
      <c r="AJ275" s="198"/>
      <c r="AK275" s="197">
        <v>42087.006000000001</v>
      </c>
      <c r="AL275" s="198"/>
      <c r="AM275" s="198">
        <v>17844.890543999998</v>
      </c>
      <c r="AN275" s="198">
        <v>8249.0531759999994</v>
      </c>
      <c r="AO275" s="198">
        <v>4377.048624</v>
      </c>
      <c r="AP275" s="198">
        <v>11616.013656000001</v>
      </c>
      <c r="AQ275" s="199"/>
      <c r="AR275" s="198">
        <v>1528887.2416338711</v>
      </c>
      <c r="AS275" s="198">
        <v>324157.46961925999</v>
      </c>
      <c r="AT275" s="198">
        <v>151836.62023089002</v>
      </c>
      <c r="AU275" s="198">
        <v>111649.57276718001</v>
      </c>
      <c r="AV275" s="198">
        <v>497098.5396246601</v>
      </c>
      <c r="AW275" s="198"/>
      <c r="AX275" s="198">
        <v>444145.03939188091</v>
      </c>
      <c r="AY275" s="197">
        <v>71720088</v>
      </c>
      <c r="AZ275" s="198"/>
      <c r="BA275" s="198">
        <v>44352610</v>
      </c>
      <c r="BB275" s="198">
        <v>18404243</v>
      </c>
      <c r="BC275" s="198">
        <v>8963235</v>
      </c>
      <c r="BD275" s="198"/>
      <c r="BE275" s="198"/>
      <c r="BF275" s="197">
        <v>158076549.34999999</v>
      </c>
      <c r="BG275" s="198"/>
      <c r="BH275" s="198">
        <v>98377613.909999996</v>
      </c>
      <c r="BI275" s="198">
        <v>12388413.219999999</v>
      </c>
      <c r="BJ275" s="198">
        <v>43382381.36999999</v>
      </c>
      <c r="BK275" s="198">
        <v>3928140.8499999987</v>
      </c>
      <c r="BL275" s="198"/>
      <c r="BM275" s="197">
        <v>8704246.5889999997</v>
      </c>
      <c r="BN275" s="198">
        <v>418951.75600000005</v>
      </c>
      <c r="BO275" s="198">
        <v>842796.46700000006</v>
      </c>
      <c r="BP275" s="198">
        <v>2906123.659</v>
      </c>
      <c r="BQ275" s="198">
        <v>2318859.9539999999</v>
      </c>
      <c r="BR275" s="198"/>
      <c r="BS275" s="198">
        <f t="shared" si="2"/>
        <v>2217514.7529999996</v>
      </c>
      <c r="BT275" s="197"/>
      <c r="BU275" s="198"/>
      <c r="BV275" s="198"/>
      <c r="BW275" s="198"/>
      <c r="BX275" s="198"/>
      <c r="BY275" s="198"/>
      <c r="BZ275" s="199"/>
      <c r="CA275" s="198">
        <v>792.93200000000002</v>
      </c>
      <c r="CB275" s="198">
        <v>47.622999999999998</v>
      </c>
      <c r="CC275" s="198">
        <v>136.61500000000001</v>
      </c>
      <c r="CD275" s="198">
        <v>250.41800000000001</v>
      </c>
      <c r="CE275" s="198">
        <v>137.387</v>
      </c>
      <c r="CF275" s="198"/>
      <c r="CG275" s="199">
        <f>CA275-CB275-CC275-CD275-CE275</f>
        <v>220.88899999999995</v>
      </c>
      <c r="CH275" s="197">
        <v>15199742.828009998</v>
      </c>
      <c r="CI275" s="198"/>
      <c r="CJ275" s="198">
        <v>6971324.8792799991</v>
      </c>
      <c r="CK275" s="198">
        <v>1698420.2185800001</v>
      </c>
      <c r="CL275" s="198">
        <v>4737221.0985599998</v>
      </c>
      <c r="CM275" s="198">
        <v>1792776.6315900001</v>
      </c>
      <c r="CN275" s="198"/>
      <c r="CO275" s="197">
        <v>8399.05810475</v>
      </c>
      <c r="CP275" s="198">
        <v>764.80672232000006</v>
      </c>
      <c r="CQ275" s="198">
        <v>1200.6447261799997</v>
      </c>
      <c r="CR275" s="198">
        <v>2159.7916163200007</v>
      </c>
      <c r="CS275" s="198">
        <v>2356.1482489800001</v>
      </c>
      <c r="CT275" s="198"/>
      <c r="CU275" s="198">
        <v>1917.6667909499993</v>
      </c>
      <c r="CV275" s="197">
        <v>1976.971</v>
      </c>
      <c r="CW275" s="198">
        <v>36.758153469999996</v>
      </c>
      <c r="CX275" s="198">
        <v>328.49750016000002</v>
      </c>
      <c r="CY275" s="198">
        <v>646.64723083000001</v>
      </c>
      <c r="CZ275" s="198">
        <v>525.06955244000005</v>
      </c>
      <c r="DA275" s="198"/>
      <c r="DB275" s="199">
        <f>CV275-CW275-CX275-CY275-CZ275</f>
        <v>439.99856309999984</v>
      </c>
      <c r="DC275" s="197">
        <v>77740.445999999996</v>
      </c>
      <c r="DD275" s="198">
        <v>8371.5550000000003</v>
      </c>
      <c r="DE275" s="198">
        <v>14531.697</v>
      </c>
      <c r="DF275" s="198"/>
      <c r="DG275" s="198">
        <v>20802.353999999999</v>
      </c>
      <c r="DH275" s="198"/>
      <c r="DI275" s="198">
        <f t="shared" si="23"/>
        <v>34034.840000000004</v>
      </c>
      <c r="DJ275" s="197">
        <f>3129.8+62242</f>
        <v>65371.8</v>
      </c>
      <c r="DK275" s="198">
        <f>2190.2+12462.6</f>
        <v>14652.8</v>
      </c>
      <c r="DL275" s="198">
        <f>2437.1+13420.9</f>
        <v>15858</v>
      </c>
      <c r="DM275" s="198">
        <v>4441.5</v>
      </c>
      <c r="DN275" s="198">
        <f>15881.4-DM275</f>
        <v>11439.9</v>
      </c>
      <c r="DO275" s="198"/>
      <c r="DP275" s="198">
        <f t="shared" si="32"/>
        <v>18979.599999999999</v>
      </c>
      <c r="DQ275" s="197"/>
      <c r="DR275" s="198"/>
      <c r="DS275" s="198"/>
      <c r="DT275" s="198"/>
      <c r="DU275" s="198"/>
      <c r="DV275" s="198"/>
      <c r="DW275" s="198"/>
      <c r="DX275" s="197">
        <v>136567.31661201001</v>
      </c>
      <c r="DY275" s="198"/>
      <c r="DZ275" s="198">
        <v>88346.950779229999</v>
      </c>
      <c r="EA275" s="198">
        <v>25980.917323629998</v>
      </c>
      <c r="EB275" s="198">
        <v>20850.129923339999</v>
      </c>
      <c r="EC275" s="198">
        <v>1389.3185858100001</v>
      </c>
      <c r="ED275" s="198"/>
      <c r="EE275" s="197">
        <v>249855.63699999999</v>
      </c>
      <c r="EF275" s="198">
        <v>8380.6360000000004</v>
      </c>
      <c r="EG275" s="198">
        <v>61414.383999999998</v>
      </c>
      <c r="EH275" s="198">
        <v>20023.185000000001</v>
      </c>
      <c r="EI275" s="198">
        <v>90557.069000000003</v>
      </c>
      <c r="EJ275" s="198"/>
      <c r="EK275" s="198">
        <f>EE275-EF275-EG275-EH275-EI275</f>
        <v>69480.362999999998</v>
      </c>
      <c r="EL275" s="197">
        <v>2004719.0947020003</v>
      </c>
      <c r="EM275" s="198">
        <v>925251.29580999957</v>
      </c>
      <c r="EN275" s="198">
        <v>67902.907224999988</v>
      </c>
      <c r="EO275" s="198">
        <v>348717.83202399994</v>
      </c>
      <c r="EP275" s="198">
        <v>376729.70260199998</v>
      </c>
      <c r="EQ275" s="198"/>
      <c r="ER275" s="198">
        <v>286117.35703500005</v>
      </c>
      <c r="ES275" s="197">
        <v>43145.827769649994</v>
      </c>
      <c r="ET275" s="198">
        <v>5063.1295208900001</v>
      </c>
      <c r="EU275" s="198">
        <v>15058.80354022</v>
      </c>
      <c r="EV275" s="198">
        <v>6825.2643198599999</v>
      </c>
      <c r="EW275" s="198">
        <v>10766.59560708999</v>
      </c>
      <c r="EX275" s="198"/>
      <c r="EY275" s="198">
        <f t="shared" si="24"/>
        <v>5432.0347815900059</v>
      </c>
      <c r="EZ275" s="197">
        <v>23449.238555012002</v>
      </c>
      <c r="FA275" s="198">
        <v>1242.5681394999999</v>
      </c>
      <c r="FB275" s="198">
        <v>5969.5103625620004</v>
      </c>
      <c r="FC275" s="198">
        <v>6630.7943187800001</v>
      </c>
      <c r="FD275" s="198">
        <v>5054.8649775699996</v>
      </c>
      <c r="FE275" s="198">
        <v>74.431887340000003</v>
      </c>
      <c r="FF275" s="198">
        <f t="shared" si="17"/>
        <v>4551.5007566000022</v>
      </c>
      <c r="FG275" s="197">
        <v>25672664.884326003</v>
      </c>
      <c r="FH275" s="198">
        <v>2474955.9469580003</v>
      </c>
      <c r="FI275" s="198">
        <v>5113759.7628990002</v>
      </c>
      <c r="FJ275" s="198"/>
      <c r="FK275" s="198">
        <v>2665363.9276060001</v>
      </c>
      <c r="FL275" s="198"/>
      <c r="FM275" s="198">
        <f t="shared" si="31"/>
        <v>15418585.246863002</v>
      </c>
      <c r="FN275" s="197">
        <v>99545.404999999999</v>
      </c>
      <c r="FO275" s="198">
        <v>18713.48</v>
      </c>
      <c r="FP275" s="198">
        <v>14122.721</v>
      </c>
      <c r="FQ275" s="198">
        <v>13781.563</v>
      </c>
      <c r="FR275" s="198">
        <v>17256.309000000001</v>
      </c>
      <c r="FS275" s="198"/>
      <c r="FT275" s="199">
        <f t="shared" si="25"/>
        <v>35671.331999999995</v>
      </c>
      <c r="FU275" s="197">
        <v>432326.00386639999</v>
      </c>
      <c r="FV275" s="198">
        <v>36572.863387390025</v>
      </c>
      <c r="FW275" s="198">
        <v>53853.524417699948</v>
      </c>
      <c r="FX275" s="198">
        <v>91510.776061419951</v>
      </c>
      <c r="FY275" s="198">
        <v>93696.443169090096</v>
      </c>
      <c r="FZ275" s="198"/>
      <c r="GA275" s="199">
        <f>FU275-FV275-FW275-FX275-FY275</f>
        <v>156692.39683079993</v>
      </c>
      <c r="GB275" s="197">
        <v>2350.1219999999998</v>
      </c>
      <c r="GC275" s="198">
        <v>22.712</v>
      </c>
      <c r="GD275" s="198">
        <v>230.13499999999999</v>
      </c>
      <c r="GE275" s="198">
        <v>456.94499999999999</v>
      </c>
      <c r="GF275" s="198">
        <v>388.14499999999998</v>
      </c>
      <c r="GG275" s="198"/>
      <c r="GH275" s="199">
        <f>GB275-GC275-GD275-GE275-GF275</f>
        <v>1252.1849999999997</v>
      </c>
      <c r="GI275" s="197">
        <v>1208.931</v>
      </c>
      <c r="GJ275" s="198">
        <v>58.111826269999995</v>
      </c>
      <c r="GK275" s="198">
        <v>170.45843332000001</v>
      </c>
      <c r="GL275" s="198">
        <v>347.45667608000002</v>
      </c>
      <c r="GM275" s="198">
        <v>264.41908115000001</v>
      </c>
      <c r="GN275" s="198"/>
      <c r="GO275" s="199">
        <f>GI275-GJ275-GK275-GL275-GM275</f>
        <v>368.48498317999997</v>
      </c>
      <c r="GP275" s="197">
        <v>3902.569</v>
      </c>
      <c r="GQ275" s="198">
        <v>92.516999999999996</v>
      </c>
      <c r="GR275" s="198">
        <v>1028.4559999999999</v>
      </c>
      <c r="GS275" s="198">
        <v>626.84799999999996</v>
      </c>
      <c r="GT275" s="198">
        <v>556.20299999999997</v>
      </c>
      <c r="GU275" s="198"/>
      <c r="GV275" s="199">
        <f>GP275-GQ275-GR275-GS275-GT275</f>
        <v>1598.5450000000005</v>
      </c>
      <c r="GW275" s="197">
        <f>[2]sur!P59</f>
        <v>2956.9</v>
      </c>
      <c r="GX275" s="198">
        <f>[2]sur!Q59</f>
        <v>203.60000000000002</v>
      </c>
      <c r="GY275" s="198">
        <f>[2]sur!R59</f>
        <v>669.7</v>
      </c>
      <c r="GZ275" s="198">
        <f>[2]sur!S59</f>
        <v>485.2</v>
      </c>
      <c r="HA275" s="198"/>
      <c r="HB275" s="198"/>
      <c r="HC275" s="199">
        <f>[2]sur!V59</f>
        <v>1598.4</v>
      </c>
      <c r="HD275" s="197">
        <f>'[2]t&amp;t'!W407</f>
        <v>45034.8</v>
      </c>
      <c r="HE275" s="198">
        <f>'[2]t&amp;t'!X407</f>
        <v>2919.6</v>
      </c>
      <c r="HF275" s="198">
        <f>'[2]t&amp;t'!Y407</f>
        <v>3555.9</v>
      </c>
      <c r="HG275" s="198">
        <f>'[2]t&amp;t'!Z407</f>
        <v>10327.700000000001</v>
      </c>
      <c r="HH275" s="198">
        <f>'[2]t&amp;t'!AA407</f>
        <v>11065.599999999999</v>
      </c>
      <c r="HI275" s="198"/>
      <c r="HJ275" s="199">
        <f>'[2]t&amp;t'!AC407</f>
        <v>17166</v>
      </c>
      <c r="HK275" s="197">
        <v>8259.2208019999998</v>
      </c>
      <c r="HL275" s="198">
        <v>1402.8698200000001</v>
      </c>
      <c r="HM275" s="198">
        <v>809.41342699999996</v>
      </c>
      <c r="HN275" s="198">
        <v>134.89504900000003</v>
      </c>
      <c r="HO275" s="198">
        <v>3004.304858</v>
      </c>
      <c r="HP275" s="198"/>
      <c r="HQ275" s="198">
        <f t="shared" si="16"/>
        <v>2907.7376480000007</v>
      </c>
      <c r="HR275" s="197">
        <v>163838.00700000001</v>
      </c>
      <c r="HS275" s="198">
        <v>12745.962</v>
      </c>
      <c r="HT275" s="198">
        <v>57205.856</v>
      </c>
      <c r="HU275" s="198">
        <v>24283.942999999999</v>
      </c>
      <c r="HV275" s="198">
        <v>35166.521999999997</v>
      </c>
      <c r="HW275" s="198">
        <v>5644.4</v>
      </c>
      <c r="HX275" s="198">
        <v>28791.324000000001</v>
      </c>
      <c r="HY275" s="198"/>
    </row>
    <row r="276" spans="1:233">
      <c r="A276" s="185" t="s">
        <v>495</v>
      </c>
      <c r="B276" s="197">
        <v>3017.2150000000001</v>
      </c>
      <c r="C276" s="198"/>
      <c r="D276" s="198"/>
      <c r="E276" s="198"/>
      <c r="F276" s="198"/>
      <c r="G276" s="198"/>
      <c r="H276" s="199"/>
      <c r="I276" s="197">
        <v>188934.5</v>
      </c>
      <c r="J276" s="198"/>
      <c r="K276" s="198"/>
      <c r="L276" s="198">
        <v>19243.2</v>
      </c>
      <c r="M276" s="198">
        <v>32855.800000000003</v>
      </c>
      <c r="N276" s="198"/>
      <c r="O276" s="199">
        <f>[3]arg!$G142</f>
        <v>114519.8</v>
      </c>
      <c r="P276" s="198">
        <v>6993.09</v>
      </c>
      <c r="Q276" s="198">
        <v>31.396000000000001</v>
      </c>
      <c r="R276" s="198">
        <v>399.42500000000007</v>
      </c>
      <c r="S276" s="198">
        <v>396.64100000000002</v>
      </c>
      <c r="T276" s="198">
        <v>5037.3249999999998</v>
      </c>
      <c r="U276" s="198"/>
      <c r="V276" s="199">
        <f t="shared" si="22"/>
        <v>1128.3030000000008</v>
      </c>
      <c r="W276" s="198">
        <v>5769.0429999999997</v>
      </c>
      <c r="X276" s="198">
        <v>130.33000000000001</v>
      </c>
      <c r="Y276" s="198">
        <v>877.89200000000005</v>
      </c>
      <c r="Z276" s="198">
        <v>221.60300000000001</v>
      </c>
      <c r="AA276" s="198">
        <v>2716.8939999999998</v>
      </c>
      <c r="AB276" s="198"/>
      <c r="AC276" s="199">
        <f t="shared" si="33"/>
        <v>1822.3240000000001</v>
      </c>
      <c r="AD276" s="198"/>
      <c r="AE276" s="198">
        <v>48.994999999999997</v>
      </c>
      <c r="AF276" s="198">
        <v>368.017</v>
      </c>
      <c r="AG276" s="198">
        <v>631.59899999999993</v>
      </c>
      <c r="AH276" s="198">
        <v>368.94499999999999</v>
      </c>
      <c r="AI276" s="198">
        <v>78.462000000000003</v>
      </c>
      <c r="AJ276" s="198"/>
      <c r="AK276" s="197"/>
      <c r="AL276" s="198"/>
      <c r="AM276" s="198"/>
      <c r="AN276" s="198"/>
      <c r="AO276" s="198"/>
      <c r="AP276" s="198"/>
      <c r="AQ276" s="199"/>
      <c r="AR276" s="198">
        <v>1548028.2460084995</v>
      </c>
      <c r="AS276" s="198">
        <v>329034.58155097003</v>
      </c>
      <c r="AT276" s="198">
        <v>153954.53419173998</v>
      </c>
      <c r="AU276" s="198">
        <v>116119.44444503998</v>
      </c>
      <c r="AV276" s="198">
        <v>502229.60023859993</v>
      </c>
      <c r="AW276" s="198"/>
      <c r="AX276" s="198">
        <v>446690.08558214968</v>
      </c>
      <c r="AY276" s="197">
        <v>71779333</v>
      </c>
      <c r="AZ276" s="198"/>
      <c r="BA276" s="198">
        <v>44197365</v>
      </c>
      <c r="BB276" s="198">
        <v>18542798</v>
      </c>
      <c r="BC276" s="198">
        <v>9039170</v>
      </c>
      <c r="BD276" s="198"/>
      <c r="BE276" s="198"/>
      <c r="BF276" s="197">
        <v>159368586.13999996</v>
      </c>
      <c r="BG276" s="198"/>
      <c r="BH276" s="198">
        <v>99302620.079999998</v>
      </c>
      <c r="BI276" s="198">
        <v>12142348.870000003</v>
      </c>
      <c r="BJ276" s="198">
        <v>43968178.179999985</v>
      </c>
      <c r="BK276" s="198">
        <v>3955439.0099999993</v>
      </c>
      <c r="BL276" s="198"/>
      <c r="BM276" s="197">
        <v>8704133.2949999999</v>
      </c>
      <c r="BN276" s="198">
        <v>409519.86099999998</v>
      </c>
      <c r="BO276" s="198">
        <v>845845.89900000009</v>
      </c>
      <c r="BP276" s="198">
        <v>2894685.0079999999</v>
      </c>
      <c r="BQ276" s="198">
        <v>2347343.8229999999</v>
      </c>
      <c r="BR276" s="198"/>
      <c r="BS276" s="198">
        <f t="shared" si="2"/>
        <v>2206738.7039999999</v>
      </c>
      <c r="BT276" s="197"/>
      <c r="BU276" s="198"/>
      <c r="BV276" s="198"/>
      <c r="BW276" s="198"/>
      <c r="BX276" s="198"/>
      <c r="BY276" s="198"/>
      <c r="BZ276" s="199"/>
      <c r="CA276" s="198">
        <v>803.178</v>
      </c>
      <c r="CB276" s="198"/>
      <c r="CC276" s="198"/>
      <c r="CD276" s="198"/>
      <c r="CE276" s="198"/>
      <c r="CF276" s="198"/>
      <c r="CG276" s="199"/>
      <c r="CH276" s="197">
        <v>15538928.156540003</v>
      </c>
      <c r="CI276" s="198"/>
      <c r="CJ276" s="198">
        <v>7092019.6225500023</v>
      </c>
      <c r="CK276" s="198">
        <v>1731697.9544999998</v>
      </c>
      <c r="CL276" s="198">
        <v>4844557.4497600002</v>
      </c>
      <c r="CM276" s="198">
        <v>1870653.1297300002</v>
      </c>
      <c r="CN276" s="198"/>
      <c r="CO276" s="197">
        <v>8412.9574283300008</v>
      </c>
      <c r="CP276" s="198">
        <v>757.40797327000007</v>
      </c>
      <c r="CQ276" s="198">
        <v>1200.49058335</v>
      </c>
      <c r="CR276" s="198">
        <v>2157.9463309899998</v>
      </c>
      <c r="CS276" s="198">
        <v>2353.1724849499997</v>
      </c>
      <c r="CT276" s="198"/>
      <c r="CU276" s="198">
        <v>1943.9400557700014</v>
      </c>
      <c r="CV276" s="197">
        <v>1993.549</v>
      </c>
      <c r="CW276" s="198"/>
      <c r="CX276" s="198"/>
      <c r="CY276" s="198"/>
      <c r="CZ276" s="198"/>
      <c r="DA276" s="198"/>
      <c r="DB276" s="199"/>
      <c r="DC276" s="197">
        <v>77510.615000000005</v>
      </c>
      <c r="DD276" s="198">
        <v>8179.12</v>
      </c>
      <c r="DE276" s="198">
        <v>14471.084000000001</v>
      </c>
      <c r="DF276" s="198"/>
      <c r="DG276" s="198">
        <v>20769.464</v>
      </c>
      <c r="DH276" s="198"/>
      <c r="DI276" s="198">
        <f t="shared" si="23"/>
        <v>34090.947000000007</v>
      </c>
      <c r="DJ276" s="197">
        <f>3434.2+62856.2</f>
        <v>66290.399999999994</v>
      </c>
      <c r="DK276" s="198">
        <f>2438.3+12869.7</f>
        <v>15308</v>
      </c>
      <c r="DL276" s="198">
        <f>2441.4+14216.6</f>
        <v>16658</v>
      </c>
      <c r="DM276" s="198">
        <v>4428</v>
      </c>
      <c r="DN276" s="198">
        <f>16129.4-DM276</f>
        <v>11701.4</v>
      </c>
      <c r="DO276" s="198"/>
      <c r="DP276" s="198">
        <f t="shared" si="32"/>
        <v>18194.999999999993</v>
      </c>
      <c r="DQ276" s="197"/>
      <c r="DR276" s="198"/>
      <c r="DS276" s="198"/>
      <c r="DT276" s="198"/>
      <c r="DU276" s="198"/>
      <c r="DV276" s="198"/>
      <c r="DW276" s="198"/>
      <c r="DX276" s="197">
        <v>136717.18626385002</v>
      </c>
      <c r="DY276" s="198"/>
      <c r="DZ276" s="198">
        <v>88295.625530859994</v>
      </c>
      <c r="EA276" s="198">
        <v>26135.642848219999</v>
      </c>
      <c r="EB276" s="198">
        <v>20894.106538599997</v>
      </c>
      <c r="EC276" s="198">
        <v>1391.8113461699998</v>
      </c>
      <c r="ED276" s="198"/>
      <c r="EE276" s="197">
        <v>251208.33799999999</v>
      </c>
      <c r="EF276" s="198">
        <v>8616.3790000000008</v>
      </c>
      <c r="EG276" s="198">
        <v>61824.413999999997</v>
      </c>
      <c r="EH276" s="198">
        <v>20075.653999999999</v>
      </c>
      <c r="EI276" s="198">
        <v>90690.702999999994</v>
      </c>
      <c r="EJ276" s="198"/>
      <c r="EK276" s="198">
        <f t="shared" ref="EK276:EK305" si="34">EE276-EF276-EG276-EH276-EI276</f>
        <v>70001.18799999998</v>
      </c>
      <c r="EL276" s="197">
        <v>2019561.9683690006</v>
      </c>
      <c r="EM276" s="198">
        <v>924823.13309999986</v>
      </c>
      <c r="EN276" s="198">
        <v>68868.806628000006</v>
      </c>
      <c r="EO276" s="198">
        <v>352240.86182799994</v>
      </c>
      <c r="EP276" s="198">
        <v>377534.33618400001</v>
      </c>
      <c r="EQ276" s="198"/>
      <c r="ER276" s="198">
        <v>296094.83041500003</v>
      </c>
      <c r="ES276" s="197">
        <v>43026.88568111998</v>
      </c>
      <c r="ET276" s="198">
        <v>4950.5200294099996</v>
      </c>
      <c r="EU276" s="198">
        <v>14829.34855823</v>
      </c>
      <c r="EV276" s="198">
        <v>6835.8082724799997</v>
      </c>
      <c r="EW276" s="198">
        <v>10739.311692379979</v>
      </c>
      <c r="EX276" s="198"/>
      <c r="EY276" s="198">
        <f t="shared" si="24"/>
        <v>5671.8971286200031</v>
      </c>
      <c r="EZ276" s="197">
        <v>23823.096630391999</v>
      </c>
      <c r="FA276" s="198">
        <v>1337.4403241299999</v>
      </c>
      <c r="FB276" s="198">
        <v>5993.6109824920004</v>
      </c>
      <c r="FC276" s="198">
        <v>6708.1861848200097</v>
      </c>
      <c r="FD276" s="198">
        <v>5066.1322492199897</v>
      </c>
      <c r="FE276" s="198">
        <v>72.073244449999905</v>
      </c>
      <c r="FF276" s="198">
        <f t="shared" si="17"/>
        <v>4717.7268897299991</v>
      </c>
      <c r="FG276" s="197">
        <v>26979409.737275001</v>
      </c>
      <c r="FH276" s="198">
        <v>2609373.0662659998</v>
      </c>
      <c r="FI276" s="198">
        <v>5298925.3123260001</v>
      </c>
      <c r="FJ276" s="198"/>
      <c r="FK276" s="198">
        <v>2696625.9024590002</v>
      </c>
      <c r="FL276" s="198"/>
      <c r="FM276" s="198">
        <f t="shared" si="31"/>
        <v>16374485.456224002</v>
      </c>
      <c r="FN276" s="197">
        <v>101421.22749400001</v>
      </c>
      <c r="FO276" s="198">
        <v>19593.884493999998</v>
      </c>
      <c r="FP276" s="198">
        <v>14748.022516000001</v>
      </c>
      <c r="FQ276" s="198">
        <v>14005.462732</v>
      </c>
      <c r="FR276" s="198">
        <v>17201.932467999999</v>
      </c>
      <c r="FS276" s="198"/>
      <c r="FT276" s="199">
        <f t="shared" si="25"/>
        <v>35871.925284000012</v>
      </c>
      <c r="FU276" s="197"/>
      <c r="FV276" s="198"/>
      <c r="FW276" s="198"/>
      <c r="FX276" s="198"/>
      <c r="FY276" s="198"/>
      <c r="FZ276" s="198"/>
      <c r="GA276" s="199"/>
      <c r="GB276" s="197">
        <v>2358.3960000000002</v>
      </c>
      <c r="GC276" s="198"/>
      <c r="GD276" s="198"/>
      <c r="GE276" s="198"/>
      <c r="GF276" s="198"/>
      <c r="GG276" s="198"/>
      <c r="GH276" s="199"/>
      <c r="GI276" s="197">
        <v>1198.7719999999999</v>
      </c>
      <c r="GJ276" s="198"/>
      <c r="GK276" s="198"/>
      <c r="GL276" s="198"/>
      <c r="GM276" s="198"/>
      <c r="GN276" s="198"/>
      <c r="GO276" s="199"/>
      <c r="GP276" s="197">
        <v>3922.5529999999999</v>
      </c>
      <c r="GQ276" s="198"/>
      <c r="GR276" s="198"/>
      <c r="GS276" s="198"/>
      <c r="GT276" s="198"/>
      <c r="GU276" s="198"/>
      <c r="GV276" s="199"/>
      <c r="GW276" s="197">
        <f>[2]sur!P60</f>
        <v>3028.5</v>
      </c>
      <c r="GX276" s="198">
        <f>[2]sur!Q60</f>
        <v>202.1</v>
      </c>
      <c r="GY276" s="198">
        <f>[2]sur!R60</f>
        <v>686.5</v>
      </c>
      <c r="GZ276" s="198">
        <f>[2]sur!S60</f>
        <v>494.29999999999995</v>
      </c>
      <c r="HA276" s="198"/>
      <c r="HB276" s="198"/>
      <c r="HC276" s="199">
        <f>[2]sur!V60</f>
        <v>1645.6</v>
      </c>
      <c r="HD276" s="197"/>
      <c r="HE276" s="198"/>
      <c r="HF276" s="198"/>
      <c r="HG276" s="198"/>
      <c r="HH276" s="198"/>
      <c r="HI276" s="198"/>
      <c r="HJ276" s="199"/>
      <c r="HK276" s="197">
        <v>8269.396972999999</v>
      </c>
      <c r="HL276" s="198">
        <v>1390.0338210000002</v>
      </c>
      <c r="HM276" s="198">
        <v>787.33888999999999</v>
      </c>
      <c r="HN276" s="198">
        <v>133.381686</v>
      </c>
      <c r="HO276" s="198">
        <v>3096.4351470000001</v>
      </c>
      <c r="HP276" s="198"/>
      <c r="HQ276" s="198">
        <f t="shared" si="16"/>
        <v>2862.2074289999991</v>
      </c>
      <c r="HR276" s="197">
        <v>163061.91800000001</v>
      </c>
      <c r="HS276" s="198">
        <v>12939.495999999999</v>
      </c>
      <c r="HT276" s="198">
        <v>57356.99</v>
      </c>
      <c r="HU276" s="198">
        <v>24636.376</v>
      </c>
      <c r="HV276" s="198">
        <v>33357.548999999999</v>
      </c>
      <c r="HW276" s="198">
        <v>5660.0780000000004</v>
      </c>
      <c r="HX276" s="198">
        <v>29111.429</v>
      </c>
      <c r="HY276" s="198"/>
    </row>
    <row r="277" spans="1:233">
      <c r="A277" s="185" t="s">
        <v>496</v>
      </c>
      <c r="B277" s="197">
        <v>3011.79</v>
      </c>
      <c r="C277" s="198"/>
      <c r="D277" s="198"/>
      <c r="E277" s="198"/>
      <c r="F277" s="198"/>
      <c r="G277" s="198"/>
      <c r="H277" s="199"/>
      <c r="I277" s="197">
        <v>193645.5</v>
      </c>
      <c r="J277" s="198"/>
      <c r="K277" s="198"/>
      <c r="L277" s="198">
        <v>19512.599999999999</v>
      </c>
      <c r="M277" s="198">
        <v>33755.800000000003</v>
      </c>
      <c r="N277" s="198"/>
      <c r="O277" s="199">
        <f>[3]arg!$G143</f>
        <v>117973</v>
      </c>
      <c r="P277" s="198">
        <v>7051.5829999999996</v>
      </c>
      <c r="Q277" s="198">
        <v>27.966999999999999</v>
      </c>
      <c r="R277" s="198">
        <v>387.29200000000003</v>
      </c>
      <c r="S277" s="198">
        <v>441.46499999999997</v>
      </c>
      <c r="T277" s="198">
        <v>5053.5649999999996</v>
      </c>
      <c r="U277" s="198"/>
      <c r="V277" s="199">
        <f t="shared" si="22"/>
        <v>1141.2939999999999</v>
      </c>
      <c r="W277" s="198">
        <v>5800.375</v>
      </c>
      <c r="X277" s="198">
        <v>118.292</v>
      </c>
      <c r="Y277" s="198">
        <v>904.86699999999996</v>
      </c>
      <c r="Z277" s="198">
        <v>234.27</v>
      </c>
      <c r="AA277" s="198">
        <v>2728.335</v>
      </c>
      <c r="AB277" s="198"/>
      <c r="AC277" s="199">
        <f t="shared" si="33"/>
        <v>1814.610999999999</v>
      </c>
      <c r="AD277" s="198"/>
      <c r="AE277" s="198">
        <v>49.243000000000002</v>
      </c>
      <c r="AF277" s="198">
        <v>362.34099999999995</v>
      </c>
      <c r="AG277" s="198">
        <v>629.53500000000008</v>
      </c>
      <c r="AH277" s="198">
        <v>371.18299999999999</v>
      </c>
      <c r="AI277" s="198">
        <v>77.323999999999998</v>
      </c>
      <c r="AJ277" s="198"/>
      <c r="AK277" s="197"/>
      <c r="AL277" s="198"/>
      <c r="AM277" s="198"/>
      <c r="AN277" s="198"/>
      <c r="AO277" s="198"/>
      <c r="AP277" s="198"/>
      <c r="AQ277" s="199"/>
      <c r="AR277" s="198">
        <v>1582157.1878081637</v>
      </c>
      <c r="AS277" s="198">
        <v>339058.78329339996</v>
      </c>
      <c r="AT277" s="198">
        <v>156617.61074922004</v>
      </c>
      <c r="AU277" s="198">
        <v>120707.05546429001</v>
      </c>
      <c r="AV277" s="198">
        <v>511568.31374274008</v>
      </c>
      <c r="AW277" s="198"/>
      <c r="AX277" s="198">
        <v>454205.42455851368</v>
      </c>
      <c r="AY277" s="197">
        <v>72643014</v>
      </c>
      <c r="AZ277" s="198"/>
      <c r="BA277" s="198">
        <v>44669076</v>
      </c>
      <c r="BB277" s="198">
        <v>18789172</v>
      </c>
      <c r="BC277" s="198">
        <v>9184766</v>
      </c>
      <c r="BD277" s="198"/>
      <c r="BE277" s="198"/>
      <c r="BF277" s="197">
        <v>161961147.51999998</v>
      </c>
      <c r="BG277" s="198"/>
      <c r="BH277" s="198">
        <v>100792599.26999997</v>
      </c>
      <c r="BI277" s="198">
        <v>12483991.090000002</v>
      </c>
      <c r="BJ277" s="198">
        <v>44656657.590000011</v>
      </c>
      <c r="BK277" s="198">
        <v>4027899.57</v>
      </c>
      <c r="BL277" s="198"/>
      <c r="BM277" s="197">
        <v>8746974.4509999994</v>
      </c>
      <c r="BN277" s="198">
        <v>424435.71299999999</v>
      </c>
      <c r="BO277" s="198">
        <v>846356.47</v>
      </c>
      <c r="BP277" s="198">
        <v>2901182.26</v>
      </c>
      <c r="BQ277" s="198">
        <v>2348469.5449999999</v>
      </c>
      <c r="BR277" s="198"/>
      <c r="BS277" s="198">
        <f t="shared" si="2"/>
        <v>2226530.4629999995</v>
      </c>
      <c r="BT277" s="197"/>
      <c r="BU277" s="198"/>
      <c r="BV277" s="198"/>
      <c r="BW277" s="198"/>
      <c r="BX277" s="198"/>
      <c r="BY277" s="198"/>
      <c r="BZ277" s="199"/>
      <c r="CA277" s="198">
        <v>817.82500000000005</v>
      </c>
      <c r="CB277" s="198"/>
      <c r="CC277" s="198"/>
      <c r="CD277" s="198"/>
      <c r="CE277" s="198"/>
      <c r="CF277" s="198"/>
      <c r="CG277" s="199"/>
      <c r="CH277" s="197">
        <v>15832012.306239998</v>
      </c>
      <c r="CI277" s="198"/>
      <c r="CJ277" s="198">
        <v>7182108.3357499987</v>
      </c>
      <c r="CK277" s="198">
        <v>1750184.3565100003</v>
      </c>
      <c r="CL277" s="198">
        <v>4959460.3662599996</v>
      </c>
      <c r="CM277" s="198">
        <v>1940259.2477199999</v>
      </c>
      <c r="CN277" s="198"/>
      <c r="CO277" s="197">
        <v>8360.5129900800002</v>
      </c>
      <c r="CP277" s="198">
        <v>734.82564864999983</v>
      </c>
      <c r="CQ277" s="198">
        <v>1192.18566042</v>
      </c>
      <c r="CR277" s="198">
        <v>2151.0531342600002</v>
      </c>
      <c r="CS277" s="198">
        <v>2359.5646139800001</v>
      </c>
      <c r="CT277" s="198"/>
      <c r="CU277" s="198">
        <v>1922.8839327700007</v>
      </c>
      <c r="CV277" s="197">
        <v>1992.854</v>
      </c>
      <c r="CW277" s="198"/>
      <c r="CX277" s="198"/>
      <c r="CY277" s="198"/>
      <c r="CZ277" s="198"/>
      <c r="DA277" s="198"/>
      <c r="DB277" s="199"/>
      <c r="DC277" s="197">
        <v>77680.797000000006</v>
      </c>
      <c r="DD277" s="198">
        <v>8127.2489999999998</v>
      </c>
      <c r="DE277" s="198">
        <v>14466.117</v>
      </c>
      <c r="DF277" s="198"/>
      <c r="DG277" s="198">
        <v>20924.392</v>
      </c>
      <c r="DH277" s="198"/>
      <c r="DI277" s="198">
        <f t="shared" si="23"/>
        <v>34163.039000000012</v>
      </c>
      <c r="DJ277" s="197">
        <f>4062.2+63639.2</f>
        <v>67701.399999999994</v>
      </c>
      <c r="DK277" s="198">
        <f>2472.5+12825.7</f>
        <v>15298.2</v>
      </c>
      <c r="DL277" s="198">
        <f>2736.7+14402.7</f>
        <v>17139.400000000001</v>
      </c>
      <c r="DM277" s="198">
        <v>4632.7</v>
      </c>
      <c r="DN277" s="198">
        <f>16739.2-DM277</f>
        <v>12106.5</v>
      </c>
      <c r="DO277" s="198"/>
      <c r="DP277" s="198">
        <f t="shared" si="32"/>
        <v>18524.599999999991</v>
      </c>
      <c r="DQ277" s="197"/>
      <c r="DR277" s="198"/>
      <c r="DS277" s="198"/>
      <c r="DT277" s="198"/>
      <c r="DU277" s="198"/>
      <c r="DV277" s="198"/>
      <c r="DW277" s="198"/>
      <c r="DX277" s="197">
        <v>135825.57114229997</v>
      </c>
      <c r="DY277" s="198"/>
      <c r="DZ277" s="198">
        <v>85704.943497639979</v>
      </c>
      <c r="EA277" s="198">
        <v>26313.327814369997</v>
      </c>
      <c r="EB277" s="198">
        <v>21038.760861490002</v>
      </c>
      <c r="EC277" s="198">
        <v>1384.2694844</v>
      </c>
      <c r="ED277" s="198"/>
      <c r="EE277" s="197">
        <v>251845.84700000001</v>
      </c>
      <c r="EF277" s="198">
        <v>8717.7479999999996</v>
      </c>
      <c r="EG277" s="198">
        <v>61757.661999999997</v>
      </c>
      <c r="EH277" s="198">
        <v>20141.07</v>
      </c>
      <c r="EI277" s="198">
        <v>91346.091</v>
      </c>
      <c r="EJ277" s="198"/>
      <c r="EK277" s="198">
        <f t="shared" si="34"/>
        <v>69883.276000000027</v>
      </c>
      <c r="EL277" s="197">
        <v>2039096.5245950003</v>
      </c>
      <c r="EM277" s="198">
        <v>937223.23025199957</v>
      </c>
      <c r="EN277" s="198">
        <v>70551.153202999994</v>
      </c>
      <c r="EO277" s="198">
        <v>353638.10893300007</v>
      </c>
      <c r="EP277" s="198">
        <v>381814.36019800004</v>
      </c>
      <c r="EQ277" s="198"/>
      <c r="ER277" s="198">
        <v>295869.67195500003</v>
      </c>
      <c r="ES277" s="197">
        <v>41363.822996299998</v>
      </c>
      <c r="ET277" s="198">
        <v>4744.0884876</v>
      </c>
      <c r="EU277" s="198">
        <v>13608.106159319999</v>
      </c>
      <c r="EV277" s="198">
        <v>6722.1806497899997</v>
      </c>
      <c r="EW277" s="198">
        <v>10575.69946152</v>
      </c>
      <c r="EX277" s="198"/>
      <c r="EY277" s="198">
        <f t="shared" si="24"/>
        <v>5713.7482380700003</v>
      </c>
      <c r="EZ277" s="197">
        <v>24243.402586582</v>
      </c>
      <c r="FA277" s="198">
        <v>1369.2687696800001</v>
      </c>
      <c r="FB277" s="198">
        <v>6260.4322193119997</v>
      </c>
      <c r="FC277" s="198">
        <v>6752.08866958</v>
      </c>
      <c r="FD277" s="198">
        <v>5079.9475304500002</v>
      </c>
      <c r="FE277" s="198">
        <v>72.650006970000007</v>
      </c>
      <c r="FF277" s="198">
        <f t="shared" si="17"/>
        <v>4781.6653975600029</v>
      </c>
      <c r="FG277" s="197">
        <v>27135829.854778003</v>
      </c>
      <c r="FH277" s="198">
        <v>2702351.9799480001</v>
      </c>
      <c r="FI277" s="198">
        <v>5440414.564669</v>
      </c>
      <c r="FJ277" s="198"/>
      <c r="FK277" s="198">
        <v>2813611.8763420004</v>
      </c>
      <c r="FL277" s="198"/>
      <c r="FM277" s="198">
        <f t="shared" si="31"/>
        <v>16179451.433819002</v>
      </c>
      <c r="FN277" s="197">
        <v>101401.77701000001</v>
      </c>
      <c r="FO277" s="198">
        <v>18685.982644</v>
      </c>
      <c r="FP277" s="198">
        <v>14755.184863</v>
      </c>
      <c r="FQ277" s="198">
        <v>14237.213823</v>
      </c>
      <c r="FR277" s="198">
        <v>17432.623629999998</v>
      </c>
      <c r="FS277" s="198"/>
      <c r="FT277" s="199">
        <f t="shared" ref="FT277:FT305" si="35">FN277-FO277-FP277-FQ277-FR277</f>
        <v>36290.77205</v>
      </c>
      <c r="FU277" s="197"/>
      <c r="FV277" s="198"/>
      <c r="FW277" s="198"/>
      <c r="FX277" s="198"/>
      <c r="FY277" s="198"/>
      <c r="FZ277" s="198"/>
      <c r="GA277" s="199"/>
      <c r="GB277" s="197">
        <v>2408.7640000000001</v>
      </c>
      <c r="GC277" s="198"/>
      <c r="GD277" s="198"/>
      <c r="GE277" s="198"/>
      <c r="GF277" s="198"/>
      <c r="GG277" s="198"/>
      <c r="GH277" s="199"/>
      <c r="GI277" s="197">
        <v>1212.1120000000001</v>
      </c>
      <c r="GJ277" s="198"/>
      <c r="GK277" s="198"/>
      <c r="GL277" s="198"/>
      <c r="GM277" s="198"/>
      <c r="GN277" s="198"/>
      <c r="GO277" s="199"/>
      <c r="GP277" s="197">
        <v>3939.5720000000001</v>
      </c>
      <c r="GQ277" s="198"/>
      <c r="GR277" s="198"/>
      <c r="GS277" s="198"/>
      <c r="GT277" s="198"/>
      <c r="GU277" s="198"/>
      <c r="GV277" s="199"/>
      <c r="GW277" s="197">
        <f>[2]sur!P61</f>
        <v>3056.5</v>
      </c>
      <c r="GX277" s="198">
        <f>[2]sur!Q61</f>
        <v>198.5</v>
      </c>
      <c r="GY277" s="198">
        <f>[2]sur!R61</f>
        <v>691.5</v>
      </c>
      <c r="GZ277" s="198">
        <f>[2]sur!S61</f>
        <v>501</v>
      </c>
      <c r="HA277" s="198"/>
      <c r="HB277" s="198"/>
      <c r="HC277" s="199">
        <f>[2]sur!V61</f>
        <v>1665.5</v>
      </c>
      <c r="HD277" s="197"/>
      <c r="HE277" s="198"/>
      <c r="HF277" s="198"/>
      <c r="HG277" s="198"/>
      <c r="HH277" s="198"/>
      <c r="HI277" s="198"/>
      <c r="HJ277" s="199"/>
      <c r="HK277" s="197">
        <v>8412.8518859999986</v>
      </c>
      <c r="HL277" s="198">
        <v>1384.781436</v>
      </c>
      <c r="HM277" s="198">
        <v>791.75023599999997</v>
      </c>
      <c r="HN277" s="198">
        <v>135.49066300000001</v>
      </c>
      <c r="HO277" s="198">
        <v>3193.206768</v>
      </c>
      <c r="HP277" s="198"/>
      <c r="HQ277" s="198">
        <f t="shared" si="16"/>
        <v>2907.6227829999989</v>
      </c>
      <c r="HR277" s="197">
        <v>167701.92000000001</v>
      </c>
      <c r="HS277" s="198">
        <v>13148.752</v>
      </c>
      <c r="HT277" s="198">
        <v>60764.680999999997</v>
      </c>
      <c r="HU277" s="198">
        <v>25111.684000000001</v>
      </c>
      <c r="HV277" s="198">
        <v>34004.805999999997</v>
      </c>
      <c r="HW277" s="198">
        <v>5784.6629999999996</v>
      </c>
      <c r="HX277" s="198">
        <v>28887.333999999999</v>
      </c>
      <c r="HY277" s="198"/>
    </row>
    <row r="278" spans="1:233">
      <c r="A278" s="185" t="s">
        <v>497</v>
      </c>
      <c r="B278" s="197">
        <v>3019.681</v>
      </c>
      <c r="C278" s="198">
        <v>50.235999999999997</v>
      </c>
      <c r="D278" s="198">
        <v>597.72199999999998</v>
      </c>
      <c r="E278" s="198">
        <v>753.16399999999999</v>
      </c>
      <c r="F278" s="198">
        <v>553.77</v>
      </c>
      <c r="G278" s="198"/>
      <c r="H278" s="199">
        <v>1064.79</v>
      </c>
      <c r="I278" s="197">
        <v>200676.9</v>
      </c>
      <c r="J278" s="198"/>
      <c r="K278" s="198"/>
      <c r="L278" s="198">
        <v>19837.8</v>
      </c>
      <c r="M278" s="198">
        <v>35002.699999999997</v>
      </c>
      <c r="N278" s="198"/>
      <c r="O278" s="199">
        <f>[3]arg!$G144</f>
        <v>122855.29999999999</v>
      </c>
      <c r="P278" s="198">
        <v>7175.8050000000003</v>
      </c>
      <c r="Q278" s="198">
        <v>32.933999999999997</v>
      </c>
      <c r="R278" s="198">
        <v>378.96300000000002</v>
      </c>
      <c r="S278" s="198">
        <v>439.935</v>
      </c>
      <c r="T278" s="198">
        <v>5102.3450000000003</v>
      </c>
      <c r="U278" s="198"/>
      <c r="V278" s="199">
        <f t="shared" si="22"/>
        <v>1221.6279999999997</v>
      </c>
      <c r="W278" s="198">
        <v>5798.0950000000003</v>
      </c>
      <c r="X278" s="198">
        <v>119.66800000000001</v>
      </c>
      <c r="Y278" s="198">
        <v>903.48299999999995</v>
      </c>
      <c r="Z278" s="198">
        <v>265.16800000000001</v>
      </c>
      <c r="AA278" s="198">
        <v>2743.1039999999998</v>
      </c>
      <c r="AB278" s="198"/>
      <c r="AC278" s="199">
        <f t="shared" si="33"/>
        <v>1766.6720000000009</v>
      </c>
      <c r="AD278" s="198"/>
      <c r="AE278" s="198">
        <v>49.866</v>
      </c>
      <c r="AF278" s="198">
        <v>366.67799999999994</v>
      </c>
      <c r="AG278" s="198">
        <v>629.47399999999993</v>
      </c>
      <c r="AH278" s="198">
        <v>372.72500000000002</v>
      </c>
      <c r="AI278" s="198">
        <v>76.003</v>
      </c>
      <c r="AJ278" s="198"/>
      <c r="AK278" s="197">
        <v>44736.7</v>
      </c>
      <c r="AL278" s="198">
        <v>18968.360800000002</v>
      </c>
      <c r="AM278" s="198"/>
      <c r="AN278" s="198">
        <v>8768.3932000000004</v>
      </c>
      <c r="AO278" s="198">
        <v>5726.2975999999999</v>
      </c>
      <c r="AP278" s="198">
        <v>11273.648399999998</v>
      </c>
      <c r="AQ278" s="199"/>
      <c r="AR278" s="198">
        <v>1613767.2720067401</v>
      </c>
      <c r="AS278" s="198">
        <v>346831.48154316004</v>
      </c>
      <c r="AT278" s="198">
        <v>160040.97272862002</v>
      </c>
      <c r="AU278" s="198">
        <v>125385.49354375002</v>
      </c>
      <c r="AV278" s="198">
        <v>519160.41958357999</v>
      </c>
      <c r="AW278" s="198"/>
      <c r="AX278" s="198">
        <v>462348.90460762999</v>
      </c>
      <c r="AY278" s="197">
        <v>72895515</v>
      </c>
      <c r="AZ278" s="198"/>
      <c r="BA278" s="198">
        <v>44670666</v>
      </c>
      <c r="BB278" s="198">
        <v>18956291</v>
      </c>
      <c r="BC278" s="198">
        <v>9268558</v>
      </c>
      <c r="BD278" s="198"/>
      <c r="BE278" s="198"/>
      <c r="BF278" s="197">
        <v>165916060.80000001</v>
      </c>
      <c r="BG278" s="198"/>
      <c r="BH278" s="198">
        <v>103390410.86000001</v>
      </c>
      <c r="BI278" s="198">
        <v>12912552.159999998</v>
      </c>
      <c r="BJ278" s="198">
        <v>45521371.589999996</v>
      </c>
      <c r="BK278" s="198">
        <v>4091726.19</v>
      </c>
      <c r="BL278" s="198"/>
      <c r="BM278" s="197">
        <v>8819389.4749999996</v>
      </c>
      <c r="BN278" s="198">
        <v>438082.587</v>
      </c>
      <c r="BO278" s="198">
        <v>848041.54099999997</v>
      </c>
      <c r="BP278" s="198">
        <v>2990846.9309999999</v>
      </c>
      <c r="BQ278" s="198">
        <v>2382787.9130000002</v>
      </c>
      <c r="BR278" s="198"/>
      <c r="BS278" s="198">
        <f t="shared" si="2"/>
        <v>2159630.5029999986</v>
      </c>
      <c r="BT278" s="197"/>
      <c r="BU278" s="198"/>
      <c r="BV278" s="198"/>
      <c r="BW278" s="198"/>
      <c r="BX278" s="198"/>
      <c r="BY278" s="198"/>
      <c r="BZ278" s="199"/>
      <c r="CA278" s="198">
        <v>828.94600000000003</v>
      </c>
      <c r="CB278" s="198">
        <v>49.198</v>
      </c>
      <c r="CC278" s="198">
        <v>146.345</v>
      </c>
      <c r="CD278" s="198">
        <v>253.66</v>
      </c>
      <c r="CE278" s="198">
        <v>140.428</v>
      </c>
      <c r="CF278" s="198"/>
      <c r="CG278" s="199">
        <f>CA278-CB278-CC278-CD278-CE278</f>
        <v>239.31500000000005</v>
      </c>
      <c r="CH278" s="197">
        <v>16213591.631620001</v>
      </c>
      <c r="CI278" s="198"/>
      <c r="CJ278" s="198">
        <v>7272377.9415300004</v>
      </c>
      <c r="CK278" s="198">
        <v>1778678.5614700003</v>
      </c>
      <c r="CL278" s="198">
        <v>5138069.2252399996</v>
      </c>
      <c r="CM278" s="198">
        <v>2024465.90338</v>
      </c>
      <c r="CN278" s="198"/>
      <c r="CO278" s="197">
        <v>8277.5197212599978</v>
      </c>
      <c r="CP278" s="198">
        <v>731.25511400000016</v>
      </c>
      <c r="CQ278" s="198">
        <v>1200.26664276</v>
      </c>
      <c r="CR278" s="198">
        <v>2151.35666274</v>
      </c>
      <c r="CS278" s="198">
        <v>2355.2628973999995</v>
      </c>
      <c r="CT278" s="198"/>
      <c r="CU278" s="198">
        <v>1839.3784043599983</v>
      </c>
      <c r="CV278" s="197">
        <v>1996.684</v>
      </c>
      <c r="CW278" s="198">
        <v>36.011518809999998</v>
      </c>
      <c r="CX278" s="198">
        <v>347.48893356000002</v>
      </c>
      <c r="CY278" s="198">
        <v>643.57091258000003</v>
      </c>
      <c r="CZ278" s="198">
        <v>528.06736956999998</v>
      </c>
      <c r="DA278" s="198"/>
      <c r="DB278" s="199">
        <f>CV278-CW278-CX278-CY278-CZ278</f>
        <v>441.54526547999978</v>
      </c>
      <c r="DC278" s="197">
        <v>78416.142000000007</v>
      </c>
      <c r="DD278" s="198">
        <v>8127.3710000000001</v>
      </c>
      <c r="DE278" s="198">
        <v>14828.181</v>
      </c>
      <c r="DF278" s="198"/>
      <c r="DG278" s="198">
        <v>21068.774000000001</v>
      </c>
      <c r="DH278" s="198"/>
      <c r="DI278" s="198">
        <f t="shared" si="23"/>
        <v>34391.816000000006</v>
      </c>
      <c r="DJ278" s="197">
        <f>3498.1+65877.2</f>
        <v>69375.3</v>
      </c>
      <c r="DK278" s="198">
        <f>2460.8+12694.6</f>
        <v>15155.400000000001</v>
      </c>
      <c r="DL278" s="198">
        <f>2869+15188</f>
        <v>18057</v>
      </c>
      <c r="DM278" s="198">
        <v>4920.3</v>
      </c>
      <c r="DN278" s="198">
        <f>17651.5-DM278</f>
        <v>12731.2</v>
      </c>
      <c r="DO278" s="198"/>
      <c r="DP278" s="198">
        <f t="shared" si="32"/>
        <v>18511.399999999994</v>
      </c>
      <c r="DQ278" s="197"/>
      <c r="DR278" s="198"/>
      <c r="DS278" s="198"/>
      <c r="DT278" s="198"/>
      <c r="DU278" s="198"/>
      <c r="DV278" s="198"/>
      <c r="DW278" s="198"/>
      <c r="DX278" s="197">
        <v>136315.38829639999</v>
      </c>
      <c r="DY278" s="198"/>
      <c r="DZ278" s="198">
        <v>85874.338453860008</v>
      </c>
      <c r="EA278" s="198">
        <v>26529.83157713</v>
      </c>
      <c r="EB278" s="198">
        <v>21115.637164070002</v>
      </c>
      <c r="EC278" s="198">
        <v>1397.7905506700001</v>
      </c>
      <c r="ED278" s="198"/>
      <c r="EE278" s="197">
        <v>252194.989</v>
      </c>
      <c r="EF278" s="198">
        <v>7714.83</v>
      </c>
      <c r="EG278" s="198">
        <v>61581.652999999998</v>
      </c>
      <c r="EH278" s="198">
        <v>20445.297999999999</v>
      </c>
      <c r="EI278" s="198">
        <v>92598.91</v>
      </c>
      <c r="EJ278" s="198"/>
      <c r="EK278" s="198">
        <f t="shared" si="34"/>
        <v>69854.29800000001</v>
      </c>
      <c r="EL278" s="197">
        <v>2057514.457686</v>
      </c>
      <c r="EM278" s="198">
        <v>951057.62335399992</v>
      </c>
      <c r="EN278" s="198">
        <v>68291.423743000007</v>
      </c>
      <c r="EO278" s="198">
        <v>355663.51978000003</v>
      </c>
      <c r="EP278" s="198">
        <v>384158.36060699995</v>
      </c>
      <c r="EQ278" s="198"/>
      <c r="ER278" s="198">
        <v>298343.53027700004</v>
      </c>
      <c r="ES278" s="197">
        <v>41591.470999999998</v>
      </c>
      <c r="ET278" s="198">
        <v>4852.09</v>
      </c>
      <c r="EU278" s="198">
        <v>13475.86</v>
      </c>
      <c r="EV278" s="198">
        <v>6739.96</v>
      </c>
      <c r="EW278" s="198">
        <v>10598.52</v>
      </c>
      <c r="EX278" s="198"/>
      <c r="EY278" s="198">
        <f t="shared" si="24"/>
        <v>5925.0409999999938</v>
      </c>
      <c r="EZ278" s="197">
        <v>24663.338134235</v>
      </c>
      <c r="FA278" s="198">
        <v>1389.6823254000001</v>
      </c>
      <c r="FB278" s="198">
        <v>6537.6494935350001</v>
      </c>
      <c r="FC278" s="198">
        <v>6783.69989127999</v>
      </c>
      <c r="FD278" s="198">
        <v>5102.0468102499999</v>
      </c>
      <c r="FE278" s="198">
        <v>72.935622530000003</v>
      </c>
      <c r="FF278" s="198">
        <f t="shared" si="17"/>
        <v>4850.2596137700111</v>
      </c>
      <c r="FG278" s="197">
        <v>28161758.318104003</v>
      </c>
      <c r="FH278" s="198">
        <v>2804910.41872</v>
      </c>
      <c r="FI278" s="198">
        <v>5739603.7988249995</v>
      </c>
      <c r="FJ278" s="198"/>
      <c r="FK278" s="198">
        <v>2888984.2181519996</v>
      </c>
      <c r="FL278" s="198"/>
      <c r="FM278" s="198">
        <f>FG278-FH278-FI278-FK278</f>
        <v>16728259.882407004</v>
      </c>
      <c r="FN278" s="197">
        <v>102981.929768</v>
      </c>
      <c r="FO278" s="198">
        <v>18336.416217000002</v>
      </c>
      <c r="FP278" s="198">
        <v>14801.401678999999</v>
      </c>
      <c r="FQ278" s="198">
        <v>14483.531697</v>
      </c>
      <c r="FR278" s="198">
        <v>17604.663862000001</v>
      </c>
      <c r="FS278" s="198"/>
      <c r="FT278" s="199">
        <f t="shared" si="35"/>
        <v>37755.916312999994</v>
      </c>
      <c r="FU278" s="197">
        <v>438316.84183916065</v>
      </c>
      <c r="FV278" s="198">
        <v>32725.369779899975</v>
      </c>
      <c r="FW278" s="198">
        <v>59435.875584519992</v>
      </c>
      <c r="FX278" s="198">
        <v>96510.372641780079</v>
      </c>
      <c r="FY278" s="198">
        <v>97210.79173654053</v>
      </c>
      <c r="FZ278" s="198"/>
      <c r="GA278" s="199">
        <f>FU278-FV278-FW278-FX278-FY278</f>
        <v>152434.43209642012</v>
      </c>
      <c r="GB278" s="197">
        <v>2416.41</v>
      </c>
      <c r="GC278" s="198">
        <v>23.698</v>
      </c>
      <c r="GD278" s="198">
        <v>216.11500000000001</v>
      </c>
      <c r="GE278" s="198">
        <v>453.29599999999999</v>
      </c>
      <c r="GF278" s="198">
        <v>414.12400000000002</v>
      </c>
      <c r="GG278" s="198"/>
      <c r="GH278" s="199">
        <f>GB278-GC278-GD278-GE278-GF278</f>
        <v>1309.1769999999997</v>
      </c>
      <c r="GI278" s="197">
        <v>1198.9590000000001</v>
      </c>
      <c r="GJ278" s="198">
        <v>58.491999999999997</v>
      </c>
      <c r="GK278" s="198">
        <v>167.572</v>
      </c>
      <c r="GL278" s="198">
        <v>346.49099999999999</v>
      </c>
      <c r="GM278" s="198">
        <v>268.91899999999998</v>
      </c>
      <c r="GN278" s="198"/>
      <c r="GO278" s="199">
        <f>GI278-GJ278-GK278-GL278-GM278</f>
        <v>357.48500000000013</v>
      </c>
      <c r="GP278" s="197">
        <v>3978.0590000000002</v>
      </c>
      <c r="GQ278" s="198">
        <v>99.433000000000007</v>
      </c>
      <c r="GR278" s="198">
        <v>1158.692</v>
      </c>
      <c r="GS278" s="198">
        <v>631.75199999999995</v>
      </c>
      <c r="GT278" s="198">
        <v>560.33699999999999</v>
      </c>
      <c r="GU278" s="198"/>
      <c r="GV278" s="199">
        <f>GP278-GQ278-GR278-GS278-GT278</f>
        <v>1527.8450000000003</v>
      </c>
      <c r="GW278" s="197">
        <f>[2]sur!P62</f>
        <v>3104.2</v>
      </c>
      <c r="GX278" s="198">
        <f>[2]sur!Q62</f>
        <v>209.4</v>
      </c>
      <c r="GY278" s="198">
        <f>[2]sur!R62</f>
        <v>687.59999999999991</v>
      </c>
      <c r="GZ278" s="198">
        <f>[2]sur!S62</f>
        <v>507.8</v>
      </c>
      <c r="HA278" s="198"/>
      <c r="HB278" s="198"/>
      <c r="HC278" s="199">
        <f>[2]sur!V62</f>
        <v>1699.3999999999999</v>
      </c>
      <c r="HD278" s="197">
        <f>'[2]t&amp;t'!W410</f>
        <v>45996.399999999994</v>
      </c>
      <c r="HE278" s="198">
        <f>'[2]t&amp;t'!X410</f>
        <v>2779.4</v>
      </c>
      <c r="HF278" s="198">
        <f>'[2]t&amp;t'!Y410</f>
        <v>3246.2000000000003</v>
      </c>
      <c r="HG278" s="198">
        <f>'[2]t&amp;t'!Z410</f>
        <v>10585</v>
      </c>
      <c r="HH278" s="198">
        <f>'[2]t&amp;t'!AA410</f>
        <v>11106.099999999999</v>
      </c>
      <c r="HI278" s="198"/>
      <c r="HJ278" s="199">
        <f>'[2]t&amp;t'!AC410</f>
        <v>18279.7</v>
      </c>
      <c r="HK278" s="197">
        <v>8851.8958609999991</v>
      </c>
      <c r="HL278" s="198">
        <v>1394.8667819999998</v>
      </c>
      <c r="HM278" s="198">
        <v>857.58044999999993</v>
      </c>
      <c r="HN278" s="198">
        <v>137.628917</v>
      </c>
      <c r="HO278" s="198">
        <v>3408.9129149999994</v>
      </c>
      <c r="HP278" s="198"/>
      <c r="HQ278" s="198">
        <f t="shared" si="16"/>
        <v>3052.9067969999992</v>
      </c>
      <c r="HR278" s="197">
        <v>171042.31299999999</v>
      </c>
      <c r="HS278" s="198">
        <v>13105.868</v>
      </c>
      <c r="HT278" s="198">
        <v>60770.097999999998</v>
      </c>
      <c r="HU278" s="198">
        <v>25722.468000000001</v>
      </c>
      <c r="HV278" s="198">
        <v>34828.105000000003</v>
      </c>
      <c r="HW278" s="198">
        <v>6106.8580000000002</v>
      </c>
      <c r="HX278" s="198">
        <v>30508.916000000001</v>
      </c>
      <c r="HY278" s="198"/>
    </row>
    <row r="279" spans="1:233">
      <c r="A279" s="185" t="s">
        <v>498</v>
      </c>
      <c r="B279" s="197">
        <v>2964.7049999999999</v>
      </c>
      <c r="C279" s="198"/>
      <c r="D279" s="198"/>
      <c r="E279" s="198"/>
      <c r="F279" s="198"/>
      <c r="G279" s="198"/>
      <c r="H279" s="199"/>
      <c r="I279" s="197">
        <v>207038.4</v>
      </c>
      <c r="J279" s="198"/>
      <c r="K279" s="198"/>
      <c r="L279" s="198">
        <v>20200.5</v>
      </c>
      <c r="M279" s="198">
        <v>36108.800000000003</v>
      </c>
      <c r="N279" s="198"/>
      <c r="O279" s="199">
        <f>[3]arg!$G145</f>
        <v>127518.39999999999</v>
      </c>
      <c r="P279" s="198">
        <v>7124.4219999999996</v>
      </c>
      <c r="Q279" s="198">
        <v>37.161999999999999</v>
      </c>
      <c r="R279" s="198">
        <v>353.48100000000005</v>
      </c>
      <c r="S279" s="198">
        <v>423.69900000000001</v>
      </c>
      <c r="T279" s="198">
        <v>5134.6000000000004</v>
      </c>
      <c r="U279" s="198"/>
      <c r="V279" s="199">
        <f t="shared" si="22"/>
        <v>1175.4799999999996</v>
      </c>
      <c r="W279" s="198">
        <v>5785.9809999999998</v>
      </c>
      <c r="X279" s="198">
        <v>111.633</v>
      </c>
      <c r="Y279" s="198">
        <v>910.79499999999996</v>
      </c>
      <c r="Z279" s="198">
        <v>264.79199999999997</v>
      </c>
      <c r="AA279" s="198">
        <v>2759.0590000000002</v>
      </c>
      <c r="AB279" s="198"/>
      <c r="AC279" s="199">
        <f t="shared" si="33"/>
        <v>1739.7019999999993</v>
      </c>
      <c r="AD279" s="198"/>
      <c r="AE279" s="198">
        <v>49.121000000000002</v>
      </c>
      <c r="AF279" s="198">
        <v>370.11400000000003</v>
      </c>
      <c r="AG279" s="198">
        <v>627.65300000000002</v>
      </c>
      <c r="AH279" s="198">
        <v>376.06900000000002</v>
      </c>
      <c r="AI279" s="198">
        <v>75.701999999999998</v>
      </c>
      <c r="AJ279" s="198"/>
      <c r="AK279" s="197"/>
      <c r="AL279" s="198"/>
      <c r="AM279" s="198"/>
      <c r="AN279" s="198"/>
      <c r="AO279" s="198"/>
      <c r="AP279" s="198"/>
      <c r="AQ279" s="199"/>
      <c r="AR279" s="198">
        <v>1644438.7464485702</v>
      </c>
      <c r="AS279" s="198">
        <v>354266.01008682005</v>
      </c>
      <c r="AT279" s="198">
        <v>164364.83443610999</v>
      </c>
      <c r="AU279" s="198">
        <v>129118.86049720999</v>
      </c>
      <c r="AV279" s="198">
        <v>526780.39061493007</v>
      </c>
      <c r="AW279" s="198"/>
      <c r="AX279" s="198">
        <v>469908.65081350016</v>
      </c>
      <c r="AY279" s="197">
        <v>74066743</v>
      </c>
      <c r="AZ279" s="198"/>
      <c r="BA279" s="198">
        <v>45521289</v>
      </c>
      <c r="BB279" s="198">
        <v>19173709</v>
      </c>
      <c r="BC279" s="198">
        <v>9371745</v>
      </c>
      <c r="BD279" s="198"/>
      <c r="BE279" s="198"/>
      <c r="BF279" s="197">
        <v>168752636.98999998</v>
      </c>
      <c r="BG279" s="198"/>
      <c r="BH279" s="198">
        <v>105309627.02999997</v>
      </c>
      <c r="BI279" s="198">
        <v>12984514.870000001</v>
      </c>
      <c r="BJ279" s="198">
        <v>46275810.449999988</v>
      </c>
      <c r="BK279" s="198">
        <v>4182684.6400000006</v>
      </c>
      <c r="BL279" s="198"/>
      <c r="BM279" s="197">
        <v>8957709.6079999991</v>
      </c>
      <c r="BN279" s="198">
        <v>454385.14399999997</v>
      </c>
      <c r="BO279" s="198">
        <v>862290.12</v>
      </c>
      <c r="BP279" s="198">
        <v>3035514.4499999997</v>
      </c>
      <c r="BQ279" s="198">
        <v>2420640.86</v>
      </c>
      <c r="BR279" s="198"/>
      <c r="BS279" s="198">
        <f t="shared" si="2"/>
        <v>2184879.034</v>
      </c>
      <c r="BT279" s="197"/>
      <c r="BU279" s="198"/>
      <c r="BV279" s="198"/>
      <c r="BW279" s="198"/>
      <c r="BX279" s="198"/>
      <c r="BY279" s="198"/>
      <c r="BZ279" s="199"/>
      <c r="CA279" s="198">
        <v>840.18899999999996</v>
      </c>
      <c r="CB279" s="198"/>
      <c r="CC279" s="198"/>
      <c r="CD279" s="198"/>
      <c r="CE279" s="198"/>
      <c r="CF279" s="198"/>
      <c r="CG279" s="199"/>
      <c r="CH279" s="197">
        <v>16540489.190159999</v>
      </c>
      <c r="CI279" s="198"/>
      <c r="CJ279" s="198">
        <v>7419724.5204599993</v>
      </c>
      <c r="CK279" s="198">
        <v>1807294.07149</v>
      </c>
      <c r="CL279" s="198">
        <v>5220057.95438</v>
      </c>
      <c r="CM279" s="198">
        <v>2093412.64383</v>
      </c>
      <c r="CN279" s="198"/>
      <c r="CO279" s="197">
        <v>8277.4268848299998</v>
      </c>
      <c r="CP279" s="198">
        <v>733.1241718</v>
      </c>
      <c r="CQ279" s="198">
        <v>1191.0913707599998</v>
      </c>
      <c r="CR279" s="198">
        <v>2148.3056264700003</v>
      </c>
      <c r="CS279" s="198">
        <v>2354.5624848700004</v>
      </c>
      <c r="CT279" s="198"/>
      <c r="CU279" s="198">
        <v>1850.3432309299978</v>
      </c>
      <c r="CV279" s="197">
        <v>1999.94</v>
      </c>
      <c r="CW279" s="198"/>
      <c r="CX279" s="198"/>
      <c r="CY279" s="198"/>
      <c r="CZ279" s="198"/>
      <c r="DA279" s="198"/>
      <c r="DB279" s="199"/>
      <c r="DC279" s="197">
        <v>79117.91</v>
      </c>
      <c r="DD279" s="198">
        <v>8282.375</v>
      </c>
      <c r="DE279" s="198">
        <v>15140.733</v>
      </c>
      <c r="DF279" s="198"/>
      <c r="DG279" s="198">
        <v>21223.647000000001</v>
      </c>
      <c r="DH279" s="198"/>
      <c r="DI279" s="198">
        <f t="shared" si="23"/>
        <v>34471.154999999999</v>
      </c>
      <c r="DJ279" s="197">
        <f>3496.2+65876.2</f>
        <v>69372.399999999994</v>
      </c>
      <c r="DK279" s="198">
        <f>2460.8+12694.6</f>
        <v>15155.400000000001</v>
      </c>
      <c r="DL279" s="198">
        <f>2869+15188</f>
        <v>18057</v>
      </c>
      <c r="DM279" s="198">
        <v>4920.3</v>
      </c>
      <c r="DN279" s="198">
        <f>17651.5-DM279</f>
        <v>12731.2</v>
      </c>
      <c r="DO279" s="198"/>
      <c r="DP279" s="198">
        <f t="shared" si="32"/>
        <v>18508.499999999985</v>
      </c>
      <c r="DQ279" s="197"/>
      <c r="DR279" s="198"/>
      <c r="DS279" s="198"/>
      <c r="DT279" s="198"/>
      <c r="DU279" s="198"/>
      <c r="DV279" s="198"/>
      <c r="DW279" s="198"/>
      <c r="DX279" s="197">
        <v>138128.88386624999</v>
      </c>
      <c r="DY279" s="198"/>
      <c r="DZ279" s="198">
        <v>87132.050929250006</v>
      </c>
      <c r="EA279" s="198">
        <v>26584.541076210004</v>
      </c>
      <c r="EB279" s="198">
        <v>21432.928328549999</v>
      </c>
      <c r="EC279" s="198">
        <v>1489.6817661199998</v>
      </c>
      <c r="ED279" s="198"/>
      <c r="EE279" s="197">
        <v>251649.38099999999</v>
      </c>
      <c r="EF279" s="198">
        <v>8018.16</v>
      </c>
      <c r="EG279" s="198">
        <v>60574.732000000004</v>
      </c>
      <c r="EH279" s="198">
        <v>20544.723999999998</v>
      </c>
      <c r="EI279" s="198">
        <v>93478.89</v>
      </c>
      <c r="EJ279" s="198"/>
      <c r="EK279" s="198">
        <f t="shared" si="34"/>
        <v>69032.875000000015</v>
      </c>
      <c r="EL279" s="197">
        <v>2080488.0731890001</v>
      </c>
      <c r="EM279" s="198">
        <v>971762.35703899979</v>
      </c>
      <c r="EN279" s="198">
        <v>69823.341732999994</v>
      </c>
      <c r="EO279" s="198">
        <v>358143.51582099992</v>
      </c>
      <c r="EP279" s="198">
        <v>388963.80522400007</v>
      </c>
      <c r="EQ279" s="198"/>
      <c r="ER279" s="198">
        <v>291795.05338000006</v>
      </c>
      <c r="ES279" s="197">
        <v>42258.9251</v>
      </c>
      <c r="ET279" s="198">
        <v>4735.2461000000003</v>
      </c>
      <c r="EU279" s="198">
        <v>13887.941999999999</v>
      </c>
      <c r="EV279" s="198">
        <v>6780.7637999999997</v>
      </c>
      <c r="EW279" s="198">
        <v>10702.3441</v>
      </c>
      <c r="EX279" s="198"/>
      <c r="EY279" s="198">
        <f t="shared" si="24"/>
        <v>6152.6291000000037</v>
      </c>
      <c r="EZ279" s="197">
        <v>25074.139672879999</v>
      </c>
      <c r="FA279" s="198">
        <v>1387.6337393199999</v>
      </c>
      <c r="FB279" s="198">
        <v>6731.0944057899997</v>
      </c>
      <c r="FC279" s="198">
        <v>6821.8841463099998</v>
      </c>
      <c r="FD279" s="198">
        <v>5126.7461966800001</v>
      </c>
      <c r="FE279" s="198">
        <v>73.577630630000002</v>
      </c>
      <c r="FF279" s="198">
        <f t="shared" si="17"/>
        <v>5006.7811847799967</v>
      </c>
      <c r="FG279" s="197">
        <v>29456390.749947995</v>
      </c>
      <c r="FH279" s="198">
        <v>2887408.78437</v>
      </c>
      <c r="FI279" s="198">
        <v>6042143.9772570003</v>
      </c>
      <c r="FJ279" s="198"/>
      <c r="FK279" s="198">
        <v>2910991.5829849998</v>
      </c>
      <c r="FL279" s="198"/>
      <c r="FM279" s="198">
        <f>FG279-FH279-FI279-FK279</f>
        <v>17615846.405335993</v>
      </c>
      <c r="FN279" s="197">
        <v>105320.00654799999</v>
      </c>
      <c r="FO279" s="198">
        <v>18785.568374000002</v>
      </c>
      <c r="FP279" s="198">
        <v>15534.065891</v>
      </c>
      <c r="FQ279" s="198">
        <v>14848.303193</v>
      </c>
      <c r="FR279" s="198">
        <v>17887.927489000002</v>
      </c>
      <c r="FS279" s="198"/>
      <c r="FT279" s="199">
        <f t="shared" si="35"/>
        <v>38264.141600999974</v>
      </c>
      <c r="FU279" s="197"/>
      <c r="FV279" s="198"/>
      <c r="FW279" s="198"/>
      <c r="FX279" s="198"/>
      <c r="FY279" s="198"/>
      <c r="FZ279" s="198"/>
      <c r="GA279" s="199"/>
      <c r="GB279" s="197">
        <v>2421.915</v>
      </c>
      <c r="GC279" s="198"/>
      <c r="GD279" s="198"/>
      <c r="GE279" s="198"/>
      <c r="GF279" s="198"/>
      <c r="GG279" s="198"/>
      <c r="GH279" s="199"/>
      <c r="GI279" s="197">
        <v>1199.1489999999999</v>
      </c>
      <c r="GJ279" s="198"/>
      <c r="GK279" s="198"/>
      <c r="GL279" s="198"/>
      <c r="GM279" s="198"/>
      <c r="GN279" s="198"/>
      <c r="GO279" s="199"/>
      <c r="GP279" s="197">
        <v>3981.9369999999999</v>
      </c>
      <c r="GQ279" s="198"/>
      <c r="GR279" s="198"/>
      <c r="GS279" s="198"/>
      <c r="GT279" s="198"/>
      <c r="GU279" s="198"/>
      <c r="GV279" s="199"/>
      <c r="GW279" s="197">
        <f>[2]sur!P63</f>
        <v>3167.4</v>
      </c>
      <c r="GX279" s="198">
        <f>[2]sur!Q63</f>
        <v>216</v>
      </c>
      <c r="GY279" s="198">
        <f>[2]sur!R63</f>
        <v>715.2</v>
      </c>
      <c r="GZ279" s="198">
        <f>[2]sur!S63</f>
        <v>514.4</v>
      </c>
      <c r="HA279" s="198"/>
      <c r="HB279" s="198"/>
      <c r="HC279" s="199">
        <f>[2]sur!V63</f>
        <v>1721.8000000000002</v>
      </c>
      <c r="HD279" s="197"/>
      <c r="HE279" s="198"/>
      <c r="HF279" s="198"/>
      <c r="HG279" s="198"/>
      <c r="HH279" s="198"/>
      <c r="HI279" s="198"/>
      <c r="HJ279" s="199"/>
      <c r="HK279" s="197">
        <v>9253.1599530000003</v>
      </c>
      <c r="HL279" s="198">
        <v>1418.5754579999998</v>
      </c>
      <c r="HM279" s="198">
        <v>891.49265899999989</v>
      </c>
      <c r="HN279" s="198">
        <v>142.23399999999998</v>
      </c>
      <c r="HO279" s="198">
        <v>3536.7588960000003</v>
      </c>
      <c r="HP279" s="198"/>
      <c r="HQ279" s="198">
        <f t="shared" si="16"/>
        <v>3264.0989400000008</v>
      </c>
      <c r="HR279" s="197">
        <v>181243.77100000001</v>
      </c>
      <c r="HS279" s="198">
        <v>14069.249</v>
      </c>
      <c r="HT279" s="198">
        <v>65123.985999999997</v>
      </c>
      <c r="HU279" s="198">
        <v>26528.205999999998</v>
      </c>
      <c r="HV279" s="198">
        <v>37649.410000000003</v>
      </c>
      <c r="HW279" s="198">
        <v>6353.5649999999996</v>
      </c>
      <c r="HX279" s="198">
        <v>31519.355</v>
      </c>
      <c r="HY279" s="198"/>
    </row>
    <row r="280" spans="1:233">
      <c r="A280" s="185" t="s">
        <v>499</v>
      </c>
      <c r="B280" s="197">
        <v>2947.71</v>
      </c>
      <c r="C280" s="198"/>
      <c r="D280" s="198"/>
      <c r="E280" s="198"/>
      <c r="F280" s="198"/>
      <c r="G280" s="198"/>
      <c r="H280" s="199"/>
      <c r="I280" s="197">
        <v>213154.5</v>
      </c>
      <c r="J280" s="198"/>
      <c r="K280" s="198"/>
      <c r="L280" s="198">
        <v>20605.900000000001</v>
      </c>
      <c r="M280" s="198">
        <v>37462.5</v>
      </c>
      <c r="N280" s="198"/>
      <c r="O280" s="199">
        <f>[3]arg!$G146</f>
        <v>131864.70000000001</v>
      </c>
      <c r="P280" s="198">
        <v>7123.8379999999997</v>
      </c>
      <c r="Q280" s="198">
        <v>35.569000000000003</v>
      </c>
      <c r="R280" s="198">
        <v>353.38200000000001</v>
      </c>
      <c r="S280" s="198">
        <v>431.65100000000001</v>
      </c>
      <c r="T280" s="198">
        <v>5129.7250000000004</v>
      </c>
      <c r="U280" s="198"/>
      <c r="V280" s="199">
        <f t="shared" si="22"/>
        <v>1173.5109999999995</v>
      </c>
      <c r="W280" s="198">
        <v>5784.97</v>
      </c>
      <c r="X280" s="198">
        <v>115.289</v>
      </c>
      <c r="Y280" s="198">
        <v>905.10699999999997</v>
      </c>
      <c r="Z280" s="198">
        <v>272.86700000000002</v>
      </c>
      <c r="AA280" s="198">
        <v>2765.0070000000001</v>
      </c>
      <c r="AB280" s="198"/>
      <c r="AC280" s="199">
        <f t="shared" si="33"/>
        <v>1726.7000000000003</v>
      </c>
      <c r="AD280" s="198"/>
      <c r="AE280" s="198">
        <v>47.734000000000002</v>
      </c>
      <c r="AF280" s="198">
        <v>370.41800000000001</v>
      </c>
      <c r="AG280" s="198">
        <v>633.35799999999995</v>
      </c>
      <c r="AH280" s="198">
        <v>381.08699999999999</v>
      </c>
      <c r="AI280" s="198">
        <v>74.558999999999997</v>
      </c>
      <c r="AJ280" s="198"/>
      <c r="AK280" s="197"/>
      <c r="AL280" s="198"/>
      <c r="AM280" s="198"/>
      <c r="AN280" s="198"/>
      <c r="AO280" s="198"/>
      <c r="AP280" s="198"/>
      <c r="AQ280" s="199"/>
      <c r="AR280" s="198">
        <v>1678706.0392669598</v>
      </c>
      <c r="AS280" s="198">
        <v>359799.61037852004</v>
      </c>
      <c r="AT280" s="198">
        <v>168955.33786479</v>
      </c>
      <c r="AU280" s="198">
        <v>133518.31085426998</v>
      </c>
      <c r="AV280" s="198">
        <v>538914.46860895993</v>
      </c>
      <c r="AW280" s="198"/>
      <c r="AX280" s="198">
        <v>477518.31156041962</v>
      </c>
      <c r="AY280" s="197">
        <v>74631112</v>
      </c>
      <c r="AZ280" s="198"/>
      <c r="BA280" s="198">
        <v>45734849</v>
      </c>
      <c r="BB280" s="198">
        <v>19349071</v>
      </c>
      <c r="BC280" s="198">
        <v>9547192</v>
      </c>
      <c r="BD280" s="198"/>
      <c r="BE280" s="198"/>
      <c r="BF280" s="197">
        <v>174300305.28000003</v>
      </c>
      <c r="BG280" s="198"/>
      <c r="BH280" s="198">
        <v>109377476.74000004</v>
      </c>
      <c r="BI280" s="198">
        <v>13406082.09</v>
      </c>
      <c r="BJ280" s="198">
        <v>47261864.589999996</v>
      </c>
      <c r="BK280" s="198">
        <v>4254881.8599999994</v>
      </c>
      <c r="BL280" s="198"/>
      <c r="BM280" s="197">
        <v>9043926.5109999999</v>
      </c>
      <c r="BN280" s="198">
        <v>457633.50899999996</v>
      </c>
      <c r="BO280" s="198">
        <v>859335.42800000007</v>
      </c>
      <c r="BP280" s="198">
        <v>3057972.3899999997</v>
      </c>
      <c r="BQ280" s="198">
        <v>2476656.3810000001</v>
      </c>
      <c r="BR280" s="198"/>
      <c r="BS280" s="198">
        <f t="shared" si="2"/>
        <v>2192328.8030000003</v>
      </c>
      <c r="BT280" s="197"/>
      <c r="BU280" s="198"/>
      <c r="BV280" s="198"/>
      <c r="BW280" s="198"/>
      <c r="BX280" s="198"/>
      <c r="BY280" s="198"/>
      <c r="BZ280" s="199"/>
      <c r="CA280" s="198">
        <v>841.28399999999999</v>
      </c>
      <c r="CB280" s="198"/>
      <c r="CC280" s="198"/>
      <c r="CD280" s="198"/>
      <c r="CE280" s="198"/>
      <c r="CF280" s="198"/>
      <c r="CG280" s="199"/>
      <c r="CH280" s="197">
        <v>16870138.450839996</v>
      </c>
      <c r="CI280" s="198"/>
      <c r="CJ280" s="198">
        <v>7523448.3604299985</v>
      </c>
      <c r="CK280" s="198">
        <v>1830984.2390299994</v>
      </c>
      <c r="CL280" s="198">
        <v>5380743.3705700003</v>
      </c>
      <c r="CM280" s="198">
        <v>2134962.4808099996</v>
      </c>
      <c r="CN280" s="198"/>
      <c r="CO280" s="197">
        <v>8342.1487082600015</v>
      </c>
      <c r="CP280" s="198">
        <v>760.41180036999992</v>
      </c>
      <c r="CQ280" s="198">
        <v>1216.2959831799997</v>
      </c>
      <c r="CR280" s="198">
        <v>2144.2516324200001</v>
      </c>
      <c r="CS280" s="198">
        <v>2365.8878165400006</v>
      </c>
      <c r="CT280" s="198"/>
      <c r="CU280" s="198">
        <v>1855.3014757500011</v>
      </c>
      <c r="CV280" s="197">
        <v>2003.1849999999999</v>
      </c>
      <c r="CW280" s="198"/>
      <c r="CX280" s="198"/>
      <c r="CY280" s="198"/>
      <c r="CZ280" s="198"/>
      <c r="DA280" s="198"/>
      <c r="DB280" s="199"/>
      <c r="DC280" s="197">
        <v>80639.59</v>
      </c>
      <c r="DD280" s="198">
        <v>8364.3739999999998</v>
      </c>
      <c r="DE280" s="198">
        <v>15649.848</v>
      </c>
      <c r="DF280" s="198"/>
      <c r="DG280" s="198">
        <v>21950.028999999999</v>
      </c>
      <c r="DH280" s="198"/>
      <c r="DI280" s="198">
        <f t="shared" si="23"/>
        <v>34675.339000000007</v>
      </c>
      <c r="DJ280" s="197">
        <f>3432.6+67841.7</f>
        <v>71274.3</v>
      </c>
      <c r="DK280" s="198">
        <f>2449.3+13310.2</f>
        <v>15759.5</v>
      </c>
      <c r="DL280" s="198">
        <f>2889.7+15867.9</f>
        <v>18757.599999999999</v>
      </c>
      <c r="DM280" s="198">
        <v>5177.1000000000004</v>
      </c>
      <c r="DN280" s="198">
        <f>18196-DM280</f>
        <v>13018.9</v>
      </c>
      <c r="DO280" s="198"/>
      <c r="DP280" s="198">
        <f t="shared" si="32"/>
        <v>18561.200000000004</v>
      </c>
      <c r="DQ280" s="197"/>
      <c r="DR280" s="198"/>
      <c r="DS280" s="198"/>
      <c r="DT280" s="198"/>
      <c r="DU280" s="198"/>
      <c r="DV280" s="198"/>
      <c r="DW280" s="198"/>
      <c r="DX280" s="197">
        <v>140042.16510819001</v>
      </c>
      <c r="DY280" s="198"/>
      <c r="DZ280" s="198">
        <v>88430.526235169993</v>
      </c>
      <c r="EA280" s="198">
        <v>26915.670087090002</v>
      </c>
      <c r="EB280" s="198">
        <v>21654.265270770004</v>
      </c>
      <c r="EC280" s="198">
        <v>1520.8517575799999</v>
      </c>
      <c r="ED280" s="198"/>
      <c r="EE280" s="197">
        <v>251000.73800000001</v>
      </c>
      <c r="EF280" s="198">
        <v>7813.7510000000002</v>
      </c>
      <c r="EG280" s="198">
        <v>61097.364999999998</v>
      </c>
      <c r="EH280" s="198">
        <v>20553.325000000001</v>
      </c>
      <c r="EI280" s="198">
        <v>94072.577999999994</v>
      </c>
      <c r="EJ280" s="198"/>
      <c r="EK280" s="198">
        <f t="shared" si="34"/>
        <v>67463.719000000026</v>
      </c>
      <c r="EL280" s="197">
        <v>2108745.0334620005</v>
      </c>
      <c r="EM280" s="198">
        <v>980599.93864799989</v>
      </c>
      <c r="EN280" s="198">
        <v>70721.288809000005</v>
      </c>
      <c r="EO280" s="198">
        <v>364027.95076099999</v>
      </c>
      <c r="EP280" s="198">
        <v>396716.49049699999</v>
      </c>
      <c r="EQ280" s="198"/>
      <c r="ER280" s="198">
        <v>296679.36470100004</v>
      </c>
      <c r="ES280" s="197">
        <v>43395.13</v>
      </c>
      <c r="ET280" s="198">
        <v>4795.75</v>
      </c>
      <c r="EU280" s="198">
        <v>14541.23</v>
      </c>
      <c r="EV280" s="198">
        <v>6843.17</v>
      </c>
      <c r="EW280" s="198">
        <v>10780.59</v>
      </c>
      <c r="EX280" s="198"/>
      <c r="EY280" s="198">
        <f t="shared" si="24"/>
        <v>6434.3899999999958</v>
      </c>
      <c r="EZ280" s="197">
        <v>25190.134545259996</v>
      </c>
      <c r="FA280" s="198">
        <v>1440.1019611900001</v>
      </c>
      <c r="FB280" s="198">
        <v>6839.9515334900007</v>
      </c>
      <c r="FC280" s="198">
        <v>6761.7648258199997</v>
      </c>
      <c r="FD280" s="198">
        <v>5166.5724675199999</v>
      </c>
      <c r="FE280" s="198">
        <v>74.171060119999993</v>
      </c>
      <c r="FF280" s="198">
        <f t="shared" si="17"/>
        <v>4981.7437572399976</v>
      </c>
      <c r="FG280" s="197">
        <v>30277740.165378999</v>
      </c>
      <c r="FH280" s="198">
        <v>2998991.8584530004</v>
      </c>
      <c r="FI280" s="198">
        <v>6142519.0599030005</v>
      </c>
      <c r="FJ280" s="198"/>
      <c r="FK280" s="198">
        <v>3757211.3696389995</v>
      </c>
      <c r="FL280" s="198"/>
      <c r="FM280" s="198">
        <f t="shared" ref="FM280:FM305" si="36">FG280-FH280-FI280-FK280</f>
        <v>17379017.877384</v>
      </c>
      <c r="FN280" s="197">
        <v>108389.45549699999</v>
      </c>
      <c r="FO280" s="198">
        <v>19445.945693000001</v>
      </c>
      <c r="FP280" s="198">
        <v>16121.588624</v>
      </c>
      <c r="FQ280" s="198">
        <v>15278.047097999999</v>
      </c>
      <c r="FR280" s="198">
        <v>18342.434034999998</v>
      </c>
      <c r="FS280" s="198"/>
      <c r="FT280" s="199">
        <f t="shared" si="35"/>
        <v>39201.440046999996</v>
      </c>
      <c r="FU280" s="197"/>
      <c r="FV280" s="198"/>
      <c r="FW280" s="198"/>
      <c r="FX280" s="198"/>
      <c r="FY280" s="198"/>
      <c r="FZ280" s="198"/>
      <c r="GA280" s="199"/>
      <c r="GB280" s="197">
        <v>2424.011</v>
      </c>
      <c r="GC280" s="198"/>
      <c r="GD280" s="198"/>
      <c r="GE280" s="198"/>
      <c r="GF280" s="198"/>
      <c r="GG280" s="198"/>
      <c r="GH280" s="199"/>
      <c r="GI280" s="197">
        <v>1192.579</v>
      </c>
      <c r="GJ280" s="198"/>
      <c r="GK280" s="198"/>
      <c r="GL280" s="198"/>
      <c r="GM280" s="198"/>
      <c r="GN280" s="198"/>
      <c r="GO280" s="199"/>
      <c r="GP280" s="197">
        <v>3995.0790000000002</v>
      </c>
      <c r="GQ280" s="198"/>
      <c r="GR280" s="198"/>
      <c r="GS280" s="198"/>
      <c r="GT280" s="198"/>
      <c r="GU280" s="198"/>
      <c r="GV280" s="199"/>
      <c r="GW280" s="197">
        <f>[2]sur!P64</f>
        <v>3177.6000000000004</v>
      </c>
      <c r="GX280" s="198">
        <f>[2]sur!Q64</f>
        <v>219.8</v>
      </c>
      <c r="GY280" s="198">
        <f>[2]sur!R64</f>
        <v>727.6</v>
      </c>
      <c r="GZ280" s="198">
        <f>[2]sur!S64</f>
        <v>519.19999999999993</v>
      </c>
      <c r="HA280" s="198"/>
      <c r="HB280" s="198"/>
      <c r="HC280" s="199">
        <f>[2]sur!V64</f>
        <v>1711.0000000000002</v>
      </c>
      <c r="HD280" s="197"/>
      <c r="HE280" s="198"/>
      <c r="HF280" s="198"/>
      <c r="HG280" s="198"/>
      <c r="HH280" s="198"/>
      <c r="HI280" s="198"/>
      <c r="HJ280" s="199"/>
      <c r="HK280" s="197">
        <v>9185.633812</v>
      </c>
      <c r="HL280" s="198">
        <v>1432.9033300000001</v>
      </c>
      <c r="HM280" s="198">
        <v>931.1412949999999</v>
      </c>
      <c r="HN280" s="198">
        <v>144.40542600000001</v>
      </c>
      <c r="HO280" s="198">
        <v>3601.0595389999999</v>
      </c>
      <c r="HP280" s="198"/>
      <c r="HQ280" s="198">
        <f t="shared" ref="HQ280:HQ305" si="37">HK280-HL280-HM280-HN280-HO280</f>
        <v>3076.1242219999995</v>
      </c>
      <c r="HR280" s="197">
        <v>186796.62100000001</v>
      </c>
      <c r="HS280" s="198">
        <v>14541.492</v>
      </c>
      <c r="HT280" s="198">
        <v>68054.055999999997</v>
      </c>
      <c r="HU280" s="198">
        <v>26946.395</v>
      </c>
      <c r="HV280" s="198">
        <v>37968.120000000003</v>
      </c>
      <c r="HW280" s="198">
        <v>6500.1769999999997</v>
      </c>
      <c r="HX280" s="198">
        <v>32786.381000000001</v>
      </c>
      <c r="HY280" s="198"/>
    </row>
    <row r="281" spans="1:233">
      <c r="A281" s="202" t="s">
        <v>500</v>
      </c>
      <c r="B281" s="203">
        <v>2957.049</v>
      </c>
      <c r="C281" s="204">
        <v>46.908999999999999</v>
      </c>
      <c r="D281" s="204">
        <v>576.73599999999999</v>
      </c>
      <c r="E281" s="204">
        <v>785.22900000000004</v>
      </c>
      <c r="F281" s="204">
        <v>536.66300000000001</v>
      </c>
      <c r="G281" s="204"/>
      <c r="H281" s="205">
        <v>1011.5119999999999</v>
      </c>
      <c r="I281" s="203">
        <v>223895.5</v>
      </c>
      <c r="J281" s="204"/>
      <c r="K281" s="204"/>
      <c r="L281" s="204">
        <v>21100.5</v>
      </c>
      <c r="M281" s="204">
        <v>38688.300000000003</v>
      </c>
      <c r="N281" s="204"/>
      <c r="O281" s="205">
        <f>[3]arg!$G147</f>
        <v>139413.5</v>
      </c>
      <c r="P281" s="204">
        <v>7075.4390000000003</v>
      </c>
      <c r="Q281" s="204">
        <v>32.610999999999997</v>
      </c>
      <c r="R281" s="204">
        <v>349.94</v>
      </c>
      <c r="S281" s="204">
        <v>438.96899999999999</v>
      </c>
      <c r="T281" s="204">
        <v>5115.4870000000001</v>
      </c>
      <c r="U281" s="204"/>
      <c r="V281" s="205">
        <f t="shared" si="22"/>
        <v>1138.4320000000007</v>
      </c>
      <c r="W281" s="204">
        <v>5811.3609999999999</v>
      </c>
      <c r="X281" s="204">
        <v>129.79599999999999</v>
      </c>
      <c r="Y281" s="204">
        <v>898.51600000000008</v>
      </c>
      <c r="Z281" s="204">
        <v>271.94499999999999</v>
      </c>
      <c r="AA281" s="204">
        <v>2750.0210000000002</v>
      </c>
      <c r="AB281" s="204"/>
      <c r="AC281" s="205">
        <f t="shared" si="33"/>
        <v>1761.0829999999992</v>
      </c>
      <c r="AD281" s="204">
        <f>[1]datos!$S413</f>
        <v>2181.7330000000002</v>
      </c>
      <c r="AE281" s="204">
        <v>47.207000000000001</v>
      </c>
      <c r="AF281" s="204">
        <v>366.27499999999998</v>
      </c>
      <c r="AG281" s="204">
        <v>638.51400000000001</v>
      </c>
      <c r="AH281" s="204">
        <v>384.87099999999998</v>
      </c>
      <c r="AI281" s="204">
        <v>73.727999999999994</v>
      </c>
      <c r="AJ281" s="204">
        <f>AD281-AE281-AF281-AG281-AH281-AI281</f>
        <v>671.13800000000015</v>
      </c>
      <c r="AK281" s="203">
        <v>47308.32</v>
      </c>
      <c r="AL281" s="204">
        <v>19774.877760000003</v>
      </c>
      <c r="AM281" s="204"/>
      <c r="AN281" s="204">
        <v>9225.1224000000002</v>
      </c>
      <c r="AO281" s="204">
        <v>6292.0065599999998</v>
      </c>
      <c r="AP281" s="204">
        <v>12016.31328</v>
      </c>
      <c r="AQ281" s="205"/>
      <c r="AR281" s="204">
        <v>1705890.0720306698</v>
      </c>
      <c r="AS281" s="204">
        <v>361163.26224771998</v>
      </c>
      <c r="AT281" s="204">
        <v>172643.84334919995</v>
      </c>
      <c r="AU281" s="204">
        <v>138778.22056901999</v>
      </c>
      <c r="AV281" s="204">
        <v>549179.09264437982</v>
      </c>
      <c r="AW281" s="204"/>
      <c r="AX281" s="204">
        <v>484125.65322034992</v>
      </c>
      <c r="AY281" s="203">
        <v>74953981</v>
      </c>
      <c r="AZ281" s="204"/>
      <c r="BA281" s="204">
        <v>45629263</v>
      </c>
      <c r="BB281" s="204">
        <v>19586130</v>
      </c>
      <c r="BC281" s="204">
        <v>9738588</v>
      </c>
      <c r="BD281" s="204"/>
      <c r="BE281" s="204"/>
      <c r="BF281" s="203">
        <v>175904406.00000003</v>
      </c>
      <c r="BG281" s="204"/>
      <c r="BH281" s="204">
        <v>112169828.44000001</v>
      </c>
      <c r="BI281" s="204">
        <v>11253819.43</v>
      </c>
      <c r="BJ281" s="204">
        <v>48176367.88000001</v>
      </c>
      <c r="BK281" s="204">
        <v>4304390.2500000009</v>
      </c>
      <c r="BL281" s="204"/>
      <c r="BM281" s="203">
        <v>9210826.807</v>
      </c>
      <c r="BN281" s="204">
        <v>472175.24700000003</v>
      </c>
      <c r="BO281" s="204">
        <v>874738.47699999996</v>
      </c>
      <c r="BP281" s="204">
        <v>3089241.1040000003</v>
      </c>
      <c r="BQ281" s="204">
        <v>2486155.16</v>
      </c>
      <c r="BR281" s="204"/>
      <c r="BS281" s="204">
        <f t="shared" si="2"/>
        <v>2288516.8190000001</v>
      </c>
      <c r="BT281" s="203"/>
      <c r="BU281" s="204"/>
      <c r="BV281" s="204"/>
      <c r="BW281" s="204"/>
      <c r="BX281" s="204"/>
      <c r="BY281" s="204"/>
      <c r="BZ281" s="205"/>
      <c r="CA281" s="204">
        <v>850.11800000000005</v>
      </c>
      <c r="CB281" s="204">
        <v>50.85</v>
      </c>
      <c r="CC281" s="204">
        <v>153.01400000000001</v>
      </c>
      <c r="CD281" s="204">
        <v>254.917</v>
      </c>
      <c r="CE281" s="204">
        <v>149.03</v>
      </c>
      <c r="CF281" s="204"/>
      <c r="CG281" s="205">
        <f>CA281-CB281-CC281-CD281-CE281</f>
        <v>242.30699999999999</v>
      </c>
      <c r="CH281" s="203">
        <v>17278177.675929997</v>
      </c>
      <c r="CI281" s="204"/>
      <c r="CJ281" s="204">
        <v>7781258.3707499998</v>
      </c>
      <c r="CK281" s="204">
        <v>1827125.2334399999</v>
      </c>
      <c r="CL281" s="204">
        <v>5559312.6699499991</v>
      </c>
      <c r="CM281" s="204">
        <v>2110481.40179</v>
      </c>
      <c r="CN281" s="204"/>
      <c r="CO281" s="203">
        <v>8402.1678291699991</v>
      </c>
      <c r="CP281" s="204">
        <v>810.4234211700001</v>
      </c>
      <c r="CQ281" s="204">
        <v>1216.7123647000001</v>
      </c>
      <c r="CR281" s="204">
        <v>2158.1487420600001</v>
      </c>
      <c r="CS281" s="204">
        <v>2351.3281609299997</v>
      </c>
      <c r="CT281" s="204"/>
      <c r="CU281" s="204">
        <v>1865.5551403099996</v>
      </c>
      <c r="CV281" s="203">
        <v>2003.1289999999999</v>
      </c>
      <c r="CW281" s="204">
        <v>35.447435490000004</v>
      </c>
      <c r="CX281" s="204">
        <v>347.32954842999999</v>
      </c>
      <c r="CY281" s="204">
        <v>648.82943014</v>
      </c>
      <c r="CZ281" s="204">
        <v>540.40447718000007</v>
      </c>
      <c r="DA281" s="204"/>
      <c r="DB281" s="205">
        <f>CV281-CW281-CX281-CY281-CZ281</f>
        <v>431.11810875999981</v>
      </c>
      <c r="DC281" s="203">
        <v>82243.134999999995</v>
      </c>
      <c r="DD281" s="204">
        <v>8914.3989999999994</v>
      </c>
      <c r="DE281" s="204">
        <v>16033.472</v>
      </c>
      <c r="DF281" s="204"/>
      <c r="DG281" s="204">
        <v>22193.721000000001</v>
      </c>
      <c r="DH281" s="204"/>
      <c r="DI281" s="204">
        <f t="shared" si="23"/>
        <v>35101.542999999991</v>
      </c>
      <c r="DJ281" s="203">
        <f>3140.5+69669.6</f>
        <v>72810.100000000006</v>
      </c>
      <c r="DK281" s="204">
        <f>2214.9+12861.3</f>
        <v>15076.199999999999</v>
      </c>
      <c r="DL281" s="204">
        <f>2914.6+17287.4</f>
        <v>20202</v>
      </c>
      <c r="DM281" s="204">
        <v>5147.1000000000004</v>
      </c>
      <c r="DN281" s="204">
        <f>18768-DM281</f>
        <v>13620.9</v>
      </c>
      <c r="DO281" s="204"/>
      <c r="DP281" s="204">
        <f>DJ281-SUM(DK281:DN281)</f>
        <v>18763.900000000009</v>
      </c>
      <c r="DQ281" s="203"/>
      <c r="DR281" s="204"/>
      <c r="DS281" s="204"/>
      <c r="DT281" s="204"/>
      <c r="DU281" s="204"/>
      <c r="DV281" s="204"/>
      <c r="DW281" s="204"/>
      <c r="DX281" s="203">
        <v>141918.88512388998</v>
      </c>
      <c r="DY281" s="204"/>
      <c r="DZ281" s="204">
        <v>90233.243678650004</v>
      </c>
      <c r="EA281" s="204">
        <v>26913.911749339997</v>
      </c>
      <c r="EB281" s="204">
        <v>21553.968758439998</v>
      </c>
      <c r="EC281" s="204">
        <v>1608.8804687299998</v>
      </c>
      <c r="ED281" s="204"/>
      <c r="EE281" s="203">
        <v>251340.633</v>
      </c>
      <c r="EF281" s="204">
        <v>8296.1</v>
      </c>
      <c r="EG281" s="204">
        <v>59502.953999999998</v>
      </c>
      <c r="EH281" s="204">
        <v>21962.553</v>
      </c>
      <c r="EI281" s="204">
        <v>94640.183999999994</v>
      </c>
      <c r="EJ281" s="204"/>
      <c r="EK281" s="204">
        <f t="shared" si="34"/>
        <v>66938.842000000019</v>
      </c>
      <c r="EL281" s="203">
        <v>2123686.5612010001</v>
      </c>
      <c r="EM281" s="204">
        <v>981842.89668599993</v>
      </c>
      <c r="EN281" s="204">
        <v>69341.370943000016</v>
      </c>
      <c r="EO281" s="204">
        <v>362260.54179999995</v>
      </c>
      <c r="EP281" s="204">
        <v>397147.87785500009</v>
      </c>
      <c r="EQ281" s="204"/>
      <c r="ER281" s="204">
        <v>313093.87394000002</v>
      </c>
      <c r="ES281" s="203">
        <v>45289.102003850021</v>
      </c>
      <c r="ET281" s="204">
        <v>5009.7682894299996</v>
      </c>
      <c r="EU281" s="204">
        <v>15744.7909891</v>
      </c>
      <c r="EV281" s="204">
        <v>6864.7057980899999</v>
      </c>
      <c r="EW281" s="204">
        <v>10696.140823830021</v>
      </c>
      <c r="EX281" s="204"/>
      <c r="EY281" s="204">
        <f t="shared" si="24"/>
        <v>6973.6961033999978</v>
      </c>
      <c r="EZ281" s="203">
        <v>24720.482208009998</v>
      </c>
      <c r="FA281" s="204">
        <v>1461.8532159800002</v>
      </c>
      <c r="FB281" s="204">
        <v>6570.3391088200005</v>
      </c>
      <c r="FC281" s="204">
        <v>6806.6020170000002</v>
      </c>
      <c r="FD281" s="204">
        <v>5206.9658552399997</v>
      </c>
      <c r="FE281" s="204">
        <v>74.454880779999996</v>
      </c>
      <c r="FF281" s="204">
        <f t="shared" si="17"/>
        <v>4674.7220109699956</v>
      </c>
      <c r="FG281" s="203">
        <v>30690384.025895003</v>
      </c>
      <c r="FH281" s="204">
        <v>2971017.5316900001</v>
      </c>
      <c r="FI281" s="204">
        <v>6479622.2406840008</v>
      </c>
      <c r="FJ281" s="204"/>
      <c r="FK281" s="204">
        <v>4007316.6115829996</v>
      </c>
      <c r="FL281" s="204"/>
      <c r="FM281" s="204">
        <f t="shared" si="36"/>
        <v>17232427.641938005</v>
      </c>
      <c r="FN281" s="203">
        <v>109721.572363</v>
      </c>
      <c r="FO281" s="204">
        <v>19709.249861</v>
      </c>
      <c r="FP281" s="204">
        <v>15847.330685000001</v>
      </c>
      <c r="FQ281" s="204">
        <v>15476.444695</v>
      </c>
      <c r="FR281" s="204">
        <v>18668.052073999999</v>
      </c>
      <c r="FS281" s="204"/>
      <c r="FT281" s="205">
        <f t="shared" si="35"/>
        <v>40020.495048000004</v>
      </c>
      <c r="FU281" s="203">
        <v>450059.56349565001</v>
      </c>
      <c r="FV281" s="204">
        <v>33679.321769110022</v>
      </c>
      <c r="FW281" s="204">
        <v>63298.685706889999</v>
      </c>
      <c r="FX281" s="204">
        <v>100607.03842221995</v>
      </c>
      <c r="FY281" s="204">
        <v>99991.539504380053</v>
      </c>
      <c r="FZ281" s="204"/>
      <c r="GA281" s="205">
        <f>FU281-FV281-FW281-FX281-FY281</f>
        <v>152482.97809304995</v>
      </c>
      <c r="GB281" s="203">
        <v>2465.5709999999999</v>
      </c>
      <c r="GC281" s="204">
        <v>23.952000000000002</v>
      </c>
      <c r="GD281" s="204">
        <v>240.97</v>
      </c>
      <c r="GE281" s="204">
        <v>462.01</v>
      </c>
      <c r="GF281" s="204">
        <v>421.35599999999999</v>
      </c>
      <c r="GG281" s="204"/>
      <c r="GH281" s="205">
        <f>GB281-GC281-GD281-GE281-GF281</f>
        <v>1317.2829999999999</v>
      </c>
      <c r="GI281" s="203">
        <v>1120.8119999999999</v>
      </c>
      <c r="GJ281" s="204">
        <v>58.395509799999999</v>
      </c>
      <c r="GK281" s="204">
        <v>173.68396479</v>
      </c>
      <c r="GL281" s="204">
        <v>346.14036129000004</v>
      </c>
      <c r="GM281" s="204">
        <v>269.63355326000004</v>
      </c>
      <c r="GN281" s="204"/>
      <c r="GO281" s="205">
        <f>GI281-GJ281-GK281-GL281-GM281</f>
        <v>272.95861085999996</v>
      </c>
      <c r="GP281" s="203">
        <v>4004.7759999999998</v>
      </c>
      <c r="GQ281" s="204">
        <v>97.888000000000005</v>
      </c>
      <c r="GR281" s="204">
        <v>1110.7059999999999</v>
      </c>
      <c r="GS281" s="204">
        <v>619.69600000000003</v>
      </c>
      <c r="GT281" s="204">
        <v>641.06100000000004</v>
      </c>
      <c r="GU281" s="204"/>
      <c r="GV281" s="205">
        <f>GP281-GQ281-GR281-GS281-GT281</f>
        <v>1535.4249999999997</v>
      </c>
      <c r="GW281" s="203">
        <f>[2]sur!P65</f>
        <v>3213.1000000000004</v>
      </c>
      <c r="GX281" s="204">
        <f>[2]sur!Q65</f>
        <v>226.5</v>
      </c>
      <c r="GY281" s="204">
        <f>[2]sur!R65</f>
        <v>702</v>
      </c>
      <c r="GZ281" s="204">
        <f>[2]sur!S65</f>
        <v>524.5</v>
      </c>
      <c r="HA281" s="204"/>
      <c r="HB281" s="204"/>
      <c r="HC281" s="205">
        <f>[2]sur!V65</f>
        <v>1760.1000000000001</v>
      </c>
      <c r="HD281" s="203">
        <f>'[2]t&amp;t'!W413</f>
        <v>46329.599999999999</v>
      </c>
      <c r="HE281" s="204">
        <f>'[2]t&amp;t'!X413</f>
        <v>3151.5</v>
      </c>
      <c r="HF281" s="204">
        <f>'[2]t&amp;t'!Y413</f>
        <v>3276.7</v>
      </c>
      <c r="HG281" s="204">
        <f>'[2]t&amp;t'!Z413</f>
        <v>10896.5</v>
      </c>
      <c r="HH281" s="204">
        <f>'[2]t&amp;t'!AA413</f>
        <v>11937</v>
      </c>
      <c r="HI281" s="204"/>
      <c r="HJ281" s="205">
        <f>'[2]t&amp;t'!AC413</f>
        <v>17067.899999999998</v>
      </c>
      <c r="HK281" s="203">
        <v>9500.2917877857999</v>
      </c>
      <c r="HL281" s="204">
        <v>1555.414194</v>
      </c>
      <c r="HM281" s="204">
        <v>1011.4612169999999</v>
      </c>
      <c r="HN281" s="204">
        <v>160.123715</v>
      </c>
      <c r="HO281" s="204">
        <v>3713.9996356433003</v>
      </c>
      <c r="HP281" s="204"/>
      <c r="HQ281" s="204">
        <f t="shared" si="37"/>
        <v>3059.2930261424999</v>
      </c>
      <c r="HR281" s="203">
        <v>191452.54800000001</v>
      </c>
      <c r="HS281" s="204">
        <v>16239.716</v>
      </c>
      <c r="HT281" s="204">
        <v>67267.274000000005</v>
      </c>
      <c r="HU281" s="204">
        <v>27935.543000000001</v>
      </c>
      <c r="HV281" s="204">
        <v>38380.625999999997</v>
      </c>
      <c r="HW281" s="204">
        <v>6660.8239999999996</v>
      </c>
      <c r="HX281" s="204">
        <v>34968.565000000002</v>
      </c>
      <c r="HY281" s="198"/>
    </row>
    <row r="282" spans="1:233">
      <c r="A282" s="185" t="s">
        <v>678</v>
      </c>
      <c r="B282" s="197">
        <v>2963.857</v>
      </c>
      <c r="C282" s="198"/>
      <c r="D282" s="198"/>
      <c r="E282" s="198"/>
      <c r="F282" s="198"/>
      <c r="G282" s="198"/>
      <c r="H282" s="199"/>
      <c r="I282" s="197">
        <v>229625.8</v>
      </c>
      <c r="J282" s="198"/>
      <c r="K282" s="198"/>
      <c r="L282" s="198">
        <v>21370.9</v>
      </c>
      <c r="M282" s="198">
        <v>39819.1</v>
      </c>
      <c r="N282" s="198"/>
      <c r="O282" s="199">
        <f>[3]arg!$G148</f>
        <v>143300.4</v>
      </c>
      <c r="P282" s="198">
        <v>7057.9430000000002</v>
      </c>
      <c r="Q282" s="198">
        <v>34.130000000000003</v>
      </c>
      <c r="R282" s="198">
        <v>367.34300000000002</v>
      </c>
      <c r="S282" s="198">
        <v>440.08199999999999</v>
      </c>
      <c r="T282" s="198">
        <v>5096.7529999999997</v>
      </c>
      <c r="U282" s="198"/>
      <c r="V282" s="199">
        <f t="shared" si="22"/>
        <v>1119.6350000000002</v>
      </c>
      <c r="W282" s="198">
        <v>5720.4359999999997</v>
      </c>
      <c r="X282" s="198">
        <v>133.18799999999999</v>
      </c>
      <c r="Y282" s="198">
        <v>892.40899999999999</v>
      </c>
      <c r="Z282" s="198">
        <v>270.221</v>
      </c>
      <c r="AA282" s="198">
        <v>2768.1970000000001</v>
      </c>
      <c r="AB282" s="198"/>
      <c r="AC282" s="199">
        <f t="shared" si="33"/>
        <v>1656.4210000000003</v>
      </c>
      <c r="AD282" s="198"/>
      <c r="AE282" s="198">
        <v>45.039000000000001</v>
      </c>
      <c r="AF282" s="198">
        <v>365.97499999999997</v>
      </c>
      <c r="AG282" s="198">
        <v>638.05700000000002</v>
      </c>
      <c r="AH282" s="198">
        <v>379.94099999999997</v>
      </c>
      <c r="AI282" s="198">
        <v>73.239000000000004</v>
      </c>
      <c r="AJ282" s="198"/>
      <c r="AK282" s="197"/>
      <c r="AL282" s="198"/>
      <c r="AM282" s="198"/>
      <c r="AN282" s="198"/>
      <c r="AO282" s="198"/>
      <c r="AP282" s="198"/>
      <c r="AQ282" s="199"/>
      <c r="AR282" s="198">
        <v>1712158.6319535603</v>
      </c>
      <c r="AS282" s="198">
        <v>361763.47630186006</v>
      </c>
      <c r="AT282" s="198">
        <v>171201.96488327003</v>
      </c>
      <c r="AU282" s="198">
        <v>142482.61176864</v>
      </c>
      <c r="AV282" s="198">
        <v>551938.17030381004</v>
      </c>
      <c r="AW282" s="198"/>
      <c r="AX282" s="198">
        <v>484772.40869598021</v>
      </c>
      <c r="AY282" s="197">
        <v>75938143</v>
      </c>
      <c r="AZ282" s="198"/>
      <c r="BA282" s="198">
        <v>46402965</v>
      </c>
      <c r="BB282" s="198">
        <v>19701931</v>
      </c>
      <c r="BC282" s="198">
        <v>9833247</v>
      </c>
      <c r="BD282" s="198"/>
      <c r="BE282" s="198"/>
      <c r="BF282" s="197">
        <v>176344770.34999999</v>
      </c>
      <c r="BG282" s="198"/>
      <c r="BH282" s="198">
        <v>111684653.67</v>
      </c>
      <c r="BI282" s="198">
        <v>11623782.430000002</v>
      </c>
      <c r="BJ282" s="198">
        <v>48705951.920000002</v>
      </c>
      <c r="BK282" s="198">
        <v>4330382.3299999991</v>
      </c>
      <c r="BL282" s="198"/>
      <c r="BM282" s="197">
        <v>9286044.4179999996</v>
      </c>
      <c r="BN282" s="198">
        <v>466976.41000000003</v>
      </c>
      <c r="BO282" s="198">
        <v>883680.4219999999</v>
      </c>
      <c r="BP282" s="198">
        <v>3126303.9050000003</v>
      </c>
      <c r="BQ282" s="198">
        <v>2450660.2080000001</v>
      </c>
      <c r="BR282" s="198"/>
      <c r="BS282" s="198">
        <f t="shared" si="2"/>
        <v>2358423.4729999993</v>
      </c>
      <c r="BT282" s="197"/>
      <c r="BU282" s="198"/>
      <c r="BV282" s="198"/>
      <c r="BW282" s="198"/>
      <c r="BX282" s="198"/>
      <c r="BY282" s="198"/>
      <c r="BZ282" s="199"/>
      <c r="CA282" s="198">
        <v>863.71500000000003</v>
      </c>
      <c r="CB282" s="198"/>
      <c r="CC282" s="198"/>
      <c r="CD282" s="198"/>
      <c r="CE282" s="198"/>
      <c r="CF282" s="198"/>
      <c r="CG282" s="199"/>
      <c r="CH282" s="197">
        <v>17388908.390840001</v>
      </c>
      <c r="CI282" s="198"/>
      <c r="CJ282" s="198">
        <v>7741558.5889699999</v>
      </c>
      <c r="CK282" s="198">
        <v>1843486.1860400001</v>
      </c>
      <c r="CL282" s="198">
        <v>5697578.4522699993</v>
      </c>
      <c r="CM282" s="198">
        <v>2106285.1635599998</v>
      </c>
      <c r="CN282" s="198"/>
      <c r="CO282" s="197">
        <v>8375.24422452</v>
      </c>
      <c r="CP282" s="198">
        <v>805.23807376000002</v>
      </c>
      <c r="CQ282" s="198">
        <v>1215.7974925499998</v>
      </c>
      <c r="CR282" s="198">
        <v>2153.3732424599998</v>
      </c>
      <c r="CS282" s="198">
        <v>2350.51939619</v>
      </c>
      <c r="CT282" s="198"/>
      <c r="CU282" s="198">
        <v>1850.3160195599999</v>
      </c>
      <c r="CV282" s="197">
        <v>1999.82</v>
      </c>
      <c r="CW282" s="198"/>
      <c r="CX282" s="198"/>
      <c r="CY282" s="198"/>
      <c r="CZ282" s="198"/>
      <c r="DA282" s="198"/>
      <c r="DB282" s="199"/>
      <c r="DC282" s="197">
        <v>82396.672999999995</v>
      </c>
      <c r="DD282" s="198">
        <v>9007.098</v>
      </c>
      <c r="DE282" s="198">
        <v>16253.089</v>
      </c>
      <c r="DF282" s="198"/>
      <c r="DG282" s="198">
        <v>22286.207999999999</v>
      </c>
      <c r="DH282" s="198"/>
      <c r="DI282" s="198">
        <f t="shared" si="23"/>
        <v>34850.277999999998</v>
      </c>
      <c r="DJ282" s="197">
        <f>3295.1+69075.2</f>
        <v>72370.3</v>
      </c>
      <c r="DK282" s="198">
        <f>2349.5+13296.3</f>
        <v>15645.8</v>
      </c>
      <c r="DL282" s="198">
        <f>2897.5+16747.5</f>
        <v>19645</v>
      </c>
      <c r="DM282" s="198">
        <v>5016.2</v>
      </c>
      <c r="DN282" s="198">
        <f>17786.7-DM282</f>
        <v>12770.5</v>
      </c>
      <c r="DO282" s="198"/>
      <c r="DP282" s="198">
        <f t="shared" ref="DP282:DP305" si="38">DJ282-SUM(DK282:DN282)</f>
        <v>19292.800000000003</v>
      </c>
      <c r="DQ282" s="197"/>
      <c r="DR282" s="198"/>
      <c r="DS282" s="198"/>
      <c r="DT282" s="198"/>
      <c r="DU282" s="198"/>
      <c r="DV282" s="198"/>
      <c r="DW282" s="198"/>
      <c r="DX282" s="197">
        <v>142972.03692239002</v>
      </c>
      <c r="DY282" s="198"/>
      <c r="DZ282" s="198">
        <v>91329.13903410999</v>
      </c>
      <c r="EA282" s="198">
        <v>27146.022030810003</v>
      </c>
      <c r="EB282" s="198">
        <v>21227.658199289999</v>
      </c>
      <c r="EC282" s="198">
        <v>1634.60882909</v>
      </c>
      <c r="ED282" s="198"/>
      <c r="EE282" s="197">
        <v>247824.79399999999</v>
      </c>
      <c r="EF282" s="198">
        <v>8137.6490000000003</v>
      </c>
      <c r="EG282" s="198">
        <v>59725.213000000003</v>
      </c>
      <c r="EH282" s="198">
        <v>20509.032999999999</v>
      </c>
      <c r="EI282" s="198">
        <v>94346.305999999997</v>
      </c>
      <c r="EJ282" s="198"/>
      <c r="EK282" s="198">
        <f t="shared" si="34"/>
        <v>65106.592999999979</v>
      </c>
      <c r="EL282" s="197">
        <v>2134054.6505919998</v>
      </c>
      <c r="EM282" s="198">
        <v>993076.64355799998</v>
      </c>
      <c r="EN282" s="198">
        <v>67432.131714000003</v>
      </c>
      <c r="EO282" s="198">
        <v>359182.42370300001</v>
      </c>
      <c r="EP282" s="198">
        <v>398358.61712499999</v>
      </c>
      <c r="EQ282" s="198"/>
      <c r="ER282" s="198">
        <v>316004.83461800002</v>
      </c>
      <c r="ES282" s="197">
        <v>45408.375856279978</v>
      </c>
      <c r="ET282" s="198">
        <v>4928.0250546899997</v>
      </c>
      <c r="EU282" s="198">
        <v>15914.45787045</v>
      </c>
      <c r="EV282" s="198">
        <v>6900.5654661999997</v>
      </c>
      <c r="EW282" s="198">
        <v>10675.09218715998</v>
      </c>
      <c r="EX282" s="198"/>
      <c r="EY282" s="198">
        <f t="shared" si="24"/>
        <v>6990.2352777799952</v>
      </c>
      <c r="EZ282" s="197">
        <v>24766.771818739999</v>
      </c>
      <c r="FA282" s="198">
        <v>1449.1093235599999</v>
      </c>
      <c r="FB282" s="198">
        <v>6739.8833844399996</v>
      </c>
      <c r="FC282" s="198">
        <v>6848.3265483900004</v>
      </c>
      <c r="FD282" s="198">
        <v>5214.5923091799996</v>
      </c>
      <c r="FE282" s="198">
        <v>74.82961032</v>
      </c>
      <c r="FF282" s="198">
        <f t="shared" si="17"/>
        <v>4514.8602531700017</v>
      </c>
      <c r="FG282" s="197">
        <v>30920733.271242999</v>
      </c>
      <c r="FH282" s="198">
        <v>3048704.3049620003</v>
      </c>
      <c r="FI282" s="198">
        <v>6479702.0786860008</v>
      </c>
      <c r="FJ282" s="198"/>
      <c r="FK282" s="198">
        <v>4182181.1266369997</v>
      </c>
      <c r="FL282" s="198"/>
      <c r="FM282" s="198">
        <f t="shared" si="36"/>
        <v>17210145.760957997</v>
      </c>
      <c r="FN282" s="197">
        <v>109519.278655</v>
      </c>
      <c r="FO282" s="198">
        <v>19788.139715000001</v>
      </c>
      <c r="FP282" s="198">
        <v>15687.330216</v>
      </c>
      <c r="FQ282" s="198">
        <v>15640.486344000001</v>
      </c>
      <c r="FR282" s="198">
        <v>18777.026473000002</v>
      </c>
      <c r="FS282" s="198"/>
      <c r="FT282" s="199">
        <f t="shared" si="35"/>
        <v>39626.295906999992</v>
      </c>
      <c r="FU282" s="197"/>
      <c r="FV282" s="198"/>
      <c r="FW282" s="198"/>
      <c r="FX282" s="198"/>
      <c r="FY282" s="198"/>
      <c r="FZ282" s="198"/>
      <c r="GA282" s="199"/>
      <c r="GB282" s="197">
        <v>2453.13</v>
      </c>
      <c r="GC282" s="198"/>
      <c r="GD282" s="198"/>
      <c r="GE282" s="198"/>
      <c r="GF282" s="198"/>
      <c r="GG282" s="198"/>
      <c r="GH282" s="199"/>
      <c r="GI282" s="197">
        <v>1152.181</v>
      </c>
      <c r="GJ282" s="198"/>
      <c r="GK282" s="198"/>
      <c r="GL282" s="198"/>
      <c r="GM282" s="198"/>
      <c r="GN282" s="198"/>
      <c r="GO282" s="199"/>
      <c r="GP282" s="197">
        <v>4013.5340000000001</v>
      </c>
      <c r="GQ282" s="198"/>
      <c r="GR282" s="198"/>
      <c r="GS282" s="198"/>
      <c r="GT282" s="198"/>
      <c r="GU282" s="198"/>
      <c r="GV282" s="199"/>
      <c r="GW282" s="197">
        <f>[2]sur!P66</f>
        <v>3409.5</v>
      </c>
      <c r="GX282" s="198">
        <f>[2]sur!Q66</f>
        <v>245.8</v>
      </c>
      <c r="GY282" s="198">
        <f>[2]sur!R66</f>
        <v>763.5</v>
      </c>
      <c r="GZ282" s="198">
        <f>[2]sur!S66</f>
        <v>539.30000000000007</v>
      </c>
      <c r="HA282" s="198"/>
      <c r="HB282" s="198"/>
      <c r="HC282" s="199">
        <f>[2]sur!V66</f>
        <v>1860.8999999999999</v>
      </c>
      <c r="HD282" s="197"/>
      <c r="HE282" s="198"/>
      <c r="HF282" s="198"/>
      <c r="HG282" s="198"/>
      <c r="HH282" s="198"/>
      <c r="HI282" s="198"/>
      <c r="HJ282" s="199"/>
      <c r="HK282" s="197">
        <v>9613.9730000107011</v>
      </c>
      <c r="HL282" s="198">
        <v>1562.7266239999999</v>
      </c>
      <c r="HM282" s="198">
        <v>997.76353299999994</v>
      </c>
      <c r="HN282" s="198">
        <v>156.73036299999998</v>
      </c>
      <c r="HO282" s="198">
        <v>3810.9453027432992</v>
      </c>
      <c r="HP282" s="198"/>
      <c r="HQ282" s="198">
        <f t="shared" si="37"/>
        <v>3085.807177267402</v>
      </c>
      <c r="HR282" s="197">
        <v>186598.87700000001</v>
      </c>
      <c r="HS282" s="198">
        <v>15832.734</v>
      </c>
      <c r="HT282" s="198">
        <v>63792.654999999999</v>
      </c>
      <c r="HU282" s="198">
        <v>27557.550999999999</v>
      </c>
      <c r="HV282" s="198">
        <v>38478.156000000003</v>
      </c>
      <c r="HW282" s="198">
        <v>6676.9440000000004</v>
      </c>
      <c r="HX282" s="198">
        <v>34260.837</v>
      </c>
      <c r="HY282" s="198"/>
    </row>
    <row r="283" spans="1:233">
      <c r="A283" s="185" t="s">
        <v>490</v>
      </c>
      <c r="B283" s="197">
        <v>2947.59</v>
      </c>
      <c r="C283" s="198"/>
      <c r="D283" s="198"/>
      <c r="E283" s="198"/>
      <c r="F283" s="198"/>
      <c r="G283" s="198"/>
      <c r="H283" s="199"/>
      <c r="I283" s="197">
        <v>234482.4</v>
      </c>
      <c r="J283" s="198"/>
      <c r="K283" s="198"/>
      <c r="L283" s="198">
        <v>21664</v>
      </c>
      <c r="M283" s="198">
        <v>40782.5</v>
      </c>
      <c r="N283" s="198"/>
      <c r="O283" s="199">
        <f>[3]arg!$G149</f>
        <v>146868.5</v>
      </c>
      <c r="P283" s="198">
        <v>6930.9830000000002</v>
      </c>
      <c r="Q283" s="198">
        <v>34.83</v>
      </c>
      <c r="R283" s="198">
        <v>281.72499999999997</v>
      </c>
      <c r="S283" s="198">
        <v>438.846</v>
      </c>
      <c r="T283" s="198">
        <v>5127.6080000000002</v>
      </c>
      <c r="U283" s="198"/>
      <c r="V283" s="199">
        <f t="shared" si="22"/>
        <v>1047.9740000000002</v>
      </c>
      <c r="W283" s="198">
        <v>5657.6409999999996</v>
      </c>
      <c r="X283" s="198">
        <v>129.80099999999999</v>
      </c>
      <c r="Y283" s="198">
        <v>868.35500000000002</v>
      </c>
      <c r="Z283" s="198">
        <v>269.83499999999998</v>
      </c>
      <c r="AA283" s="198">
        <v>2756.9059999999999</v>
      </c>
      <c r="AB283" s="198"/>
      <c r="AC283" s="199">
        <f t="shared" si="33"/>
        <v>1632.7439999999988</v>
      </c>
      <c r="AD283" s="198"/>
      <c r="AE283" s="198">
        <v>45.542000000000002</v>
      </c>
      <c r="AF283" s="198">
        <v>367.14299999999997</v>
      </c>
      <c r="AG283" s="198">
        <v>639.58500000000004</v>
      </c>
      <c r="AH283" s="198">
        <v>378.30900000000003</v>
      </c>
      <c r="AI283" s="198">
        <v>72.340999999999994</v>
      </c>
      <c r="AJ283" s="198"/>
      <c r="AK283" s="197"/>
      <c r="AL283" s="198"/>
      <c r="AM283" s="198"/>
      <c r="AN283" s="198"/>
      <c r="AO283" s="198"/>
      <c r="AP283" s="198"/>
      <c r="AQ283" s="199"/>
      <c r="AR283" s="198">
        <v>1735310.2305493697</v>
      </c>
      <c r="AS283" s="198">
        <v>365739.72702823998</v>
      </c>
      <c r="AT283" s="198">
        <v>176183.30904408</v>
      </c>
      <c r="AU283" s="198">
        <v>146336.65981712</v>
      </c>
      <c r="AV283" s="198">
        <v>559385.02237342997</v>
      </c>
      <c r="AW283" s="198"/>
      <c r="AX283" s="198">
        <v>487665.51228649961</v>
      </c>
      <c r="AY283" s="197">
        <v>76702316</v>
      </c>
      <c r="AZ283" s="198"/>
      <c r="BA283" s="198">
        <v>46948516</v>
      </c>
      <c r="BB283" s="198">
        <v>19853967</v>
      </c>
      <c r="BC283" s="198">
        <v>9899833</v>
      </c>
      <c r="BD283" s="198"/>
      <c r="BE283" s="198"/>
      <c r="BF283" s="197">
        <v>180381451.98000002</v>
      </c>
      <c r="BG283" s="198"/>
      <c r="BH283" s="198">
        <v>114018428.75000001</v>
      </c>
      <c r="BI283" s="198">
        <v>12016606.779999999</v>
      </c>
      <c r="BJ283" s="198">
        <v>49422714.149999991</v>
      </c>
      <c r="BK283" s="198">
        <v>4923702.3</v>
      </c>
      <c r="BL283" s="198"/>
      <c r="BM283" s="197">
        <v>9229050.3090000004</v>
      </c>
      <c r="BN283" s="198">
        <v>456477.79399999999</v>
      </c>
      <c r="BO283" s="198">
        <v>901815.98800000001</v>
      </c>
      <c r="BP283" s="198">
        <v>3102490.7340000002</v>
      </c>
      <c r="BQ283" s="198">
        <v>2496380.0269999998</v>
      </c>
      <c r="BR283" s="198"/>
      <c r="BS283" s="198">
        <f t="shared" si="2"/>
        <v>2271885.7659999998</v>
      </c>
      <c r="BT283" s="197"/>
      <c r="BU283" s="198"/>
      <c r="BV283" s="198"/>
      <c r="BW283" s="198"/>
      <c r="BX283" s="198"/>
      <c r="BY283" s="198"/>
      <c r="BZ283" s="199"/>
      <c r="CA283" s="198">
        <v>864.077</v>
      </c>
      <c r="CB283" s="198"/>
      <c r="CC283" s="198"/>
      <c r="CD283" s="198"/>
      <c r="CE283" s="198"/>
      <c r="CF283" s="198"/>
      <c r="CG283" s="199"/>
      <c r="CH283" s="197">
        <v>17621958.016320001</v>
      </c>
      <c r="CI283" s="198"/>
      <c r="CJ283" s="198">
        <v>7751109.0160100004</v>
      </c>
      <c r="CK283" s="198">
        <v>1858354.4819100001</v>
      </c>
      <c r="CL283" s="198">
        <v>5870798.9833000004</v>
      </c>
      <c r="CM283" s="198">
        <v>2141695.5351000004</v>
      </c>
      <c r="CN283" s="198"/>
      <c r="CO283" s="197">
        <v>8366.7100238499988</v>
      </c>
      <c r="CP283" s="198">
        <v>780.6242202799998</v>
      </c>
      <c r="CQ283" s="198">
        <v>1239.3222202199997</v>
      </c>
      <c r="CR283" s="198">
        <v>2149.5244040399998</v>
      </c>
      <c r="CS283" s="198">
        <v>2359.5092566899998</v>
      </c>
      <c r="CT283" s="198"/>
      <c r="CU283" s="198">
        <v>1837.7299226200003</v>
      </c>
      <c r="CV283" s="197">
        <v>2005.825</v>
      </c>
      <c r="CW283" s="198"/>
      <c r="CX283" s="198"/>
      <c r="CY283" s="198"/>
      <c r="CZ283" s="198"/>
      <c r="DA283" s="198"/>
      <c r="DB283" s="199"/>
      <c r="DC283" s="197">
        <v>82674.070000000007</v>
      </c>
      <c r="DD283" s="198">
        <v>8146.634</v>
      </c>
      <c r="DE283" s="198">
        <v>16705.105</v>
      </c>
      <c r="DF283" s="198"/>
      <c r="DG283" s="198">
        <v>22540.947</v>
      </c>
      <c r="DH283" s="198"/>
      <c r="DI283" s="198">
        <f t="shared" si="23"/>
        <v>35281.384000000005</v>
      </c>
      <c r="DJ283" s="197">
        <f>3174.4+69963.2</f>
        <v>73137.599999999991</v>
      </c>
      <c r="DK283" s="198">
        <f>2283.3+13434.8</f>
        <v>15718.099999999999</v>
      </c>
      <c r="DL283" s="198">
        <f>2908.5+17579.1</f>
        <v>20487.599999999999</v>
      </c>
      <c r="DM283" s="198">
        <v>5166.7</v>
      </c>
      <c r="DN283" s="198">
        <f>17589.5-DM283</f>
        <v>12422.8</v>
      </c>
      <c r="DO283" s="198"/>
      <c r="DP283" s="198">
        <f t="shared" si="38"/>
        <v>19342.399999999994</v>
      </c>
      <c r="DQ283" s="197"/>
      <c r="DR283" s="198"/>
      <c r="DS283" s="198"/>
      <c r="DT283" s="198"/>
      <c r="DU283" s="198"/>
      <c r="DV283" s="198"/>
      <c r="DW283" s="198"/>
      <c r="DX283" s="197">
        <v>143461.03617161998</v>
      </c>
      <c r="DY283" s="198"/>
      <c r="DZ283" s="198">
        <v>91589.694554590009</v>
      </c>
      <c r="EA283" s="198">
        <v>27341.068943009999</v>
      </c>
      <c r="EB283" s="198">
        <v>21247.254706359996</v>
      </c>
      <c r="EC283" s="198">
        <v>1641.50898383</v>
      </c>
      <c r="ED283" s="198"/>
      <c r="EE283" s="197">
        <v>251931.42199999999</v>
      </c>
      <c r="EF283" s="198">
        <v>8578.6239999999998</v>
      </c>
      <c r="EG283" s="198">
        <v>60070.945</v>
      </c>
      <c r="EH283" s="198">
        <v>20594.210999999999</v>
      </c>
      <c r="EI283" s="198">
        <v>94969.514999999999</v>
      </c>
      <c r="EJ283" s="198"/>
      <c r="EK283" s="198">
        <f t="shared" si="34"/>
        <v>67718.126999999964</v>
      </c>
      <c r="EL283" s="197">
        <v>2174795.076382</v>
      </c>
      <c r="EM283" s="198">
        <v>1013399.607927</v>
      </c>
      <c r="EN283" s="198">
        <v>67693.725717000008</v>
      </c>
      <c r="EO283" s="198">
        <v>360856.45911600004</v>
      </c>
      <c r="EP283" s="198">
        <v>401617.98384700011</v>
      </c>
      <c r="EQ283" s="198"/>
      <c r="ER283" s="198">
        <v>331227.29977500008</v>
      </c>
      <c r="ES283" s="197">
        <v>45247.744245729977</v>
      </c>
      <c r="ET283" s="198">
        <v>4900.1102679200003</v>
      </c>
      <c r="EU283" s="198">
        <v>16035.100645230001</v>
      </c>
      <c r="EV283" s="198">
        <v>6932.8798391399996</v>
      </c>
      <c r="EW283" s="198">
        <v>10712.773154619979</v>
      </c>
      <c r="EX283" s="198"/>
      <c r="EY283" s="198">
        <f t="shared" si="24"/>
        <v>6666.8803388200031</v>
      </c>
      <c r="EZ283" s="197">
        <v>24913.132939800002</v>
      </c>
      <c r="FA283" s="198">
        <v>1393.09327504</v>
      </c>
      <c r="FB283" s="198">
        <v>6826.8801250200004</v>
      </c>
      <c r="FC283" s="198">
        <v>6925.1800076500003</v>
      </c>
      <c r="FD283" s="198">
        <v>5260.6190315400099</v>
      </c>
      <c r="FE283" s="198">
        <v>75.79180916</v>
      </c>
      <c r="FF283" s="198">
        <f t="shared" si="17"/>
        <v>4507.3605005499912</v>
      </c>
      <c r="FG283" s="197">
        <v>31659242.796915997</v>
      </c>
      <c r="FH283" s="198">
        <v>3039784.9085159996</v>
      </c>
      <c r="FI283" s="198">
        <v>6561570.3487790003</v>
      </c>
      <c r="FJ283" s="198"/>
      <c r="FK283" s="198">
        <v>4199845.6947969999</v>
      </c>
      <c r="FL283" s="198"/>
      <c r="FM283" s="198">
        <f t="shared" si="36"/>
        <v>17858041.844823994</v>
      </c>
      <c r="FN283" s="197">
        <v>110794.731061</v>
      </c>
      <c r="FO283" s="198">
        <v>19951.685550999999</v>
      </c>
      <c r="FP283" s="198">
        <v>15952.447284</v>
      </c>
      <c r="FQ283" s="198">
        <v>15962.019710999999</v>
      </c>
      <c r="FR283" s="198">
        <v>19087.660374000003</v>
      </c>
      <c r="FS283" s="198"/>
      <c r="FT283" s="199">
        <f t="shared" si="35"/>
        <v>39840.918141000002</v>
      </c>
      <c r="FU283" s="197"/>
      <c r="FV283" s="198"/>
      <c r="FW283" s="198"/>
      <c r="FX283" s="198"/>
      <c r="FY283" s="198"/>
      <c r="FZ283" s="198"/>
      <c r="GA283" s="199"/>
      <c r="GB283" s="197">
        <v>2429.3180000000002</v>
      </c>
      <c r="GC283" s="198"/>
      <c r="GD283" s="198"/>
      <c r="GE283" s="198"/>
      <c r="GF283" s="198"/>
      <c r="GG283" s="198"/>
      <c r="GH283" s="199"/>
      <c r="GI283" s="197">
        <v>1155.6010000000001</v>
      </c>
      <c r="GJ283" s="198"/>
      <c r="GK283" s="198"/>
      <c r="GL283" s="198"/>
      <c r="GM283" s="198"/>
      <c r="GN283" s="198"/>
      <c r="GO283" s="199"/>
      <c r="GP283" s="197">
        <v>4019.2049999999999</v>
      </c>
      <c r="GQ283" s="198"/>
      <c r="GR283" s="198"/>
      <c r="GS283" s="198"/>
      <c r="GT283" s="198"/>
      <c r="GU283" s="198"/>
      <c r="GV283" s="199"/>
      <c r="GW283" s="197">
        <f>[2]sur!P67</f>
        <v>3426.2</v>
      </c>
      <c r="GX283" s="198">
        <f>[2]sur!Q67</f>
        <v>249.2</v>
      </c>
      <c r="GY283" s="198">
        <f>[2]sur!R67</f>
        <v>779.1</v>
      </c>
      <c r="GZ283" s="198">
        <f>[2]sur!S67</f>
        <v>544.70000000000005</v>
      </c>
      <c r="HA283" s="198"/>
      <c r="HB283" s="198"/>
      <c r="HC283" s="199">
        <f>[2]sur!V67</f>
        <v>1853.2000000000003</v>
      </c>
      <c r="HD283" s="197"/>
      <c r="HE283" s="198"/>
      <c r="HF283" s="198"/>
      <c r="HG283" s="198"/>
      <c r="HH283" s="198"/>
      <c r="HI283" s="198"/>
      <c r="HJ283" s="199"/>
      <c r="HK283" s="197">
        <v>9414.901290512802</v>
      </c>
      <c r="HL283" s="198">
        <v>1560.8302679999999</v>
      </c>
      <c r="HM283" s="198">
        <v>989.6197719999999</v>
      </c>
      <c r="HN283" s="198">
        <v>163.75056499999999</v>
      </c>
      <c r="HO283" s="198">
        <v>3581.3344511212008</v>
      </c>
      <c r="HP283" s="198"/>
      <c r="HQ283" s="198">
        <f t="shared" si="37"/>
        <v>3119.3662343916012</v>
      </c>
      <c r="HR283" s="197">
        <v>189843.79</v>
      </c>
      <c r="HS283" s="198">
        <v>16216.947</v>
      </c>
      <c r="HT283" s="198">
        <v>65247.012999999999</v>
      </c>
      <c r="HU283" s="198">
        <v>28183.931</v>
      </c>
      <c r="HV283" s="198">
        <v>38803.106</v>
      </c>
      <c r="HW283" s="198">
        <v>6705.8720000000003</v>
      </c>
      <c r="HX283" s="198">
        <v>34686.921000000002</v>
      </c>
      <c r="HY283" s="198"/>
    </row>
    <row r="284" spans="1:233">
      <c r="A284" s="185" t="s">
        <v>491</v>
      </c>
      <c r="B284" s="197">
        <v>2953.1019999999999</v>
      </c>
      <c r="C284" s="198">
        <v>49.222000000000001</v>
      </c>
      <c r="D284" s="198">
        <v>568.49</v>
      </c>
      <c r="E284" s="198">
        <v>790.24599999999998</v>
      </c>
      <c r="F284" s="198">
        <v>524.45299999999997</v>
      </c>
      <c r="G284" s="198"/>
      <c r="H284" s="199">
        <v>1020.691</v>
      </c>
      <c r="I284" s="197">
        <v>238318.2</v>
      </c>
      <c r="J284" s="198"/>
      <c r="K284" s="198"/>
      <c r="L284" s="198">
        <v>21748.9</v>
      </c>
      <c r="M284" s="198">
        <v>41998.2</v>
      </c>
      <c r="N284" s="198"/>
      <c r="O284" s="199">
        <f>[3]arg!$G150</f>
        <v>149547</v>
      </c>
      <c r="P284" s="198">
        <v>6945.4449999999997</v>
      </c>
      <c r="Q284" s="198">
        <v>34.651000000000003</v>
      </c>
      <c r="R284" s="198">
        <v>286.63400000000001</v>
      </c>
      <c r="S284" s="198">
        <v>441.27199999999999</v>
      </c>
      <c r="T284" s="198">
        <v>5123.0429999999997</v>
      </c>
      <c r="U284" s="198"/>
      <c r="V284" s="199">
        <f t="shared" si="22"/>
        <v>1059.8450000000003</v>
      </c>
      <c r="W284" s="198">
        <v>5652.0079999999998</v>
      </c>
      <c r="X284" s="198">
        <v>142.27000000000001</v>
      </c>
      <c r="Y284" s="198">
        <v>857.27599999999995</v>
      </c>
      <c r="Z284" s="198">
        <v>264.94400000000002</v>
      </c>
      <c r="AA284" s="198">
        <v>2739.8910000000001</v>
      </c>
      <c r="AB284" s="198"/>
      <c r="AC284" s="199">
        <f t="shared" si="33"/>
        <v>1647.626999999999</v>
      </c>
      <c r="AD284" s="198">
        <f>[1]datos!$S416</f>
        <v>2168.67</v>
      </c>
      <c r="AE284" s="198">
        <v>46.036999999999999</v>
      </c>
      <c r="AF284" s="198">
        <v>366.34100000000001</v>
      </c>
      <c r="AG284" s="198">
        <v>638.09999999999991</v>
      </c>
      <c r="AH284" s="198">
        <v>377.245</v>
      </c>
      <c r="AI284" s="198">
        <v>70.837999999999994</v>
      </c>
      <c r="AJ284" s="198">
        <f>AD284-AE284-AF284-AG284-AH284-AI284</f>
        <v>670.10900000000049</v>
      </c>
      <c r="AK284" s="197">
        <v>48650</v>
      </c>
      <c r="AL284" s="198">
        <v>20433.000000000004</v>
      </c>
      <c r="AM284" s="198"/>
      <c r="AN284" s="198">
        <v>9584.0500000000011</v>
      </c>
      <c r="AO284" s="198">
        <v>6762.3500000000013</v>
      </c>
      <c r="AP284" s="198">
        <v>11870.6</v>
      </c>
      <c r="AQ284" s="199"/>
      <c r="AR284" s="198">
        <v>1753633.0493004299</v>
      </c>
      <c r="AS284" s="198">
        <v>367183.12647577003</v>
      </c>
      <c r="AT284" s="198">
        <v>178609.94976331</v>
      </c>
      <c r="AU284" s="198">
        <v>150890.99171648998</v>
      </c>
      <c r="AV284" s="198">
        <v>563754.97600572999</v>
      </c>
      <c r="AW284" s="198"/>
      <c r="AX284" s="198">
        <v>493194.00533913006</v>
      </c>
      <c r="AY284" s="197">
        <v>77743375</v>
      </c>
      <c r="AZ284" s="198"/>
      <c r="BA284" s="198">
        <v>47514046</v>
      </c>
      <c r="BB284" s="198">
        <v>20051787</v>
      </c>
      <c r="BC284" s="198">
        <v>10177542</v>
      </c>
      <c r="BD284" s="198"/>
      <c r="BE284" s="198"/>
      <c r="BF284" s="197">
        <v>183583007.38</v>
      </c>
      <c r="BG284" s="198"/>
      <c r="BH284" s="198">
        <v>115854406.00999999</v>
      </c>
      <c r="BI284" s="198">
        <v>12474052.289999997</v>
      </c>
      <c r="BJ284" s="198">
        <v>50243158.300000012</v>
      </c>
      <c r="BK284" s="198">
        <v>5011390.78</v>
      </c>
      <c r="BL284" s="198"/>
      <c r="BM284" s="197">
        <v>9329079.0099999998</v>
      </c>
      <c r="BN284" s="198">
        <v>444820.09400000004</v>
      </c>
      <c r="BO284" s="198">
        <v>930697.40599999996</v>
      </c>
      <c r="BP284" s="198">
        <v>3125351.5290000001</v>
      </c>
      <c r="BQ284" s="198">
        <v>2522016.1150000002</v>
      </c>
      <c r="BR284" s="198"/>
      <c r="BS284" s="198">
        <f t="shared" si="2"/>
        <v>2306193.8659999995</v>
      </c>
      <c r="BT284" s="197"/>
      <c r="BU284" s="198"/>
      <c r="BV284" s="198"/>
      <c r="BW284" s="198"/>
      <c r="BX284" s="198"/>
      <c r="BY284" s="198"/>
      <c r="BZ284" s="199"/>
      <c r="CA284" s="198">
        <v>862.47400000000005</v>
      </c>
      <c r="CB284" s="198">
        <v>55.585999999999999</v>
      </c>
      <c r="CC284" s="198">
        <v>163.762</v>
      </c>
      <c r="CD284" s="198">
        <v>256.19900000000001</v>
      </c>
      <c r="CE284" s="198">
        <v>146.78399999999999</v>
      </c>
      <c r="CF284" s="198"/>
      <c r="CG284" s="199">
        <f>CA284-CB284-CC284-CD284-CE284</f>
        <v>240.14299999999997</v>
      </c>
      <c r="CH284" s="197">
        <v>17864394.45239</v>
      </c>
      <c r="CI284" s="198"/>
      <c r="CJ284" s="198">
        <v>7916336.4218299994</v>
      </c>
      <c r="CK284" s="198">
        <v>1850054.6871199999</v>
      </c>
      <c r="CL284" s="198">
        <v>6001164.8438099995</v>
      </c>
      <c r="CM284" s="198">
        <v>2096838.49963</v>
      </c>
      <c r="CN284" s="198"/>
      <c r="CO284" s="197">
        <v>8393.981618060001</v>
      </c>
      <c r="CP284" s="198">
        <v>805.81850380999992</v>
      </c>
      <c r="CQ284" s="198">
        <v>1248.1463457299997</v>
      </c>
      <c r="CR284" s="198">
        <v>2148.6478769700002</v>
      </c>
      <c r="CS284" s="198">
        <v>2366.7220010900005</v>
      </c>
      <c r="CT284" s="198"/>
      <c r="CU284" s="198">
        <v>1824.6468904600003</v>
      </c>
      <c r="CV284" s="197">
        <v>2011.875</v>
      </c>
      <c r="CW284" s="198">
        <v>35.755128770000006</v>
      </c>
      <c r="CX284" s="198">
        <v>346.19741673999999</v>
      </c>
      <c r="CY284" s="198">
        <v>655.82043993999991</v>
      </c>
      <c r="CZ284" s="198">
        <v>531.93012326999997</v>
      </c>
      <c r="DA284" s="198"/>
      <c r="DB284" s="199">
        <f>CV284-CW284-CX284-CY284-CZ284</f>
        <v>442.17189127999995</v>
      </c>
      <c r="DC284" s="197">
        <v>83349.406000000003</v>
      </c>
      <c r="DD284" s="198">
        <v>8290.4230000000007</v>
      </c>
      <c r="DE284" s="198">
        <v>17029.202000000001</v>
      </c>
      <c r="DF284" s="198"/>
      <c r="DG284" s="198">
        <v>22727.96</v>
      </c>
      <c r="DH284" s="198"/>
      <c r="DI284" s="198">
        <f t="shared" si="23"/>
        <v>35301.821000000004</v>
      </c>
      <c r="DJ284" s="197">
        <f>3252.2+70947.2</f>
        <v>74199.399999999994</v>
      </c>
      <c r="DK284" s="198">
        <f>2301.8+13612.3</f>
        <v>15914.099999999999</v>
      </c>
      <c r="DL284" s="198">
        <f>2991.4+17899.4</f>
        <v>20890.800000000003</v>
      </c>
      <c r="DM284" s="198">
        <v>5154.6000000000004</v>
      </c>
      <c r="DN284" s="198">
        <f>17398.6-DM284</f>
        <v>12243.999999999998</v>
      </c>
      <c r="DO284" s="198"/>
      <c r="DP284" s="198">
        <f t="shared" si="38"/>
        <v>19995.899999999994</v>
      </c>
      <c r="DQ284" s="197"/>
      <c r="DR284" s="198"/>
      <c r="DS284" s="198"/>
      <c r="DT284" s="198"/>
      <c r="DU284" s="198"/>
      <c r="DV284" s="198"/>
      <c r="DW284" s="198"/>
      <c r="DX284" s="197">
        <v>144027.40768706001</v>
      </c>
      <c r="DY284" s="198"/>
      <c r="DZ284" s="198">
        <v>91813.859259710007</v>
      </c>
      <c r="EA284" s="198">
        <v>27468.945251650002</v>
      </c>
      <c r="EB284" s="198">
        <v>21416.054683859998</v>
      </c>
      <c r="EC284" s="198">
        <v>1664.2742459200001</v>
      </c>
      <c r="ED284" s="198"/>
      <c r="EE284" s="197">
        <v>248924.24799999999</v>
      </c>
      <c r="EF284" s="198">
        <v>8476.7929999999997</v>
      </c>
      <c r="EG284" s="198">
        <v>59021.197999999997</v>
      </c>
      <c r="EH284" s="198">
        <v>19989.756000000001</v>
      </c>
      <c r="EI284" s="198">
        <v>95453.75</v>
      </c>
      <c r="EJ284" s="198"/>
      <c r="EK284" s="198">
        <f t="shared" si="34"/>
        <v>65982.750999999989</v>
      </c>
      <c r="EL284" s="197">
        <v>2194505.4684670004</v>
      </c>
      <c r="EM284" s="198">
        <v>1025627.4421529998</v>
      </c>
      <c r="EN284" s="198">
        <v>67725.109636000008</v>
      </c>
      <c r="EO284" s="198">
        <v>364378.62626900006</v>
      </c>
      <c r="EP284" s="198">
        <v>407649.39128999994</v>
      </c>
      <c r="EQ284" s="198"/>
      <c r="ER284" s="198">
        <v>329124.89911900007</v>
      </c>
      <c r="ES284" s="197">
        <v>45287.764134600002</v>
      </c>
      <c r="ET284" s="198">
        <v>5468.4550996799999</v>
      </c>
      <c r="EU284" s="198">
        <v>15895.670342060001</v>
      </c>
      <c r="EV284" s="198">
        <v>6957.9578122900002</v>
      </c>
      <c r="EW284" s="198">
        <v>10732.85449763</v>
      </c>
      <c r="EX284" s="198"/>
      <c r="EY284" s="198">
        <f t="shared" si="24"/>
        <v>6232.8263829399984</v>
      </c>
      <c r="EZ284" s="197">
        <v>25462.740361619999</v>
      </c>
      <c r="FA284" s="198">
        <v>1481.05573396</v>
      </c>
      <c r="FB284" s="198">
        <v>6981.9713466800004</v>
      </c>
      <c r="FC284" s="198">
        <v>7000.22495033</v>
      </c>
      <c r="FD284" s="198">
        <v>5265.7513122</v>
      </c>
      <c r="FE284" s="198">
        <v>73.003038369999999</v>
      </c>
      <c r="FF284" s="198">
        <f t="shared" ref="FF284:FF305" si="39">EZ284-FA284-FB284-FC284-FD284</f>
        <v>4733.7370184499941</v>
      </c>
      <c r="FG284" s="197">
        <v>30879538.373342004</v>
      </c>
      <c r="FH284" s="198">
        <v>2966420.494713</v>
      </c>
      <c r="FI284" s="198">
        <v>6333455.0497960001</v>
      </c>
      <c r="FJ284" s="198"/>
      <c r="FK284" s="198">
        <v>4256721.6922220001</v>
      </c>
      <c r="FL284" s="198"/>
      <c r="FM284" s="198">
        <f t="shared" si="36"/>
        <v>17322941.136611003</v>
      </c>
      <c r="FN284" s="197">
        <v>113658.611876</v>
      </c>
      <c r="FO284" s="198">
        <v>20376.062750000001</v>
      </c>
      <c r="FP284" s="198">
        <v>17096.048017999998</v>
      </c>
      <c r="FQ284" s="198">
        <v>16510.049671000001</v>
      </c>
      <c r="FR284" s="198">
        <v>19403.968596000002</v>
      </c>
      <c r="FS284" s="198"/>
      <c r="FT284" s="199">
        <f t="shared" si="35"/>
        <v>40272.48284099999</v>
      </c>
      <c r="FU284" s="197">
        <v>461674.45430799003</v>
      </c>
      <c r="FV284" s="198">
        <v>34395.875950630005</v>
      </c>
      <c r="FW284" s="198">
        <v>65654.767762830044</v>
      </c>
      <c r="FX284" s="198">
        <v>103378.37787991005</v>
      </c>
      <c r="FY284" s="198">
        <v>103169.80712736999</v>
      </c>
      <c r="FZ284" s="198"/>
      <c r="GA284" s="199">
        <f>FU284-FV284-FW284-FX284-FY284</f>
        <v>155075.62558724993</v>
      </c>
      <c r="GB284" s="197">
        <v>2461.6680000000001</v>
      </c>
      <c r="GC284" s="198">
        <v>25.593</v>
      </c>
      <c r="GD284" s="198">
        <v>241.02099999999999</v>
      </c>
      <c r="GE284" s="198">
        <v>463.96199999999999</v>
      </c>
      <c r="GF284" s="198">
        <v>433.99200000000002</v>
      </c>
      <c r="GG284" s="198"/>
      <c r="GH284" s="199">
        <f>GB284-GC284-GD284-GE284-GF284</f>
        <v>1297.1000000000001</v>
      </c>
      <c r="GI284" s="197">
        <v>1156.1300000000001</v>
      </c>
      <c r="GJ284" s="198">
        <v>56.437264200000001</v>
      </c>
      <c r="GK284" s="198">
        <v>174.583</v>
      </c>
      <c r="GL284" s="198">
        <v>369.41512465999995</v>
      </c>
      <c r="GM284" s="198">
        <v>275.23913728000002</v>
      </c>
      <c r="GN284" s="198"/>
      <c r="GO284" s="199">
        <f>GI284-GJ284-GK284-GL284-GM284</f>
        <v>280.4554738600001</v>
      </c>
      <c r="GP284" s="197">
        <v>4019.0079999999998</v>
      </c>
      <c r="GQ284" s="198">
        <v>99.468999999999994</v>
      </c>
      <c r="GR284" s="198">
        <v>1108.0840000000001</v>
      </c>
      <c r="GS284" s="198">
        <v>634.17600000000004</v>
      </c>
      <c r="GT284" s="198">
        <v>642.80999999999995</v>
      </c>
      <c r="GU284" s="198"/>
      <c r="GV284" s="199">
        <f>GP284-GQ284-GR284-GS284-GT284</f>
        <v>1534.4690000000001</v>
      </c>
      <c r="GW284" s="197">
        <f>[2]sur!P68</f>
        <v>3457.6000000000004</v>
      </c>
      <c r="GX284" s="198">
        <f>[2]sur!Q68</f>
        <v>251.60000000000002</v>
      </c>
      <c r="GY284" s="198">
        <f>[2]sur!R68</f>
        <v>794.1</v>
      </c>
      <c r="GZ284" s="198">
        <f>[2]sur!S68</f>
        <v>551.20000000000005</v>
      </c>
      <c r="HA284" s="198"/>
      <c r="HB284" s="198"/>
      <c r="HC284" s="199">
        <f>[2]sur!V68</f>
        <v>1860.7</v>
      </c>
      <c r="HD284" s="197">
        <f>'[2]t&amp;t'!W416</f>
        <v>46896.5</v>
      </c>
      <c r="HE284" s="198">
        <f>'[2]t&amp;t'!X416</f>
        <v>2954.1000000000004</v>
      </c>
      <c r="HF284" s="198">
        <f>'[2]t&amp;t'!Y416</f>
        <v>3179.8999999999996</v>
      </c>
      <c r="HG284" s="198">
        <f>'[2]t&amp;t'!Z416</f>
        <v>11130.3</v>
      </c>
      <c r="HH284" s="198">
        <f>'[2]t&amp;t'!AA416</f>
        <v>11703.9</v>
      </c>
      <c r="HI284" s="198"/>
      <c r="HJ284" s="199">
        <f>'[2]t&amp;t'!AC416</f>
        <v>17928.300000000003</v>
      </c>
      <c r="HK284" s="197">
        <v>9720.5695288569586</v>
      </c>
      <c r="HL284" s="198">
        <v>1572.783005</v>
      </c>
      <c r="HM284" s="198">
        <v>981.51483600000006</v>
      </c>
      <c r="HN284" s="198">
        <v>165.76390000000001</v>
      </c>
      <c r="HO284" s="198">
        <v>3741.5794505769099</v>
      </c>
      <c r="HP284" s="198"/>
      <c r="HQ284" s="198">
        <f t="shared" si="37"/>
        <v>3258.9283372800483</v>
      </c>
      <c r="HR284" s="197">
        <v>195554.44200000001</v>
      </c>
      <c r="HS284" s="198">
        <v>17058.558000000001</v>
      </c>
      <c r="HT284" s="198">
        <v>66161.209000000003</v>
      </c>
      <c r="HU284" s="198">
        <v>29022.507000000001</v>
      </c>
      <c r="HV284" s="198">
        <v>39290.667999999998</v>
      </c>
      <c r="HW284" s="198">
        <v>7308.87</v>
      </c>
      <c r="HX284" s="198">
        <v>36712.629999999997</v>
      </c>
      <c r="HY284" s="198"/>
    </row>
    <row r="285" spans="1:233">
      <c r="A285" s="185" t="s">
        <v>492</v>
      </c>
      <c r="B285" s="197">
        <v>2952.9070000000002</v>
      </c>
      <c r="C285" s="198"/>
      <c r="D285" s="198"/>
      <c r="E285" s="198"/>
      <c r="F285" s="198"/>
      <c r="G285" s="198"/>
      <c r="H285" s="199"/>
      <c r="I285" s="197">
        <v>245731.4</v>
      </c>
      <c r="J285" s="198"/>
      <c r="K285" s="198"/>
      <c r="L285" s="198">
        <v>22038.5</v>
      </c>
      <c r="M285" s="198">
        <v>43463.3</v>
      </c>
      <c r="N285" s="198"/>
      <c r="O285" s="199">
        <f>[3]arg!$G151</f>
        <v>154826.1</v>
      </c>
      <c r="P285" s="198">
        <v>6919.1989999999996</v>
      </c>
      <c r="Q285" s="198">
        <v>36.957000000000001</v>
      </c>
      <c r="R285" s="198">
        <v>300.005</v>
      </c>
      <c r="S285" s="198">
        <v>430.54</v>
      </c>
      <c r="T285" s="198">
        <v>5135.1629999999996</v>
      </c>
      <c r="U285" s="198"/>
      <c r="V285" s="199">
        <f t="shared" si="22"/>
        <v>1016.5339999999997</v>
      </c>
      <c r="W285" s="198">
        <v>5675.518</v>
      </c>
      <c r="X285" s="198">
        <v>137.21199999999999</v>
      </c>
      <c r="Y285" s="198">
        <v>851.84947</v>
      </c>
      <c r="Z285" s="198">
        <v>278.69772999999998</v>
      </c>
      <c r="AA285" s="198">
        <v>2759.81718</v>
      </c>
      <c r="AB285" s="198"/>
      <c r="AC285" s="199">
        <f t="shared" si="33"/>
        <v>1647.9416200000005</v>
      </c>
      <c r="AD285" s="198"/>
      <c r="AE285" s="198">
        <v>44.037999999999997</v>
      </c>
      <c r="AF285" s="198">
        <v>367.351</v>
      </c>
      <c r="AG285" s="198">
        <v>647.42200000000003</v>
      </c>
      <c r="AH285" s="198">
        <v>381.67</v>
      </c>
      <c r="AI285" s="198">
        <v>70.549000000000007</v>
      </c>
      <c r="AJ285" s="198"/>
      <c r="AK285" s="197"/>
      <c r="AL285" s="198"/>
      <c r="AM285" s="198"/>
      <c r="AN285" s="198"/>
      <c r="AO285" s="198"/>
      <c r="AP285" s="198"/>
      <c r="AQ285" s="199"/>
      <c r="AR285" s="198">
        <v>1778035.9571386301</v>
      </c>
      <c r="AS285" s="198">
        <v>374581.74100666994</v>
      </c>
      <c r="AT285" s="198">
        <v>180976.58648584003</v>
      </c>
      <c r="AU285" s="198">
        <v>155785.32806780998</v>
      </c>
      <c r="AV285" s="198">
        <v>570827.05760915007</v>
      </c>
      <c r="AW285" s="198"/>
      <c r="AX285" s="198">
        <v>495865.24396916002</v>
      </c>
      <c r="AY285" s="197">
        <v>78976820</v>
      </c>
      <c r="AZ285" s="198"/>
      <c r="BA285" s="198">
        <v>48388580</v>
      </c>
      <c r="BB285" s="198">
        <v>20269116</v>
      </c>
      <c r="BC285" s="198">
        <v>10319124</v>
      </c>
      <c r="BD285" s="198"/>
      <c r="BE285" s="198"/>
      <c r="BF285" s="197">
        <v>186594873.74999997</v>
      </c>
      <c r="BG285" s="198"/>
      <c r="BH285" s="198">
        <v>117316232.77999996</v>
      </c>
      <c r="BI285" s="198">
        <v>12862214.23</v>
      </c>
      <c r="BJ285" s="198">
        <v>51320289.120000005</v>
      </c>
      <c r="BK285" s="198">
        <v>5096137.6199999992</v>
      </c>
      <c r="BL285" s="198"/>
      <c r="BM285" s="197">
        <v>9393913.9030000009</v>
      </c>
      <c r="BN285" s="198">
        <v>436721.41599999997</v>
      </c>
      <c r="BO285" s="198">
        <v>932367.84</v>
      </c>
      <c r="BP285" s="198">
        <v>3151218.1970000002</v>
      </c>
      <c r="BQ285" s="198">
        <v>2542799.0240000002</v>
      </c>
      <c r="BR285" s="198"/>
      <c r="BS285" s="198">
        <f t="shared" si="2"/>
        <v>2330807.4260000009</v>
      </c>
      <c r="BT285" s="197"/>
      <c r="BU285" s="198"/>
      <c r="BV285" s="198"/>
      <c r="BW285" s="198"/>
      <c r="BX285" s="198"/>
      <c r="BY285" s="198"/>
      <c r="BZ285" s="199"/>
      <c r="CA285" s="198">
        <v>855.08600000000001</v>
      </c>
      <c r="CB285" s="198"/>
      <c r="CC285" s="198"/>
      <c r="CD285" s="198"/>
      <c r="CE285" s="198"/>
      <c r="CF285" s="198"/>
      <c r="CG285" s="199"/>
      <c r="CH285" s="197">
        <v>18265260.247410003</v>
      </c>
      <c r="CI285" s="198"/>
      <c r="CJ285" s="198">
        <v>8096757.518769999</v>
      </c>
      <c r="CK285" s="198">
        <v>1866589.5035699997</v>
      </c>
      <c r="CL285" s="198">
        <v>6191894.5198100014</v>
      </c>
      <c r="CM285" s="198">
        <v>2110018.7052600002</v>
      </c>
      <c r="CN285" s="198"/>
      <c r="CO285" s="197">
        <v>8435.4504549000012</v>
      </c>
      <c r="CP285" s="198">
        <v>836.8168081</v>
      </c>
      <c r="CQ285" s="198">
        <v>1270.3771942300002</v>
      </c>
      <c r="CR285" s="198">
        <v>2144.1142644500001</v>
      </c>
      <c r="CS285" s="198">
        <v>2372.36574896</v>
      </c>
      <c r="CT285" s="198"/>
      <c r="CU285" s="198">
        <v>1811.7764391600024</v>
      </c>
      <c r="CV285" s="197">
        <v>2000.5039999999999</v>
      </c>
      <c r="CW285" s="198"/>
      <c r="CX285" s="198"/>
      <c r="CY285" s="198"/>
      <c r="CZ285" s="198"/>
      <c r="DA285" s="198"/>
      <c r="DB285" s="199"/>
      <c r="DC285" s="197">
        <v>83712.702999999994</v>
      </c>
      <c r="DD285" s="198">
        <v>8368.4750000000004</v>
      </c>
      <c r="DE285" s="198">
        <v>16814.185000000001</v>
      </c>
      <c r="DF285" s="198"/>
      <c r="DG285" s="198">
        <v>22904.300999999999</v>
      </c>
      <c r="DH285" s="198"/>
      <c r="DI285" s="198">
        <f t="shared" si="23"/>
        <v>35625.741999999991</v>
      </c>
      <c r="DJ285" s="197">
        <f>3314.2+72492.8</f>
        <v>75807</v>
      </c>
      <c r="DK285" s="198">
        <f>2315+13234.5</f>
        <v>15549.5</v>
      </c>
      <c r="DL285" s="198">
        <f>3111.2+18439.8</f>
        <v>21551</v>
      </c>
      <c r="DM285" s="198">
        <v>5405.1</v>
      </c>
      <c r="DN285" s="198">
        <f>18084.8-DM285</f>
        <v>12679.699999999999</v>
      </c>
      <c r="DO285" s="198"/>
      <c r="DP285" s="198">
        <f t="shared" si="38"/>
        <v>20621.700000000004</v>
      </c>
      <c r="DQ285" s="197"/>
      <c r="DR285" s="198"/>
      <c r="DS285" s="198"/>
      <c r="DT285" s="198"/>
      <c r="DU285" s="198"/>
      <c r="DV285" s="198"/>
      <c r="DW285" s="198"/>
      <c r="DX285" s="197">
        <v>143961.78766926</v>
      </c>
      <c r="DY285" s="198"/>
      <c r="DZ285" s="198">
        <v>91307.470669200004</v>
      </c>
      <c r="EA285" s="198">
        <v>27672.964952229999</v>
      </c>
      <c r="EB285" s="198">
        <v>21634.751166330003</v>
      </c>
      <c r="EC285" s="198">
        <v>1673.30044075</v>
      </c>
      <c r="ED285" s="198"/>
      <c r="EE285" s="197">
        <v>250696.035</v>
      </c>
      <c r="EF285" s="198">
        <v>8388.7459999999992</v>
      </c>
      <c r="EG285" s="198">
        <v>59427.112000000001</v>
      </c>
      <c r="EH285" s="198">
        <v>19976.490000000002</v>
      </c>
      <c r="EI285" s="198">
        <v>96799.892000000007</v>
      </c>
      <c r="EJ285" s="198"/>
      <c r="EK285" s="198">
        <f t="shared" si="34"/>
        <v>66103.794999999998</v>
      </c>
      <c r="EL285" s="197">
        <v>2236733.0112440004</v>
      </c>
      <c r="EM285" s="198">
        <v>1022115.129376</v>
      </c>
      <c r="EN285" s="198">
        <v>90712.387040000001</v>
      </c>
      <c r="EO285" s="198">
        <v>367079.31515599997</v>
      </c>
      <c r="EP285" s="198">
        <v>417030.38691099995</v>
      </c>
      <c r="EQ285" s="198"/>
      <c r="ER285" s="198">
        <v>339795.79276099999</v>
      </c>
      <c r="ES285" s="197">
        <v>45078.911999999997</v>
      </c>
      <c r="ET285" s="198">
        <v>5291.3</v>
      </c>
      <c r="EU285" s="198">
        <v>15806.8</v>
      </c>
      <c r="EV285" s="198">
        <v>7015.9</v>
      </c>
      <c r="EW285" s="198">
        <v>10778.3</v>
      </c>
      <c r="EX285" s="198"/>
      <c r="EY285" s="198">
        <f t="shared" si="24"/>
        <v>6186.6119999999974</v>
      </c>
      <c r="EZ285" s="197">
        <v>25988.206905110001</v>
      </c>
      <c r="FA285" s="198">
        <v>1536.8077403</v>
      </c>
      <c r="FB285" s="198">
        <v>7037.5317648299997</v>
      </c>
      <c r="FC285" s="198">
        <v>7040.6674627100001</v>
      </c>
      <c r="FD285" s="198">
        <v>5297.6330454600002</v>
      </c>
      <c r="FE285" s="198">
        <v>77.511705300000003</v>
      </c>
      <c r="FF285" s="198">
        <f t="shared" si="39"/>
        <v>5075.5668918100009</v>
      </c>
      <c r="FG285" s="197">
        <v>31714417.581002999</v>
      </c>
      <c r="FH285" s="198">
        <v>3032399.0831889999</v>
      </c>
      <c r="FI285" s="198">
        <v>6370635.0815209998</v>
      </c>
      <c r="FJ285" s="198"/>
      <c r="FK285" s="198">
        <v>4357761.4287240002</v>
      </c>
      <c r="FL285" s="198"/>
      <c r="FM285" s="198">
        <f t="shared" si="36"/>
        <v>17953621.987568997</v>
      </c>
      <c r="FN285" s="197">
        <v>117195.249874</v>
      </c>
      <c r="FO285" s="198">
        <v>21244.76773</v>
      </c>
      <c r="FP285" s="198">
        <v>17639.703861000002</v>
      </c>
      <c r="FQ285" s="198">
        <v>16921.123097</v>
      </c>
      <c r="FR285" s="198">
        <v>19693.427076</v>
      </c>
      <c r="FS285" s="198"/>
      <c r="FT285" s="199">
        <f t="shared" si="35"/>
        <v>41696.228110000004</v>
      </c>
      <c r="FU285" s="197"/>
      <c r="FV285" s="198"/>
      <c r="FW285" s="198"/>
      <c r="FX285" s="198"/>
      <c r="FY285" s="198"/>
      <c r="FZ285" s="198"/>
      <c r="GA285" s="199"/>
      <c r="GB285" s="197">
        <v>2449.2040000000002</v>
      </c>
      <c r="GC285" s="198"/>
      <c r="GD285" s="198"/>
      <c r="GE285" s="198"/>
      <c r="GF285" s="198"/>
      <c r="GG285" s="198"/>
      <c r="GH285" s="199"/>
      <c r="GI285" s="197">
        <v>1165.7629999999999</v>
      </c>
      <c r="GJ285" s="198"/>
      <c r="GK285" s="198"/>
      <c r="GL285" s="198"/>
      <c r="GM285" s="198"/>
      <c r="GN285" s="198"/>
      <c r="GO285" s="199"/>
      <c r="GP285" s="197">
        <v>4018.393</v>
      </c>
      <c r="GQ285" s="198"/>
      <c r="GR285" s="198"/>
      <c r="GS285" s="198"/>
      <c r="GT285" s="198"/>
      <c r="GU285" s="198"/>
      <c r="GV285" s="199"/>
      <c r="GW285" s="197">
        <f>[2]sur!P69</f>
        <v>3514.1</v>
      </c>
      <c r="GX285" s="198">
        <f>[2]sur!Q69</f>
        <v>262.89999999999998</v>
      </c>
      <c r="GY285" s="198">
        <f>[2]sur!R69</f>
        <v>816.2</v>
      </c>
      <c r="GZ285" s="198">
        <f>[2]sur!S69</f>
        <v>556.1</v>
      </c>
      <c r="HA285" s="198"/>
      <c r="HB285" s="198"/>
      <c r="HC285" s="199">
        <f>[2]sur!V69</f>
        <v>1878.8999999999996</v>
      </c>
      <c r="HD285" s="197"/>
      <c r="HE285" s="198"/>
      <c r="HF285" s="198"/>
      <c r="HG285" s="198"/>
      <c r="HH285" s="198"/>
      <c r="HI285" s="198"/>
      <c r="HJ285" s="199"/>
      <c r="HK285" s="197">
        <v>9911.8331633336402</v>
      </c>
      <c r="HL285" s="198">
        <v>1633.0519224499999</v>
      </c>
      <c r="HM285" s="198">
        <v>1053.35291336</v>
      </c>
      <c r="HN285" s="198">
        <v>172.64450142000001</v>
      </c>
      <c r="HO285" s="198">
        <v>3850.9745437205902</v>
      </c>
      <c r="HP285" s="198"/>
      <c r="HQ285" s="198">
        <f t="shared" si="37"/>
        <v>3201.8092823830493</v>
      </c>
      <c r="HR285" s="197">
        <v>199914.93</v>
      </c>
      <c r="HS285" s="198">
        <v>17305.615000000002</v>
      </c>
      <c r="HT285" s="198">
        <v>68724.154999999999</v>
      </c>
      <c r="HU285" s="198">
        <v>29556.364000000001</v>
      </c>
      <c r="HV285" s="198">
        <v>40074.932999999997</v>
      </c>
      <c r="HW285" s="198">
        <v>7341.1530000000002</v>
      </c>
      <c r="HX285" s="198">
        <v>36912.71</v>
      </c>
    </row>
    <row r="286" spans="1:233">
      <c r="A286" s="185" t="s">
        <v>493</v>
      </c>
      <c r="B286" s="197">
        <v>2946.547</v>
      </c>
      <c r="C286" s="198"/>
      <c r="D286" s="198"/>
      <c r="E286" s="198"/>
      <c r="F286" s="198"/>
      <c r="G286" s="198"/>
      <c r="H286" s="199"/>
      <c r="I286" s="197">
        <v>253777.6</v>
      </c>
      <c r="J286" s="198"/>
      <c r="K286" s="198"/>
      <c r="L286" s="198">
        <v>22544.3</v>
      </c>
      <c r="M286" s="198">
        <v>45029.599999999999</v>
      </c>
      <c r="N286" s="198"/>
      <c r="O286" s="199">
        <f>[3]arg!$G152</f>
        <v>161055.69999999998</v>
      </c>
      <c r="P286" s="198">
        <v>6909.4279999999999</v>
      </c>
      <c r="Q286" s="198">
        <v>36.119</v>
      </c>
      <c r="R286" s="198">
        <v>288.37800000000004</v>
      </c>
      <c r="S286" s="198">
        <v>431.79899999999998</v>
      </c>
      <c r="T286" s="198">
        <v>5154.4080000000004</v>
      </c>
      <c r="U286" s="198"/>
      <c r="V286" s="199">
        <f t="shared" si="22"/>
        <v>998.72400000000016</v>
      </c>
      <c r="W286" s="198">
        <v>5620.5910000000003</v>
      </c>
      <c r="X286" s="198">
        <v>135.654</v>
      </c>
      <c r="Y286" s="198">
        <v>841.22299999999996</v>
      </c>
      <c r="Z286" s="198">
        <v>276.822</v>
      </c>
      <c r="AA286" s="198">
        <v>2759.3150000000001</v>
      </c>
      <c r="AB286" s="198"/>
      <c r="AC286" s="199">
        <f t="shared" si="33"/>
        <v>1607.5769999999998</v>
      </c>
      <c r="AD286" s="198"/>
      <c r="AE286" s="198">
        <v>42.323999999999998</v>
      </c>
      <c r="AF286" s="198">
        <v>362.44499999999999</v>
      </c>
      <c r="AG286" s="198">
        <v>649.96</v>
      </c>
      <c r="AH286" s="198">
        <v>378.71800000000002</v>
      </c>
      <c r="AI286" s="198">
        <v>68.826999999999998</v>
      </c>
      <c r="AJ286" s="198"/>
      <c r="AK286" s="197"/>
      <c r="AL286" s="198"/>
      <c r="AM286" s="198"/>
      <c r="AN286" s="198"/>
      <c r="AO286" s="198"/>
      <c r="AP286" s="198"/>
      <c r="AQ286" s="199"/>
      <c r="AR286" s="198">
        <v>1806232.6892416102</v>
      </c>
      <c r="AS286" s="198">
        <v>378674.46618697001</v>
      </c>
      <c r="AT286" s="198">
        <v>183933.76777190002</v>
      </c>
      <c r="AU286" s="198">
        <v>161399.30158649999</v>
      </c>
      <c r="AV286" s="198">
        <v>580344.0333351302</v>
      </c>
      <c r="AW286" s="198"/>
      <c r="AX286" s="198">
        <v>501881.1203611102</v>
      </c>
      <c r="AY286" s="197">
        <v>80334402</v>
      </c>
      <c r="AZ286" s="198"/>
      <c r="BA286" s="198">
        <v>49477255</v>
      </c>
      <c r="BB286" s="198">
        <v>20475959</v>
      </c>
      <c r="BC286" s="198">
        <v>10381188</v>
      </c>
      <c r="BD286" s="198"/>
      <c r="BE286" s="198"/>
      <c r="BF286" s="197">
        <v>191153725.19999999</v>
      </c>
      <c r="BG286" s="198"/>
      <c r="BH286" s="198">
        <v>119789250.11999999</v>
      </c>
      <c r="BI286" s="198">
        <v>13341379.969999997</v>
      </c>
      <c r="BJ286" s="198">
        <v>52832128.140000015</v>
      </c>
      <c r="BK286" s="198">
        <v>5190966.97</v>
      </c>
      <c r="BL286" s="198"/>
      <c r="BM286" s="197">
        <v>9493406.3340000007</v>
      </c>
      <c r="BN286" s="198">
        <v>427921.83199999999</v>
      </c>
      <c r="BO286" s="198">
        <v>952872.53899999999</v>
      </c>
      <c r="BP286" s="198">
        <v>3228777.9569999999</v>
      </c>
      <c r="BQ286" s="198">
        <v>2531696.0120000001</v>
      </c>
      <c r="BR286" s="198"/>
      <c r="BS286" s="198">
        <f t="shared" si="2"/>
        <v>2352137.9940000009</v>
      </c>
      <c r="BT286" s="197"/>
      <c r="BU286" s="198"/>
      <c r="BV286" s="198"/>
      <c r="BW286" s="198"/>
      <c r="BX286" s="198"/>
      <c r="BY286" s="198"/>
      <c r="BZ286" s="199"/>
      <c r="CA286" s="198">
        <v>870.09100000000001</v>
      </c>
      <c r="CB286" s="198"/>
      <c r="CC286" s="198"/>
      <c r="CD286" s="198"/>
      <c r="CE286" s="198"/>
      <c r="CF286" s="198"/>
      <c r="CG286" s="199"/>
      <c r="CH286" s="197">
        <v>18524777.700150002</v>
      </c>
      <c r="CI286" s="198"/>
      <c r="CJ286" s="198">
        <v>8196038.202320002</v>
      </c>
      <c r="CK286" s="198">
        <v>1887447.57779</v>
      </c>
      <c r="CL286" s="198">
        <v>6296412.1842100006</v>
      </c>
      <c r="CM286" s="198">
        <v>2144879.7358299997</v>
      </c>
      <c r="CN286" s="198"/>
      <c r="CO286" s="197">
        <v>8396.1637105600021</v>
      </c>
      <c r="CP286" s="198">
        <v>797.77918138000007</v>
      </c>
      <c r="CQ286" s="198">
        <v>1266.5713653199998</v>
      </c>
      <c r="CR286" s="198">
        <v>2142.8074385499999</v>
      </c>
      <c r="CS286" s="198">
        <v>2382.7681394499996</v>
      </c>
      <c r="CT286" s="198"/>
      <c r="CU286" s="198">
        <v>1806.2375858600019</v>
      </c>
      <c r="CV286" s="197">
        <v>1994.0640000000001</v>
      </c>
      <c r="CW286" s="198"/>
      <c r="CX286" s="198"/>
      <c r="CY286" s="198"/>
      <c r="CZ286" s="198"/>
      <c r="DA286" s="198"/>
      <c r="DB286" s="199"/>
      <c r="DC286" s="197">
        <v>84942.006999999998</v>
      </c>
      <c r="DD286" s="198">
        <v>8855.6669999999995</v>
      </c>
      <c r="DE286" s="198">
        <v>16585.012999999999</v>
      </c>
      <c r="DF286" s="198"/>
      <c r="DG286" s="198">
        <v>23281.624</v>
      </c>
      <c r="DH286" s="198"/>
      <c r="DI286" s="198">
        <f t="shared" si="23"/>
        <v>36219.702999999994</v>
      </c>
      <c r="DJ286" s="197">
        <f>3286.6+73680.7</f>
        <v>76967.3</v>
      </c>
      <c r="DK286" s="198">
        <f>2311.5+13724.1</f>
        <v>16035.6</v>
      </c>
      <c r="DL286" s="198">
        <f>3117.1+18410.2</f>
        <v>21527.3</v>
      </c>
      <c r="DM286" s="198">
        <v>5463.2</v>
      </c>
      <c r="DN286" s="198">
        <f>18370.6-DM286</f>
        <v>12907.399999999998</v>
      </c>
      <c r="DO286" s="198"/>
      <c r="DP286" s="198">
        <f t="shared" si="38"/>
        <v>21033.800000000003</v>
      </c>
      <c r="DQ286" s="197"/>
      <c r="DR286" s="198"/>
      <c r="DS286" s="198"/>
      <c r="DT286" s="198"/>
      <c r="DU286" s="198"/>
      <c r="DV286" s="198"/>
      <c r="DW286" s="198"/>
      <c r="DX286" s="197">
        <v>145028.50844144</v>
      </c>
      <c r="DY286" s="198"/>
      <c r="DZ286" s="198">
        <v>92042.829813670003</v>
      </c>
      <c r="EA286" s="198">
        <v>27822.905236030005</v>
      </c>
      <c r="EB286" s="198">
        <v>21874.528736060001</v>
      </c>
      <c r="EC286" s="198">
        <v>1644.12232784</v>
      </c>
      <c r="ED286" s="198"/>
      <c r="EE286" s="197">
        <v>253959.49</v>
      </c>
      <c r="EF286" s="198">
        <v>8126.8879999999999</v>
      </c>
      <c r="EG286" s="198">
        <v>60352.303</v>
      </c>
      <c r="EH286" s="198">
        <v>20125.725999999999</v>
      </c>
      <c r="EI286" s="198">
        <v>97851.092000000004</v>
      </c>
      <c r="EJ286" s="198"/>
      <c r="EK286" s="198">
        <f t="shared" si="34"/>
        <v>67503.481</v>
      </c>
      <c r="EL286" s="197">
        <v>2246696.2892730003</v>
      </c>
      <c r="EM286" s="198">
        <v>1026731.1877440003</v>
      </c>
      <c r="EN286" s="198">
        <v>68756.654999999999</v>
      </c>
      <c r="EO286" s="198">
        <v>391669.9509370001</v>
      </c>
      <c r="EP286" s="198">
        <v>423860.18278000003</v>
      </c>
      <c r="EQ286" s="198"/>
      <c r="ER286" s="198">
        <v>335678.31281199999</v>
      </c>
      <c r="ES286" s="197">
        <v>45158.584615569998</v>
      </c>
      <c r="ET286" s="198">
        <v>5414.9178251900003</v>
      </c>
      <c r="EU286" s="198">
        <v>15497.549552459999</v>
      </c>
      <c r="EV286" s="198">
        <v>7074.9781239499998</v>
      </c>
      <c r="EW286" s="198">
        <v>10942.32233137</v>
      </c>
      <c r="EX286" s="198"/>
      <c r="EY286" s="198">
        <f t="shared" si="24"/>
        <v>6228.816782599999</v>
      </c>
      <c r="EZ286" s="197">
        <v>26148.848765530001</v>
      </c>
      <c r="FA286" s="198">
        <v>1519.1389485100001</v>
      </c>
      <c r="FB286" s="198">
        <v>7182.7132924699999</v>
      </c>
      <c r="FC286" s="198">
        <v>7097.5893669500001</v>
      </c>
      <c r="FD286" s="198">
        <v>5332.0302156500002</v>
      </c>
      <c r="FE286" s="198">
        <v>0</v>
      </c>
      <c r="FF286" s="198">
        <f t="shared" si="39"/>
        <v>5017.3769419499986</v>
      </c>
      <c r="FG286" s="197">
        <v>31924925.906911999</v>
      </c>
      <c r="FH286" s="198">
        <v>3160876.1073249998</v>
      </c>
      <c r="FI286" s="198">
        <v>6499103.7299099993</v>
      </c>
      <c r="FJ286" s="198"/>
      <c r="FK286" s="198">
        <v>4440581.1291220002</v>
      </c>
      <c r="FL286" s="198"/>
      <c r="FM286" s="198">
        <f t="shared" si="36"/>
        <v>17824364.940555003</v>
      </c>
      <c r="FN286" s="197">
        <v>119624.682778</v>
      </c>
      <c r="FO286" s="198">
        <v>22058.232432999997</v>
      </c>
      <c r="FP286" s="198">
        <v>17970.185204999998</v>
      </c>
      <c r="FQ286" s="198">
        <v>17126.147956000001</v>
      </c>
      <c r="FR286" s="198">
        <v>20185.994138000002</v>
      </c>
      <c r="FS286" s="198"/>
      <c r="FT286" s="199">
        <f t="shared" si="35"/>
        <v>42284.123046000001</v>
      </c>
      <c r="FU286" s="197"/>
      <c r="FV286" s="198"/>
      <c r="FW286" s="198"/>
      <c r="FX286" s="198"/>
      <c r="FY286" s="198"/>
      <c r="FZ286" s="198"/>
      <c r="GA286" s="199"/>
      <c r="GB286" s="197">
        <v>2482.9180000000001</v>
      </c>
      <c r="GC286" s="198"/>
      <c r="GD286" s="198"/>
      <c r="GE286" s="198"/>
      <c r="GF286" s="198"/>
      <c r="GG286" s="198"/>
      <c r="GH286" s="199"/>
      <c r="GI286" s="197">
        <v>1155.097</v>
      </c>
      <c r="GJ286" s="198"/>
      <c r="GK286" s="198"/>
      <c r="GL286" s="198"/>
      <c r="GM286" s="198"/>
      <c r="GN286" s="198"/>
      <c r="GO286" s="199"/>
      <c r="GP286" s="197">
        <v>4020.029</v>
      </c>
      <c r="GQ286" s="198"/>
      <c r="GR286" s="198"/>
      <c r="GS286" s="198"/>
      <c r="GT286" s="198"/>
      <c r="GU286" s="198"/>
      <c r="GV286" s="199"/>
      <c r="GW286" s="197">
        <f>[2]sur!P70</f>
        <v>3522.3</v>
      </c>
      <c r="GX286" s="198">
        <f>[2]sur!Q70</f>
        <v>264.2</v>
      </c>
      <c r="GY286" s="198">
        <f>[2]sur!R70</f>
        <v>829.1</v>
      </c>
      <c r="GZ286" s="198">
        <f>[2]sur!S70</f>
        <v>558.9</v>
      </c>
      <c r="HA286" s="198"/>
      <c r="HB286" s="198"/>
      <c r="HC286" s="199">
        <f>[2]sur!V70</f>
        <v>1870.1000000000001</v>
      </c>
      <c r="HD286" s="197"/>
      <c r="HE286" s="198"/>
      <c r="HF286" s="198"/>
      <c r="HG286" s="198"/>
      <c r="HH286" s="198"/>
      <c r="HI286" s="198"/>
      <c r="HJ286" s="199"/>
      <c r="HK286" s="197">
        <v>10190.7661023614</v>
      </c>
      <c r="HL286" s="198">
        <v>1686.0411980000001</v>
      </c>
      <c r="HM286" s="198">
        <v>1038.9012229999998</v>
      </c>
      <c r="HN286" s="198">
        <v>177.98261400000001</v>
      </c>
      <c r="HO286" s="198">
        <v>4007.0472363251997</v>
      </c>
      <c r="HP286" s="198"/>
      <c r="HQ286" s="198">
        <f t="shared" si="37"/>
        <v>3280.7938310362001</v>
      </c>
      <c r="HR286" s="197">
        <v>206569.399</v>
      </c>
      <c r="HS286" s="198">
        <v>17813.573</v>
      </c>
      <c r="HT286" s="198">
        <v>71243.577000000005</v>
      </c>
      <c r="HU286" s="198">
        <v>30293.29</v>
      </c>
      <c r="HV286" s="198">
        <v>41088.214</v>
      </c>
      <c r="HW286" s="198">
        <v>7521.54</v>
      </c>
      <c r="HX286" s="198">
        <v>38609.205000000002</v>
      </c>
    </row>
    <row r="287" spans="1:233">
      <c r="A287" s="185" t="s">
        <v>494</v>
      </c>
      <c r="B287" s="197">
        <v>2935.8829999999998</v>
      </c>
      <c r="C287" s="198">
        <v>51.387999999999998</v>
      </c>
      <c r="D287" s="198">
        <v>562.99699999999996</v>
      </c>
      <c r="E287" s="198">
        <v>786.07600000000002</v>
      </c>
      <c r="F287" s="198">
        <v>517.21799999999996</v>
      </c>
      <c r="G287" s="198"/>
      <c r="H287" s="199">
        <v>1018.204</v>
      </c>
      <c r="I287" s="197">
        <v>268273.09999999998</v>
      </c>
      <c r="J287" s="198"/>
      <c r="K287" s="198"/>
      <c r="L287" s="198">
        <v>23084.1</v>
      </c>
      <c r="M287" s="198">
        <v>46418.3</v>
      </c>
      <c r="N287" s="198"/>
      <c r="O287" s="199">
        <f>[3]arg!$G153</f>
        <v>169407.4</v>
      </c>
      <c r="P287" s="198">
        <v>7002.8019999999997</v>
      </c>
      <c r="Q287" s="198">
        <v>39.173000000000002</v>
      </c>
      <c r="R287" s="198">
        <v>306.91600000000005</v>
      </c>
      <c r="S287" s="198">
        <v>434.92200000000003</v>
      </c>
      <c r="T287" s="198">
        <v>5158.5330000000004</v>
      </c>
      <c r="U287" s="198"/>
      <c r="V287" s="199">
        <f t="shared" si="22"/>
        <v>1063.2579999999989</v>
      </c>
      <c r="W287" s="198">
        <v>5631.3540000000003</v>
      </c>
      <c r="X287" s="198">
        <v>139.15</v>
      </c>
      <c r="Y287" s="198">
        <v>850.68000000000006</v>
      </c>
      <c r="Z287" s="198">
        <v>274.24400000000003</v>
      </c>
      <c r="AA287" s="198">
        <v>2757.6779999999999</v>
      </c>
      <c r="AB287" s="198"/>
      <c r="AC287" s="199">
        <f t="shared" si="33"/>
        <v>1609.6020000000008</v>
      </c>
      <c r="AD287" s="198">
        <f>[1]datos!$S419</f>
        <v>2206.8510000000001</v>
      </c>
      <c r="AE287" s="198">
        <v>41.226999999999997</v>
      </c>
      <c r="AF287" s="198">
        <v>357.25500000000005</v>
      </c>
      <c r="AG287" s="198">
        <v>651.50199999999995</v>
      </c>
      <c r="AH287" s="198">
        <v>378.96</v>
      </c>
      <c r="AI287" s="198">
        <v>68.281000000000006</v>
      </c>
      <c r="AJ287" s="198">
        <f>AD287-AE287-AF287-AG287-AH287-AI287</f>
        <v>709.6260000000002</v>
      </c>
      <c r="AK287" s="197">
        <v>52681.86</v>
      </c>
      <c r="AL287" s="198">
        <v>22969.290960000002</v>
      </c>
      <c r="AM287" s="198"/>
      <c r="AN287" s="198">
        <v>10062.235259999999</v>
      </c>
      <c r="AO287" s="198">
        <v>7006.6873800000003</v>
      </c>
      <c r="AP287" s="198">
        <v>12643.6464</v>
      </c>
      <c r="AQ287" s="199"/>
      <c r="AR287" s="198">
        <v>1838994.4208702757</v>
      </c>
      <c r="AS287" s="198">
        <v>384518.31880232005</v>
      </c>
      <c r="AT287" s="198">
        <v>187598.18191198001</v>
      </c>
      <c r="AU287" s="198">
        <v>167445.48786435</v>
      </c>
      <c r="AV287" s="198">
        <v>587761.00990945019</v>
      </c>
      <c r="AW287" s="198"/>
      <c r="AX287" s="198">
        <v>511671.42238217557</v>
      </c>
      <c r="AY287" s="197">
        <v>81021153</v>
      </c>
      <c r="AZ287" s="198"/>
      <c r="BA287" s="198">
        <v>49814614</v>
      </c>
      <c r="BB287" s="198">
        <v>20715680</v>
      </c>
      <c r="BC287" s="198">
        <v>10490859</v>
      </c>
      <c r="BD287" s="198"/>
      <c r="BE287" s="198"/>
      <c r="BF287" s="197">
        <v>194072829.27000001</v>
      </c>
      <c r="BG287" s="198"/>
      <c r="BH287" s="198">
        <v>121209353.87000002</v>
      </c>
      <c r="BI287" s="198">
        <v>13563553.980000002</v>
      </c>
      <c r="BJ287" s="198">
        <v>54012313.499999993</v>
      </c>
      <c r="BK287" s="198">
        <v>5287607.92</v>
      </c>
      <c r="BL287" s="198"/>
      <c r="BM287" s="197">
        <v>9608524.8579999991</v>
      </c>
      <c r="BN287" s="198">
        <v>403353.53200000001</v>
      </c>
      <c r="BO287" s="198">
        <v>988658.84699999995</v>
      </c>
      <c r="BP287" s="198">
        <v>3265866.1370000001</v>
      </c>
      <c r="BQ287" s="198">
        <v>2606443.4649999999</v>
      </c>
      <c r="BR287" s="198"/>
      <c r="BS287" s="198">
        <f t="shared" si="2"/>
        <v>2344202.8769999994</v>
      </c>
      <c r="BT287" s="197"/>
      <c r="BU287" s="198"/>
      <c r="BV287" s="198"/>
      <c r="BW287" s="198"/>
      <c r="BX287" s="198"/>
      <c r="BY287" s="198"/>
      <c r="BZ287" s="199"/>
      <c r="CA287" s="198">
        <v>849.53800000000001</v>
      </c>
      <c r="CB287" s="198">
        <v>49.773000000000003</v>
      </c>
      <c r="CC287" s="198">
        <v>164.99600000000001</v>
      </c>
      <c r="CD287" s="198">
        <v>256.54000000000002</v>
      </c>
      <c r="CE287" s="198">
        <v>151.46199999999999</v>
      </c>
      <c r="CF287" s="198"/>
      <c r="CG287" s="199">
        <f>CA287-CB287-CC287-CD287-CE287</f>
        <v>226.767</v>
      </c>
      <c r="CH287" s="197">
        <v>18598031.304409996</v>
      </c>
      <c r="CI287" s="198"/>
      <c r="CJ287" s="198">
        <v>8274075.2737899963</v>
      </c>
      <c r="CK287" s="198">
        <v>1644779.65958</v>
      </c>
      <c r="CL287" s="198">
        <v>6486361.8296099994</v>
      </c>
      <c r="CM287" s="198">
        <v>2192814.5414299998</v>
      </c>
      <c r="CN287" s="198"/>
      <c r="CO287" s="197">
        <v>8373.2708075099999</v>
      </c>
      <c r="CP287" s="198">
        <v>811.00944192999998</v>
      </c>
      <c r="CQ287" s="198">
        <v>1262.2709142299998</v>
      </c>
      <c r="CR287" s="198">
        <v>2142.1077394200001</v>
      </c>
      <c r="CS287" s="198">
        <v>2384.0297590700002</v>
      </c>
      <c r="CT287" s="198"/>
      <c r="CU287" s="198">
        <v>1773.8529528599995</v>
      </c>
      <c r="CV287" s="197">
        <v>1990.2570000000001</v>
      </c>
      <c r="CW287" s="198">
        <v>33.277000000000001</v>
      </c>
      <c r="CX287" s="198">
        <v>317.77699999999999</v>
      </c>
      <c r="CY287" s="198">
        <v>668.375</v>
      </c>
      <c r="CZ287" s="198">
        <v>537.11199999999997</v>
      </c>
      <c r="DA287" s="198"/>
      <c r="DB287" s="199">
        <f>CV287-CW287-CX287-CY287-CZ287</f>
        <v>433.71600000000001</v>
      </c>
      <c r="DC287" s="197">
        <v>85905.728000000003</v>
      </c>
      <c r="DD287" s="198">
        <v>9259.777</v>
      </c>
      <c r="DE287" s="198">
        <v>16648.788</v>
      </c>
      <c r="DF287" s="198"/>
      <c r="DG287" s="198">
        <v>23507.898000000001</v>
      </c>
      <c r="DH287" s="198"/>
      <c r="DI287" s="198">
        <f t="shared" si="23"/>
        <v>36489.264999999999</v>
      </c>
      <c r="DJ287" s="197">
        <f>3248.1+73881.8</f>
        <v>77129.900000000009</v>
      </c>
      <c r="DK287" s="198">
        <f>2277.4+13131.7</f>
        <v>15409.1</v>
      </c>
      <c r="DL287" s="198">
        <f>2635.1+18905.2</f>
        <v>21540.3</v>
      </c>
      <c r="DM287" s="198">
        <v>5533.2</v>
      </c>
      <c r="DN287" s="198">
        <f>18783.7-DM287</f>
        <v>13250.5</v>
      </c>
      <c r="DO287" s="198"/>
      <c r="DP287" s="198">
        <f t="shared" si="38"/>
        <v>21396.80000000001</v>
      </c>
      <c r="DQ287" s="197"/>
      <c r="DR287" s="198"/>
      <c r="DS287" s="198"/>
      <c r="DT287" s="198"/>
      <c r="DU287" s="198"/>
      <c r="DV287" s="198"/>
      <c r="DW287" s="198"/>
      <c r="DX287" s="197">
        <v>146897.81074186001</v>
      </c>
      <c r="DY287" s="198"/>
      <c r="DZ287" s="198">
        <v>95247.126787789995</v>
      </c>
      <c r="EA287" s="198">
        <v>28213.426130020001</v>
      </c>
      <c r="EB287" s="198">
        <v>21841.923142110001</v>
      </c>
      <c r="EC287" s="198">
        <v>1595.3346819400001</v>
      </c>
      <c r="ED287" s="198"/>
      <c r="EE287" s="197">
        <v>253372.93400000001</v>
      </c>
      <c r="EF287" s="198">
        <v>8376.9619999999995</v>
      </c>
      <c r="EG287" s="198">
        <v>57488.256999999998</v>
      </c>
      <c r="EH287" s="198">
        <v>20023.671999999999</v>
      </c>
      <c r="EI287" s="198">
        <v>99769.505000000005</v>
      </c>
      <c r="EJ287" s="198"/>
      <c r="EK287" s="198">
        <f t="shared" si="34"/>
        <v>67714.53800000003</v>
      </c>
      <c r="EL287" s="197">
        <v>2242311.5327929999</v>
      </c>
      <c r="EM287" s="198">
        <v>1022234.89452</v>
      </c>
      <c r="EN287" s="198">
        <v>76950.135364000016</v>
      </c>
      <c r="EO287" s="198">
        <v>394897.72648600006</v>
      </c>
      <c r="EP287" s="198">
        <v>433103.88984299998</v>
      </c>
      <c r="EQ287" s="198"/>
      <c r="ER287" s="198">
        <v>315124.88657999999</v>
      </c>
      <c r="ES287" s="197">
        <v>45040.769845659997</v>
      </c>
      <c r="ET287" s="198">
        <v>5561.4297683799996</v>
      </c>
      <c r="EU287" s="198">
        <v>15160.12050166</v>
      </c>
      <c r="EV287" s="198">
        <v>7153.5637845399997</v>
      </c>
      <c r="EW287" s="198">
        <v>11033.76693193</v>
      </c>
      <c r="EX287" s="198"/>
      <c r="EY287" s="198">
        <f t="shared" si="24"/>
        <v>6131.8888591499963</v>
      </c>
      <c r="EZ287" s="197">
        <v>26742.966092179999</v>
      </c>
      <c r="FA287" s="198">
        <v>1503.71558762</v>
      </c>
      <c r="FB287" s="198">
        <v>7479.6542670999997</v>
      </c>
      <c r="FC287" s="198">
        <v>7162.1828111900004</v>
      </c>
      <c r="FD287" s="198">
        <v>5434.62572559</v>
      </c>
      <c r="FE287" s="198">
        <v>0</v>
      </c>
      <c r="FF287" s="198">
        <f t="shared" si="39"/>
        <v>5162.787700679999</v>
      </c>
      <c r="FG287" s="197">
        <v>31448630.082947996</v>
      </c>
      <c r="FH287" s="198">
        <v>3252071.317334</v>
      </c>
      <c r="FI287" s="198">
        <v>6673246.0267290007</v>
      </c>
      <c r="FJ287" s="198"/>
      <c r="FK287" s="198">
        <v>4511006.1862039994</v>
      </c>
      <c r="FL287" s="198"/>
      <c r="FM287" s="198">
        <f t="shared" si="36"/>
        <v>17012306.552680992</v>
      </c>
      <c r="FN287" s="197">
        <v>120342.29242299999</v>
      </c>
      <c r="FO287" s="198">
        <v>22356.588535999999</v>
      </c>
      <c r="FP287" s="198">
        <v>17864.988157</v>
      </c>
      <c r="FQ287" s="198">
        <v>17400.278401</v>
      </c>
      <c r="FR287" s="198">
        <v>20628.110355000001</v>
      </c>
      <c r="FS287" s="198"/>
      <c r="FT287" s="199">
        <f t="shared" si="35"/>
        <v>42092.326973999996</v>
      </c>
      <c r="FU287" s="197">
        <v>476809.94543092989</v>
      </c>
      <c r="FV287" s="198">
        <v>34237.537456909988</v>
      </c>
      <c r="FW287" s="198">
        <v>66907.432408770008</v>
      </c>
      <c r="FX287" s="198">
        <v>107839.44203173002</v>
      </c>
      <c r="FY287" s="198">
        <v>107613.09704586993</v>
      </c>
      <c r="FZ287" s="198"/>
      <c r="GA287" s="199">
        <f>FU287-FV287-FW287-FX287-FY287</f>
        <v>160212.43648764992</v>
      </c>
      <c r="GB287" s="197">
        <v>2473.7600000000002</v>
      </c>
      <c r="GC287" s="198">
        <v>27.032</v>
      </c>
      <c r="GD287" s="198">
        <v>254.07</v>
      </c>
      <c r="GE287" s="198">
        <v>465.00400000000002</v>
      </c>
      <c r="GF287" s="198">
        <v>433.46899999999999</v>
      </c>
      <c r="GG287" s="198"/>
      <c r="GH287" s="199">
        <f>GB287-GC287-GD287-GE287-GF287</f>
        <v>1294.1849999999999</v>
      </c>
      <c r="GI287" s="197">
        <v>1146.2470000000001</v>
      </c>
      <c r="GJ287" s="198">
        <v>47.225000000000001</v>
      </c>
      <c r="GK287" s="198">
        <v>177.328</v>
      </c>
      <c r="GL287" s="198">
        <v>371.178</v>
      </c>
      <c r="GM287" s="198">
        <v>277.29599999999999</v>
      </c>
      <c r="GN287" s="198"/>
      <c r="GO287" s="199">
        <f>GI287-GJ287-GK287-GL287-GM287</f>
        <v>273.2200000000002</v>
      </c>
      <c r="GP287" s="197">
        <v>3997.9639999999999</v>
      </c>
      <c r="GQ287" s="198">
        <v>101.29300000000001</v>
      </c>
      <c r="GR287" s="198">
        <v>1112.95</v>
      </c>
      <c r="GS287" s="198">
        <v>632.76</v>
      </c>
      <c r="GT287" s="198">
        <v>651.52499999999998</v>
      </c>
      <c r="GU287" s="198"/>
      <c r="GV287" s="199">
        <f>GP287-GQ287-GR287-GS287-GT287</f>
        <v>1499.4359999999992</v>
      </c>
      <c r="GW287" s="197">
        <f>[2]sur!P71</f>
        <v>3569</v>
      </c>
      <c r="GX287" s="198">
        <f>[2]sur!Q71</f>
        <v>261.7</v>
      </c>
      <c r="GY287" s="198">
        <f>[2]sur!R71</f>
        <v>847.59999999999991</v>
      </c>
      <c r="GZ287" s="198">
        <f>[2]sur!S71</f>
        <v>569.79999999999995</v>
      </c>
      <c r="HA287" s="198"/>
      <c r="HB287" s="198"/>
      <c r="HC287" s="199">
        <f>[2]sur!V71</f>
        <v>1889.8999999999996</v>
      </c>
      <c r="HD287" s="197">
        <f>'[2]t&amp;t'!W419</f>
        <v>46928.4</v>
      </c>
      <c r="HE287" s="198">
        <f>'[2]t&amp;t'!X419</f>
        <v>3082.2000000000003</v>
      </c>
      <c r="HF287" s="198">
        <f>'[2]t&amp;t'!Y419</f>
        <v>2856</v>
      </c>
      <c r="HG287" s="198">
        <f>'[2]t&amp;t'!Z419</f>
        <v>11317</v>
      </c>
      <c r="HH287" s="198">
        <f>'[2]t&amp;t'!AA419</f>
        <v>11712.000000000002</v>
      </c>
      <c r="HI287" s="198"/>
      <c r="HJ287" s="199">
        <f>'[2]t&amp;t'!AC419</f>
        <v>17961.199999999997</v>
      </c>
      <c r="HK287" s="197">
        <v>10593.610276649699</v>
      </c>
      <c r="HL287" s="198">
        <v>1743.5408270000003</v>
      </c>
      <c r="HM287" s="198">
        <v>1121.624335</v>
      </c>
      <c r="HN287" s="198">
        <v>179.573477</v>
      </c>
      <c r="HO287" s="198">
        <v>4059.5304204882004</v>
      </c>
      <c r="HP287" s="198"/>
      <c r="HQ287" s="198">
        <f t="shared" si="37"/>
        <v>3489.3412171614973</v>
      </c>
      <c r="HR287" s="197">
        <v>219551.568</v>
      </c>
      <c r="HS287" s="198">
        <v>20707.876</v>
      </c>
      <c r="HT287" s="198">
        <v>73895.399999999994</v>
      </c>
      <c r="HU287" s="198">
        <v>31850.834999999999</v>
      </c>
      <c r="HV287" s="198">
        <v>42033.811999999998</v>
      </c>
      <c r="HW287" s="198">
        <v>7712.2250000000004</v>
      </c>
      <c r="HX287" s="198">
        <v>43351.42</v>
      </c>
    </row>
    <row r="288" spans="1:233">
      <c r="A288" s="185" t="s">
        <v>495</v>
      </c>
      <c r="B288" s="197">
        <v>2905.5329999999999</v>
      </c>
      <c r="C288" s="198"/>
      <c r="D288" s="198"/>
      <c r="E288" s="198"/>
      <c r="F288" s="198"/>
      <c r="G288" s="198"/>
      <c r="H288" s="199"/>
      <c r="I288" s="197">
        <v>278628.5</v>
      </c>
      <c r="J288" s="198"/>
      <c r="K288" s="198"/>
      <c r="L288" s="198">
        <v>23680.6</v>
      </c>
      <c r="M288" s="198">
        <v>47880.4</v>
      </c>
      <c r="N288" s="198"/>
      <c r="O288" s="199">
        <f>[3]arg!$G154</f>
        <v>177416.8</v>
      </c>
      <c r="P288" s="198">
        <v>6997.1109999999999</v>
      </c>
      <c r="Q288" s="198">
        <v>37.828000000000003</v>
      </c>
      <c r="R288" s="198">
        <v>310.88800000000003</v>
      </c>
      <c r="S288" s="198">
        <v>429.71199999999999</v>
      </c>
      <c r="T288" s="198">
        <v>5159.1899999999996</v>
      </c>
      <c r="U288" s="198"/>
      <c r="V288" s="199">
        <f t="shared" si="22"/>
        <v>1059.4929999999995</v>
      </c>
      <c r="W288" s="198">
        <v>5609.16</v>
      </c>
      <c r="X288" s="198">
        <v>138.958</v>
      </c>
      <c r="Y288" s="198">
        <v>859.76400000000001</v>
      </c>
      <c r="Z288" s="198">
        <v>261.95400000000001</v>
      </c>
      <c r="AA288" s="198">
        <v>2768.0390000000002</v>
      </c>
      <c r="AB288" s="198"/>
      <c r="AC288" s="199">
        <f t="shared" si="33"/>
        <v>1580.4450000000002</v>
      </c>
      <c r="AD288" s="198"/>
      <c r="AE288" s="198">
        <v>38.834000000000003</v>
      </c>
      <c r="AF288" s="198">
        <v>357.08499999999998</v>
      </c>
      <c r="AG288" s="198">
        <v>655.19399999999996</v>
      </c>
      <c r="AH288" s="198">
        <v>386.48399999999998</v>
      </c>
      <c r="AI288" s="198">
        <v>65.317999999999998</v>
      </c>
      <c r="AJ288" s="198"/>
      <c r="AK288" s="197"/>
      <c r="AL288" s="198"/>
      <c r="AM288" s="198"/>
      <c r="AN288" s="198"/>
      <c r="AO288" s="198"/>
      <c r="AP288" s="198"/>
      <c r="AQ288" s="199"/>
      <c r="AR288" s="198">
        <v>1855937.56423764</v>
      </c>
      <c r="AS288" s="198">
        <v>387137.51516864996</v>
      </c>
      <c r="AT288" s="198">
        <v>189743.86859994003</v>
      </c>
      <c r="AU288" s="198">
        <v>173615.70944926</v>
      </c>
      <c r="AV288" s="198">
        <v>592779.24013281008</v>
      </c>
      <c r="AW288" s="198"/>
      <c r="AX288" s="198">
        <v>512661.23088697996</v>
      </c>
      <c r="AY288" s="197">
        <v>81793715</v>
      </c>
      <c r="AZ288" s="198"/>
      <c r="BA288" s="198">
        <v>50283406</v>
      </c>
      <c r="BB288" s="198">
        <v>20899876</v>
      </c>
      <c r="BC288" s="198">
        <v>10610433</v>
      </c>
      <c r="BD288" s="198"/>
      <c r="BE288" s="198"/>
      <c r="BF288" s="197">
        <v>197018046.91999999</v>
      </c>
      <c r="BG288" s="198"/>
      <c r="BH288" s="198">
        <v>122744693.87</v>
      </c>
      <c r="BI288" s="198">
        <v>13960833.289999999</v>
      </c>
      <c r="BJ288" s="198">
        <v>54934848.449999981</v>
      </c>
      <c r="BK288" s="198">
        <v>5377671.3099999996</v>
      </c>
      <c r="BL288" s="198"/>
      <c r="BM288" s="197">
        <v>9758625.9810000006</v>
      </c>
      <c r="BN288" s="198">
        <v>399675.16500000004</v>
      </c>
      <c r="BO288" s="198">
        <v>1001428.5110000001</v>
      </c>
      <c r="BP288" s="198">
        <v>3342386.9810000001</v>
      </c>
      <c r="BQ288" s="198">
        <v>2623184.1770000001</v>
      </c>
      <c r="BR288" s="198"/>
      <c r="BS288" s="198">
        <f t="shared" si="2"/>
        <v>2391951.1470000008</v>
      </c>
      <c r="BT288" s="197"/>
      <c r="BU288" s="198"/>
      <c r="BV288" s="198"/>
      <c r="BW288" s="198"/>
      <c r="BX288" s="198"/>
      <c r="BY288" s="198"/>
      <c r="BZ288" s="199"/>
      <c r="CA288" s="198">
        <v>867.44500000000005</v>
      </c>
      <c r="CB288" s="198"/>
      <c r="CC288" s="198"/>
      <c r="CD288" s="198"/>
      <c r="CE288" s="198"/>
      <c r="CF288" s="198"/>
      <c r="CG288" s="199"/>
      <c r="CH288" s="197">
        <v>19071386.912040003</v>
      </c>
      <c r="CI288" s="198"/>
      <c r="CJ288" s="198">
        <v>8382860.7490600012</v>
      </c>
      <c r="CK288" s="198">
        <v>1658949.8091599997</v>
      </c>
      <c r="CL288" s="198">
        <v>6720887.2188600004</v>
      </c>
      <c r="CM288" s="198">
        <v>2308689.1349600004</v>
      </c>
      <c r="CN288" s="198"/>
      <c r="CO288" s="197">
        <v>8409.0900389700018</v>
      </c>
      <c r="CP288" s="198">
        <v>809.14953654000021</v>
      </c>
      <c r="CQ288" s="198">
        <v>1262.9432105899998</v>
      </c>
      <c r="CR288" s="198">
        <v>2143.5932112999999</v>
      </c>
      <c r="CS288" s="198">
        <v>2393.7541931200003</v>
      </c>
      <c r="CT288" s="198"/>
      <c r="CU288" s="198">
        <v>1799.6498874200006</v>
      </c>
      <c r="CV288" s="197">
        <v>2006.346</v>
      </c>
      <c r="CW288" s="198"/>
      <c r="CX288" s="198"/>
      <c r="CY288" s="198"/>
      <c r="CZ288" s="198"/>
      <c r="DA288" s="198"/>
      <c r="DB288" s="199"/>
      <c r="DC288" s="197">
        <v>86767.941000000006</v>
      </c>
      <c r="DD288" s="198">
        <v>9549.6710000000003</v>
      </c>
      <c r="DE288" s="198">
        <v>16738.327000000001</v>
      </c>
      <c r="DF288" s="198"/>
      <c r="DG288" s="198">
        <v>23668.067999999999</v>
      </c>
      <c r="DH288" s="198"/>
      <c r="DI288" s="198">
        <f t="shared" si="23"/>
        <v>36811.875</v>
      </c>
      <c r="DJ288" s="197">
        <f>3297.6+75850.5</f>
        <v>79148.100000000006</v>
      </c>
      <c r="DK288" s="198">
        <f>2280.9+13916.7</f>
        <v>16197.6</v>
      </c>
      <c r="DL288" s="198">
        <f>2646.4+19345</f>
        <v>21991.4</v>
      </c>
      <c r="DM288" s="198">
        <v>5640.4</v>
      </c>
      <c r="DN288" s="198">
        <f>19110.3-DM288</f>
        <v>13469.9</v>
      </c>
      <c r="DO288" s="198"/>
      <c r="DP288" s="198">
        <f t="shared" si="38"/>
        <v>21848.800000000003</v>
      </c>
      <c r="DQ288" s="197"/>
      <c r="DR288" s="198"/>
      <c r="DS288" s="198"/>
      <c r="DT288" s="198"/>
      <c r="DU288" s="198"/>
      <c r="DV288" s="198"/>
      <c r="DW288" s="198"/>
      <c r="DX288" s="197">
        <v>148663.54645246002</v>
      </c>
      <c r="DY288" s="198"/>
      <c r="DZ288" s="198">
        <v>96764.547562199994</v>
      </c>
      <c r="EA288" s="198">
        <v>28344.450508630001</v>
      </c>
      <c r="EB288" s="198">
        <v>21940.460309229999</v>
      </c>
      <c r="EC288" s="198">
        <v>1614.0880723999999</v>
      </c>
      <c r="ED288" s="198"/>
      <c r="EE288" s="197">
        <v>255288.63</v>
      </c>
      <c r="EF288" s="198">
        <v>7187.884</v>
      </c>
      <c r="EG288" s="198">
        <v>58699.184999999998</v>
      </c>
      <c r="EH288" s="198">
        <v>20338.59</v>
      </c>
      <c r="EI288" s="198">
        <v>101451.264</v>
      </c>
      <c r="EJ288" s="198"/>
      <c r="EK288" s="198">
        <f t="shared" si="34"/>
        <v>67611.707000000024</v>
      </c>
      <c r="EL288" s="197">
        <v>2271649.9683670001</v>
      </c>
      <c r="EM288" s="198">
        <v>1049391.8725010001</v>
      </c>
      <c r="EN288" s="198">
        <v>66995.619672000001</v>
      </c>
      <c r="EO288" s="198">
        <v>397298.22582400002</v>
      </c>
      <c r="EP288" s="198">
        <v>441751.33448799996</v>
      </c>
      <c r="EQ288" s="198"/>
      <c r="ER288" s="198">
        <v>316212.915882</v>
      </c>
      <c r="ES288" s="197">
        <v>45759.433177786901</v>
      </c>
      <c r="ET288" s="198">
        <v>5498.6018000000004</v>
      </c>
      <c r="EU288" s="198">
        <v>15353.040199999999</v>
      </c>
      <c r="EV288" s="198">
        <v>7182.7875999999997</v>
      </c>
      <c r="EW288" s="198">
        <v>11206.191599999998</v>
      </c>
      <c r="EX288" s="198"/>
      <c r="EY288" s="198">
        <f t="shared" si="24"/>
        <v>6518.8119777869069</v>
      </c>
      <c r="EZ288" s="197">
        <v>27177.713136819999</v>
      </c>
      <c r="FA288" s="198">
        <v>1615.64307768</v>
      </c>
      <c r="FB288" s="198">
        <v>7667.89437894</v>
      </c>
      <c r="FC288" s="198">
        <v>7153.7440218700003</v>
      </c>
      <c r="FD288" s="198">
        <v>5477.5161024600002</v>
      </c>
      <c r="FE288" s="198">
        <v>0</v>
      </c>
      <c r="FF288" s="198">
        <f t="shared" si="39"/>
        <v>5262.9155558699986</v>
      </c>
      <c r="FG288" s="197">
        <v>31536571.845232997</v>
      </c>
      <c r="FH288" s="198">
        <v>3176909.7462630002</v>
      </c>
      <c r="FI288" s="198">
        <v>6584463.5630329996</v>
      </c>
      <c r="FJ288" s="198"/>
      <c r="FK288" s="198">
        <v>4582478.8497930001</v>
      </c>
      <c r="FL288" s="198"/>
      <c r="FM288" s="198">
        <f t="shared" si="36"/>
        <v>17192719.686143994</v>
      </c>
      <c r="FN288" s="197">
        <v>121230.305501</v>
      </c>
      <c r="FO288" s="198">
        <v>22472.646534000003</v>
      </c>
      <c r="FP288" s="198">
        <v>18308.834108999999</v>
      </c>
      <c r="FQ288" s="198">
        <v>17601.803640999999</v>
      </c>
      <c r="FR288" s="198">
        <v>20550.173412</v>
      </c>
      <c r="FS288" s="198"/>
      <c r="FT288" s="199">
        <f t="shared" si="35"/>
        <v>42296.847804999998</v>
      </c>
      <c r="FU288" s="197"/>
      <c r="FV288" s="198"/>
      <c r="FW288" s="198"/>
      <c r="FX288" s="198"/>
      <c r="FY288" s="198"/>
      <c r="FZ288" s="198"/>
      <c r="GA288" s="199"/>
      <c r="GB288" s="197">
        <v>2485.8020000000001</v>
      </c>
      <c r="GC288" s="198"/>
      <c r="GD288" s="198"/>
      <c r="GE288" s="198"/>
      <c r="GF288" s="198"/>
      <c r="GG288" s="198"/>
      <c r="GH288" s="199"/>
      <c r="GI288" s="197">
        <v>1136.047</v>
      </c>
      <c r="GJ288" s="198"/>
      <c r="GK288" s="198"/>
      <c r="GL288" s="198"/>
      <c r="GM288" s="198"/>
      <c r="GN288" s="198"/>
      <c r="GO288" s="199"/>
      <c r="GP288" s="197">
        <v>3998.547</v>
      </c>
      <c r="GQ288" s="198"/>
      <c r="GR288" s="198"/>
      <c r="GS288" s="198"/>
      <c r="GT288" s="198"/>
      <c r="GU288" s="198"/>
      <c r="GV288" s="199"/>
      <c r="GW288" s="197">
        <f>[2]sur!P72</f>
        <v>3611.7</v>
      </c>
      <c r="GX288" s="198">
        <f>[2]sur!Q72</f>
        <v>263</v>
      </c>
      <c r="GY288" s="198">
        <f>[2]sur!R72</f>
        <v>858</v>
      </c>
      <c r="GZ288" s="198">
        <f>[2]sur!S72</f>
        <v>573.1</v>
      </c>
      <c r="HA288" s="198"/>
      <c r="HB288" s="198"/>
      <c r="HC288" s="199">
        <f>[2]sur!V72</f>
        <v>1917.5999999999995</v>
      </c>
      <c r="HD288" s="197"/>
      <c r="HE288" s="198"/>
      <c r="HF288" s="198"/>
      <c r="HG288" s="198"/>
      <c r="HH288" s="198"/>
      <c r="HI288" s="198"/>
      <c r="HJ288" s="199"/>
      <c r="HK288" s="197">
        <v>10613.909625</v>
      </c>
      <c r="HL288" s="198">
        <v>1756.077344</v>
      </c>
      <c r="HM288" s="198">
        <v>1100.7782420000001</v>
      </c>
      <c r="HN288" s="198">
        <v>204.923959</v>
      </c>
      <c r="HO288" s="198">
        <v>4069.1807899999999</v>
      </c>
      <c r="HP288" s="198"/>
      <c r="HQ288" s="198">
        <f t="shared" si="37"/>
        <v>3482.9492900000009</v>
      </c>
      <c r="HR288" s="197">
        <v>227563.06899999999</v>
      </c>
      <c r="HS288" s="198">
        <v>21116.339</v>
      </c>
      <c r="HT288" s="198">
        <v>78326.076000000001</v>
      </c>
      <c r="HU288" s="198">
        <v>32412.43</v>
      </c>
      <c r="HV288" s="198">
        <v>42658.161</v>
      </c>
      <c r="HW288" s="198">
        <v>8076.1210000000001</v>
      </c>
      <c r="HX288" s="198">
        <v>44973.942000000003</v>
      </c>
    </row>
    <row r="289" spans="1:234">
      <c r="A289" s="185" t="s">
        <v>496</v>
      </c>
      <c r="B289" s="197">
        <v>2897.9920000000002</v>
      </c>
      <c r="C289" s="198"/>
      <c r="D289" s="198"/>
      <c r="E289" s="198"/>
      <c r="F289" s="198"/>
      <c r="G289" s="198"/>
      <c r="H289" s="199"/>
      <c r="I289" s="197">
        <v>287625.7</v>
      </c>
      <c r="J289" s="198"/>
      <c r="K289" s="198"/>
      <c r="L289" s="198">
        <v>24484</v>
      </c>
      <c r="M289" s="198">
        <v>50011.1</v>
      </c>
      <c r="N289" s="198"/>
      <c r="O289" s="199">
        <f>[3]arg!$G155</f>
        <v>183980.2</v>
      </c>
      <c r="P289" s="198">
        <v>6991.1170000000002</v>
      </c>
      <c r="Q289" s="198">
        <v>38.591999999999999</v>
      </c>
      <c r="R289" s="198">
        <v>312.04999999999995</v>
      </c>
      <c r="S289" s="198">
        <v>423.93</v>
      </c>
      <c r="T289" s="198">
        <v>5161.3540000000003</v>
      </c>
      <c r="U289" s="198"/>
      <c r="V289" s="199">
        <f t="shared" si="22"/>
        <v>1055.1909999999998</v>
      </c>
      <c r="W289" s="198">
        <v>5602.6980000000003</v>
      </c>
      <c r="X289" s="198">
        <v>139.221</v>
      </c>
      <c r="Y289" s="198">
        <v>858.95600000000002</v>
      </c>
      <c r="Z289" s="198">
        <v>262.24700000000001</v>
      </c>
      <c r="AA289" s="198">
        <v>2763.252</v>
      </c>
      <c r="AB289" s="198"/>
      <c r="AC289" s="199">
        <f t="shared" si="33"/>
        <v>1579.0220000000004</v>
      </c>
      <c r="AD289" s="198"/>
      <c r="AE289" s="198">
        <v>36.686999999999998</v>
      </c>
      <c r="AF289" s="198">
        <v>354.10499999999996</v>
      </c>
      <c r="AG289" s="198">
        <v>660.25599999999997</v>
      </c>
      <c r="AH289" s="198">
        <v>391.68900000000002</v>
      </c>
      <c r="AI289" s="198">
        <v>63.951000000000001</v>
      </c>
      <c r="AJ289" s="198"/>
      <c r="AK289" s="197"/>
      <c r="AL289" s="198"/>
      <c r="AM289" s="198"/>
      <c r="AN289" s="198"/>
      <c r="AO289" s="198"/>
      <c r="AP289" s="198"/>
      <c r="AQ289" s="199"/>
      <c r="AR289" s="198">
        <v>1890020.0387856101</v>
      </c>
      <c r="AS289" s="198">
        <v>391879.72615215002</v>
      </c>
      <c r="AT289" s="198">
        <v>192501.084867</v>
      </c>
      <c r="AU289" s="198">
        <v>180410.05890770999</v>
      </c>
      <c r="AV289" s="198">
        <v>601127.60806112026</v>
      </c>
      <c r="AW289" s="198"/>
      <c r="AX289" s="198">
        <v>524101.56079762999</v>
      </c>
      <c r="AY289" s="197">
        <v>83022007</v>
      </c>
      <c r="AZ289" s="198"/>
      <c r="BA289" s="198">
        <v>51149840</v>
      </c>
      <c r="BB289" s="198">
        <v>21071597</v>
      </c>
      <c r="BC289" s="198">
        <v>10800570</v>
      </c>
      <c r="BD289" s="198"/>
      <c r="BE289" s="198"/>
      <c r="BF289" s="197">
        <v>200492489.94</v>
      </c>
      <c r="BG289" s="198"/>
      <c r="BH289" s="198">
        <v>124553914.52</v>
      </c>
      <c r="BI289" s="198">
        <v>14430905.93</v>
      </c>
      <c r="BJ289" s="198">
        <v>56003966.540000007</v>
      </c>
      <c r="BK289" s="198">
        <v>5503702.9499999993</v>
      </c>
      <c r="BL289" s="198"/>
      <c r="BM289" s="197">
        <v>9916760.3760000002</v>
      </c>
      <c r="BN289" s="198">
        <v>405123.62199999997</v>
      </c>
      <c r="BO289" s="198">
        <v>1022294.975</v>
      </c>
      <c r="BP289" s="198">
        <v>3396187.4619999998</v>
      </c>
      <c r="BQ289" s="198">
        <v>2668688.2760000001</v>
      </c>
      <c r="BR289" s="198"/>
      <c r="BS289" s="198">
        <f t="shared" si="2"/>
        <v>2424466.0409999993</v>
      </c>
      <c r="BT289" s="197"/>
      <c r="BU289" s="198"/>
      <c r="BV289" s="198"/>
      <c r="BW289" s="198"/>
      <c r="BX289" s="198"/>
      <c r="BY289" s="198"/>
      <c r="BZ289" s="199"/>
      <c r="CA289" s="198">
        <v>876.04300000000001</v>
      </c>
      <c r="CB289" s="198"/>
      <c r="CC289" s="198"/>
      <c r="CD289" s="198"/>
      <c r="CE289" s="198"/>
      <c r="CF289" s="198"/>
      <c r="CG289" s="199"/>
      <c r="CH289" s="197">
        <v>19453007.812989999</v>
      </c>
      <c r="CI289" s="198"/>
      <c r="CJ289" s="198">
        <v>8469377.8421900012</v>
      </c>
      <c r="CK289" s="198">
        <v>1677532.1726700002</v>
      </c>
      <c r="CL289" s="198">
        <v>6923887.3945099991</v>
      </c>
      <c r="CM289" s="198">
        <v>2382210.40362</v>
      </c>
      <c r="CN289" s="198"/>
      <c r="CO289" s="197">
        <v>8381.4677721600019</v>
      </c>
      <c r="CP289" s="198">
        <v>777.5430730999999</v>
      </c>
      <c r="CQ289" s="198">
        <v>1235.5713800899996</v>
      </c>
      <c r="CR289" s="198">
        <v>2141.8201253499997</v>
      </c>
      <c r="CS289" s="198">
        <v>2410.0230795500011</v>
      </c>
      <c r="CT289" s="198"/>
      <c r="CU289" s="198">
        <v>1816.510114070001</v>
      </c>
      <c r="CV289" s="197">
        <v>1994.838</v>
      </c>
      <c r="CW289" s="198"/>
      <c r="CX289" s="198"/>
      <c r="CY289" s="198"/>
      <c r="CZ289" s="198"/>
      <c r="DA289" s="198"/>
      <c r="DB289" s="199"/>
      <c r="DC289" s="197">
        <v>87075.879000000001</v>
      </c>
      <c r="DD289" s="198">
        <v>9592.1479999999992</v>
      </c>
      <c r="DE289" s="198">
        <v>16951.901999999998</v>
      </c>
      <c r="DF289" s="198"/>
      <c r="DG289" s="198">
        <v>24043.486000000001</v>
      </c>
      <c r="DH289" s="198"/>
      <c r="DI289" s="198">
        <f t="shared" si="23"/>
        <v>36488.342999999993</v>
      </c>
      <c r="DJ289" s="197">
        <f>3078.3+78433</f>
        <v>81511.3</v>
      </c>
      <c r="DK289" s="198">
        <f>2259.2+14358.2</f>
        <v>16617.400000000001</v>
      </c>
      <c r="DL289" s="198">
        <f>2693.7+20874.1</f>
        <v>23567.8</v>
      </c>
      <c r="DM289" s="198">
        <v>5715.8</v>
      </c>
      <c r="DN289" s="198">
        <f>19360.8-DM289</f>
        <v>13645</v>
      </c>
      <c r="DO289" s="198"/>
      <c r="DP289" s="198">
        <f t="shared" si="38"/>
        <v>21965.300000000003</v>
      </c>
      <c r="DQ289" s="197"/>
      <c r="DR289" s="198"/>
      <c r="DS289" s="198"/>
      <c r="DT289" s="198"/>
      <c r="DU289" s="198"/>
      <c r="DV289" s="198"/>
      <c r="DW289" s="198"/>
      <c r="DX289" s="197">
        <v>149002.23657146</v>
      </c>
      <c r="DY289" s="198"/>
      <c r="DZ289" s="198">
        <v>96350.371961960016</v>
      </c>
      <c r="EA289" s="198">
        <v>28669.294702580002</v>
      </c>
      <c r="EB289" s="198">
        <v>22344.373106800002</v>
      </c>
      <c r="EC289" s="198">
        <v>1638.19680012</v>
      </c>
      <c r="ED289" s="198"/>
      <c r="EE289" s="197">
        <v>252781.05600000001</v>
      </c>
      <c r="EF289" s="198">
        <v>7413.4809999999998</v>
      </c>
      <c r="EG289" s="198">
        <v>58579.773999999998</v>
      </c>
      <c r="EH289" s="198">
        <v>20463.732</v>
      </c>
      <c r="EI289" s="198">
        <v>102973.95699999999</v>
      </c>
      <c r="EJ289" s="198"/>
      <c r="EK289" s="198">
        <f t="shared" si="34"/>
        <v>63350.112000000023</v>
      </c>
      <c r="EL289" s="197">
        <v>2298758.4036099995</v>
      </c>
      <c r="EM289" s="198">
        <v>1062835.753358</v>
      </c>
      <c r="EN289" s="198">
        <v>59712.650437000011</v>
      </c>
      <c r="EO289" s="198">
        <v>399874.22982499999</v>
      </c>
      <c r="EP289" s="198">
        <v>451414.695549</v>
      </c>
      <c r="EQ289" s="198"/>
      <c r="ER289" s="198">
        <v>324921.074441</v>
      </c>
      <c r="ES289" s="197">
        <v>46791.911104040002</v>
      </c>
      <c r="ET289" s="198">
        <v>5496.2836744099995</v>
      </c>
      <c r="EU289" s="198">
        <v>15673.56252766</v>
      </c>
      <c r="EV289" s="198">
        <v>7256.6937022299999</v>
      </c>
      <c r="EW289" s="198">
        <v>11362.334207759999</v>
      </c>
      <c r="EX289" s="198"/>
      <c r="EY289" s="198">
        <f t="shared" si="24"/>
        <v>7003.0369919800032</v>
      </c>
      <c r="EZ289" s="197">
        <v>27856.218214640001</v>
      </c>
      <c r="FA289" s="198">
        <v>1761.8398664199999</v>
      </c>
      <c r="FB289" s="198">
        <v>7951.8882785799997</v>
      </c>
      <c r="FC289" s="198">
        <v>7338.5604759400003</v>
      </c>
      <c r="FD289" s="198">
        <v>5502.14913032</v>
      </c>
      <c r="FE289" s="198">
        <v>0</v>
      </c>
      <c r="FF289" s="198">
        <f t="shared" si="39"/>
        <v>5301.7804633799988</v>
      </c>
      <c r="FG289" s="197">
        <v>32332768.301253002</v>
      </c>
      <c r="FH289" s="198">
        <v>3324889.2615459994</v>
      </c>
      <c r="FI289" s="198">
        <v>6717917.3923909999</v>
      </c>
      <c r="FJ289" s="198"/>
      <c r="FK289" s="198">
        <v>4716545.8618289996</v>
      </c>
      <c r="FL289" s="198"/>
      <c r="FM289" s="198">
        <f t="shared" si="36"/>
        <v>17573415.785487004</v>
      </c>
      <c r="FN289" s="197">
        <v>121852.474682</v>
      </c>
      <c r="FO289" s="198">
        <v>22333.663888999999</v>
      </c>
      <c r="FP289" s="198">
        <v>18362.970276</v>
      </c>
      <c r="FQ289" s="198">
        <v>17879.524506999998</v>
      </c>
      <c r="FR289" s="198">
        <v>21121.309839999998</v>
      </c>
      <c r="FS289" s="198"/>
      <c r="FT289" s="199">
        <f t="shared" si="35"/>
        <v>42155.006170000008</v>
      </c>
      <c r="FU289" s="197"/>
      <c r="FV289" s="198"/>
      <c r="FW289" s="198"/>
      <c r="FX289" s="198"/>
      <c r="FY289" s="198"/>
      <c r="FZ289" s="198"/>
      <c r="GA289" s="199"/>
      <c r="GB289" s="197">
        <v>2513.0390000000002</v>
      </c>
      <c r="GC289" s="198"/>
      <c r="GD289" s="198"/>
      <c r="GE289" s="198"/>
      <c r="GF289" s="198"/>
      <c r="GG289" s="198"/>
      <c r="GH289" s="199"/>
      <c r="GI289" s="197">
        <v>1125.556</v>
      </c>
      <c r="GJ289" s="198"/>
      <c r="GK289" s="198"/>
      <c r="GL289" s="198"/>
      <c r="GM289" s="198"/>
      <c r="GN289" s="198"/>
      <c r="GO289" s="199"/>
      <c r="GP289" s="197">
        <v>4026.5889999999999</v>
      </c>
      <c r="GQ289" s="198"/>
      <c r="GR289" s="198"/>
      <c r="GS289" s="198"/>
      <c r="GT289" s="198"/>
      <c r="GU289" s="198"/>
      <c r="GV289" s="199"/>
      <c r="GW289" s="197">
        <f>[2]sur!P73</f>
        <v>3636.4</v>
      </c>
      <c r="GX289" s="198">
        <f>[2]sur!Q73</f>
        <v>263.29999999999995</v>
      </c>
      <c r="GY289" s="198">
        <f>[2]sur!R73</f>
        <v>867.40000000000009</v>
      </c>
      <c r="GZ289" s="198">
        <f>[2]sur!S73</f>
        <v>580.80000000000007</v>
      </c>
      <c r="HA289" s="198"/>
      <c r="HB289" s="198"/>
      <c r="HC289" s="199">
        <f>[2]sur!V73</f>
        <v>1924.9</v>
      </c>
      <c r="HD289" s="197"/>
      <c r="HE289" s="198"/>
      <c r="HF289" s="198"/>
      <c r="HG289" s="198"/>
      <c r="HH289" s="198"/>
      <c r="HI289" s="198"/>
      <c r="HJ289" s="199"/>
      <c r="HK289" s="197">
        <v>10892.931903000001</v>
      </c>
      <c r="HL289" s="198">
        <v>1814.840985</v>
      </c>
      <c r="HM289" s="198">
        <v>1134.8394720000001</v>
      </c>
      <c r="HN289" s="198">
        <v>208.21291299999999</v>
      </c>
      <c r="HO289" s="198">
        <v>4089.5284770000003</v>
      </c>
      <c r="HP289" s="198"/>
      <c r="HQ289" s="198">
        <f t="shared" si="37"/>
        <v>3645.5100559999996</v>
      </c>
      <c r="HR289" s="197">
        <v>233939.52499999999</v>
      </c>
      <c r="HS289" s="198">
        <v>20972.972000000002</v>
      </c>
      <c r="HT289" s="198">
        <v>82759.104000000007</v>
      </c>
      <c r="HU289" s="198">
        <v>33141.944000000003</v>
      </c>
      <c r="HV289" s="198">
        <v>43367.311999999998</v>
      </c>
      <c r="HW289" s="198">
        <v>8225.3109999999997</v>
      </c>
      <c r="HX289" s="198">
        <v>45472.881999999998</v>
      </c>
    </row>
    <row r="290" spans="1:234">
      <c r="A290" s="185" t="s">
        <v>497</v>
      </c>
      <c r="B290" s="197">
        <v>2895.5201000000002</v>
      </c>
      <c r="C290" s="198">
        <v>49.158000000000001</v>
      </c>
      <c r="D290" s="198">
        <v>556.58100000000002</v>
      </c>
      <c r="E290" s="198">
        <v>766.5</v>
      </c>
      <c r="F290" s="198">
        <v>516.70309999999995</v>
      </c>
      <c r="G290" s="198"/>
      <c r="H290" s="199">
        <v>1006.578</v>
      </c>
      <c r="I290" s="197">
        <v>299914.09999999998</v>
      </c>
      <c r="J290" s="198"/>
      <c r="K290" s="198"/>
      <c r="L290" s="198">
        <v>25371.599999999999</v>
      </c>
      <c r="M290" s="198">
        <v>52211.1</v>
      </c>
      <c r="N290" s="198"/>
      <c r="O290" s="199">
        <f>[3]arg!$G156</f>
        <v>192025.8</v>
      </c>
      <c r="P290" s="198">
        <v>7021.0730000000003</v>
      </c>
      <c r="Q290" s="198">
        <v>33.423999999999999</v>
      </c>
      <c r="R290" s="198">
        <v>312.15699999999998</v>
      </c>
      <c r="S290" s="198">
        <v>422.08800000000002</v>
      </c>
      <c r="T290" s="198">
        <v>5170.3389999999999</v>
      </c>
      <c r="U290" s="198"/>
      <c r="V290" s="199">
        <f t="shared" si="22"/>
        <v>1083.0650000000005</v>
      </c>
      <c r="W290" s="198">
        <v>5600.6809999999996</v>
      </c>
      <c r="X290" s="198">
        <v>141.23500000000001</v>
      </c>
      <c r="Y290" s="198">
        <v>851.32499999999993</v>
      </c>
      <c r="Z290" s="198">
        <v>297.18</v>
      </c>
      <c r="AA290" s="198">
        <v>2737.56</v>
      </c>
      <c r="AB290" s="198"/>
      <c r="AC290" s="199">
        <f t="shared" si="33"/>
        <v>1573.3809999999999</v>
      </c>
      <c r="AD290" s="198">
        <f>[1]datos!$S422</f>
        <v>2201.1980000000003</v>
      </c>
      <c r="AE290" s="198">
        <v>39.392000000000003</v>
      </c>
      <c r="AF290" s="198">
        <v>360.15500000000003</v>
      </c>
      <c r="AG290" s="198">
        <v>655.47299999999996</v>
      </c>
      <c r="AH290" s="198">
        <v>390.63499999999999</v>
      </c>
      <c r="AI290" s="198">
        <v>65.924000000000007</v>
      </c>
      <c r="AJ290" s="198">
        <f>AD290-AE290-AF290-AG290-AH290-AI290</f>
        <v>689.6190000000006</v>
      </c>
      <c r="AK290" s="197">
        <v>55653.407999999996</v>
      </c>
      <c r="AL290" s="198">
        <v>24097.925663999999</v>
      </c>
      <c r="AM290" s="198"/>
      <c r="AN290" s="198">
        <v>10574.14752</v>
      </c>
      <c r="AO290" s="198">
        <v>7401.9032640000005</v>
      </c>
      <c r="AP290" s="198">
        <v>13579.431551999998</v>
      </c>
      <c r="AQ290" s="199"/>
      <c r="AR290" s="198">
        <v>1931177.5585628201</v>
      </c>
      <c r="AS290" s="198">
        <v>401864.38311154005</v>
      </c>
      <c r="AT290" s="198">
        <v>197068.39662076996</v>
      </c>
      <c r="AU290" s="198">
        <v>184458.34866262999</v>
      </c>
      <c r="AV290" s="198">
        <v>607262.71256285999</v>
      </c>
      <c r="AW290" s="198"/>
      <c r="AX290" s="198">
        <v>540523.71760502015</v>
      </c>
      <c r="AY290" s="197">
        <v>84895290</v>
      </c>
      <c r="AZ290" s="198"/>
      <c r="BA290" s="198">
        <v>52757305</v>
      </c>
      <c r="BB290" s="198">
        <v>21236329</v>
      </c>
      <c r="BC290" s="198">
        <v>10901656</v>
      </c>
      <c r="BD290" s="198"/>
      <c r="BE290" s="198"/>
      <c r="BF290" s="197">
        <v>204727332.59999996</v>
      </c>
      <c r="BG290" s="198"/>
      <c r="BH290" s="198">
        <v>127525437.08999997</v>
      </c>
      <c r="BI290" s="198">
        <v>14564657.029999999</v>
      </c>
      <c r="BJ290" s="198">
        <v>57009688.490000002</v>
      </c>
      <c r="BK290" s="198">
        <v>5627549.9899999984</v>
      </c>
      <c r="BL290" s="198"/>
      <c r="BM290" s="197">
        <v>10065136.467</v>
      </c>
      <c r="BN290" s="198">
        <v>371519.31499999994</v>
      </c>
      <c r="BO290" s="198">
        <v>1049881.2960000001</v>
      </c>
      <c r="BP290" s="198">
        <v>3458189.8629999999</v>
      </c>
      <c r="BQ290" s="198">
        <v>2718401.8149999999</v>
      </c>
      <c r="BR290" s="198"/>
      <c r="BS290" s="198">
        <f t="shared" si="2"/>
        <v>2467144.1780000012</v>
      </c>
      <c r="BT290" s="197"/>
      <c r="BU290" s="198"/>
      <c r="BV290" s="198"/>
      <c r="BW290" s="198"/>
      <c r="BX290" s="198"/>
      <c r="BY290" s="198"/>
      <c r="BZ290" s="199"/>
      <c r="CA290" s="198">
        <v>890.84699999999998</v>
      </c>
      <c r="CB290" s="198">
        <v>49.131</v>
      </c>
      <c r="CC290" s="198">
        <v>178.398</v>
      </c>
      <c r="CD290" s="198">
        <v>254.935</v>
      </c>
      <c r="CE290" s="198">
        <v>157.73400000000001</v>
      </c>
      <c r="CF290" s="198"/>
      <c r="CG290" s="199">
        <f>CA290-CB290-CC290-CD290-CE290</f>
        <v>250.64899999999997</v>
      </c>
      <c r="CH290" s="197">
        <v>19811914.503480002</v>
      </c>
      <c r="CI290" s="198"/>
      <c r="CJ290" s="198">
        <v>8597092.8330800012</v>
      </c>
      <c r="CK290" s="198">
        <v>1692075.7571999999</v>
      </c>
      <c r="CL290" s="198">
        <v>7092322.3054400003</v>
      </c>
      <c r="CM290" s="198">
        <v>2430423.60776</v>
      </c>
      <c r="CN290" s="198"/>
      <c r="CO290" s="197">
        <v>8444.108251560001</v>
      </c>
      <c r="CP290" s="198">
        <v>788.97140948000003</v>
      </c>
      <c r="CQ290" s="198">
        <v>1232.5219388099999</v>
      </c>
      <c r="CR290" s="198">
        <v>2137.7197625500003</v>
      </c>
      <c r="CS290" s="198">
        <v>2423.7908357900001</v>
      </c>
      <c r="CT290" s="198"/>
      <c r="CU290" s="198">
        <v>1861.1043049300006</v>
      </c>
      <c r="CV290" s="197">
        <v>2013.0350000000001</v>
      </c>
      <c r="CW290" s="198">
        <v>32.448999999999998</v>
      </c>
      <c r="CX290" s="198">
        <v>369.303</v>
      </c>
      <c r="CY290" s="198">
        <v>665.04899999999998</v>
      </c>
      <c r="CZ290" s="198">
        <v>541.78200000000004</v>
      </c>
      <c r="DA290" s="198"/>
      <c r="DB290" s="199">
        <f>CV290-CW290-CX290-CY290-CZ290</f>
        <v>404.45199999999988</v>
      </c>
      <c r="DC290" s="197">
        <v>88899.025999999998</v>
      </c>
      <c r="DD290" s="198">
        <v>10606.602999999999</v>
      </c>
      <c r="DE290" s="198">
        <v>17133.113000000001</v>
      </c>
      <c r="DF290" s="198"/>
      <c r="DG290" s="198">
        <v>24436.195</v>
      </c>
      <c r="DH290" s="198"/>
      <c r="DI290" s="198">
        <f t="shared" si="23"/>
        <v>36723.114999999998</v>
      </c>
      <c r="DJ290" s="197">
        <f>3289+80615.3</f>
        <v>83904.3</v>
      </c>
      <c r="DK290" s="198">
        <f>2239.3+14596.2</f>
        <v>16835.5</v>
      </c>
      <c r="DL290" s="198">
        <f>2982.1+20389</f>
        <v>23371.1</v>
      </c>
      <c r="DM290" s="198">
        <v>5876.9</v>
      </c>
      <c r="DN290" s="198">
        <f>19879.6-DM290</f>
        <v>14002.699999999999</v>
      </c>
      <c r="DO290" s="198"/>
      <c r="DP290" s="198">
        <f t="shared" si="38"/>
        <v>23818.100000000006</v>
      </c>
      <c r="DQ290" s="197"/>
      <c r="DR290" s="198"/>
      <c r="DS290" s="198"/>
      <c r="DT290" s="198"/>
      <c r="DU290" s="198"/>
      <c r="DV290" s="198"/>
      <c r="DW290" s="198"/>
      <c r="DX290" s="197">
        <v>151324.26909260996</v>
      </c>
      <c r="DY290" s="198"/>
      <c r="DZ290" s="198">
        <v>97909.625568119969</v>
      </c>
      <c r="EA290" s="198">
        <v>29051.269791640003</v>
      </c>
      <c r="EB290" s="198">
        <v>22719.96372263</v>
      </c>
      <c r="EC290" s="198">
        <v>1643.41001022</v>
      </c>
      <c r="ED290" s="198"/>
      <c r="EE290" s="197">
        <v>253683.09599999999</v>
      </c>
      <c r="EF290" s="198">
        <v>7792.7020000000002</v>
      </c>
      <c r="EG290" s="198">
        <v>58936.446000000004</v>
      </c>
      <c r="EH290" s="198">
        <v>19815.892</v>
      </c>
      <c r="EI290" s="198">
        <v>104685.485</v>
      </c>
      <c r="EJ290" s="198"/>
      <c r="EK290" s="198">
        <f t="shared" si="34"/>
        <v>62452.571000000011</v>
      </c>
      <c r="EL290" s="197">
        <v>2356727.6782880002</v>
      </c>
      <c r="EM290" s="198">
        <v>1096613.7775529996</v>
      </c>
      <c r="EN290" s="198">
        <v>70899.185759000015</v>
      </c>
      <c r="EO290" s="198">
        <v>402117.06672299991</v>
      </c>
      <c r="EP290" s="198">
        <v>462368.77968499996</v>
      </c>
      <c r="EQ290" s="198"/>
      <c r="ER290" s="198">
        <v>324728.86856799998</v>
      </c>
      <c r="ES290" s="197">
        <v>48277.560859010016</v>
      </c>
      <c r="ET290" s="198">
        <v>5845.5971113100004</v>
      </c>
      <c r="EU290" s="198">
        <v>16119.6124901</v>
      </c>
      <c r="EV290" s="198">
        <v>7327.1006221099997</v>
      </c>
      <c r="EW290" s="198">
        <v>11557.37784897002</v>
      </c>
      <c r="EX290" s="198"/>
      <c r="EY290" s="198">
        <f t="shared" si="24"/>
        <v>7427.8727865199944</v>
      </c>
      <c r="EZ290" s="197">
        <v>28463.54941743</v>
      </c>
      <c r="FA290" s="198">
        <v>1825.7735858599999</v>
      </c>
      <c r="FB290" s="198">
        <v>8182.0286057200001</v>
      </c>
      <c r="FC290" s="198">
        <v>7393.5838323500102</v>
      </c>
      <c r="FD290" s="198">
        <v>5534.8858319000001</v>
      </c>
      <c r="FE290" s="198">
        <v>0</v>
      </c>
      <c r="FF290" s="198">
        <f t="shared" si="39"/>
        <v>5527.2775615999917</v>
      </c>
      <c r="FG290" s="197">
        <v>34183272.532990001</v>
      </c>
      <c r="FH290" s="198">
        <v>3313824.7485330002</v>
      </c>
      <c r="FI290" s="198">
        <v>7670809.6301959995</v>
      </c>
      <c r="FJ290" s="198"/>
      <c r="FK290" s="198">
        <v>5407328.134904</v>
      </c>
      <c r="FL290" s="198"/>
      <c r="FM290" s="198">
        <f t="shared" si="36"/>
        <v>17791310.019357</v>
      </c>
      <c r="FN290" s="197">
        <v>123725.59921299999</v>
      </c>
      <c r="FO290" s="198">
        <v>22195.904945999999</v>
      </c>
      <c r="FP290" s="198">
        <v>18566.980872</v>
      </c>
      <c r="FQ290" s="198">
        <v>18406.80416</v>
      </c>
      <c r="FR290" s="198">
        <v>21512.697314000001</v>
      </c>
      <c r="FS290" s="198"/>
      <c r="FT290" s="199">
        <f t="shared" si="35"/>
        <v>43043.211920999995</v>
      </c>
      <c r="FU290" s="197">
        <v>479248.06597607012</v>
      </c>
      <c r="FV290" s="198">
        <v>35029.38253978001</v>
      </c>
      <c r="FW290" s="198">
        <v>70585.962019879982</v>
      </c>
      <c r="FX290" s="198">
        <v>111315.72803247996</v>
      </c>
      <c r="FY290" s="198">
        <v>109297.91087619014</v>
      </c>
      <c r="FZ290" s="198"/>
      <c r="GA290" s="199">
        <f>FU290-FV290-FW290-FX290-FY290</f>
        <v>153019.08250774004</v>
      </c>
      <c r="GB290" s="197">
        <v>2507.779</v>
      </c>
      <c r="GC290" s="198">
        <v>28.634</v>
      </c>
      <c r="GD290" s="198">
        <v>258.35399999999998</v>
      </c>
      <c r="GE290" s="198">
        <v>493.988</v>
      </c>
      <c r="GF290" s="198">
        <v>424.20400000000001</v>
      </c>
      <c r="GG290" s="198"/>
      <c r="GH290" s="199">
        <f>GB290-GC290-GD290-GE290-GF290</f>
        <v>1302.5990000000002</v>
      </c>
      <c r="GI290" s="197">
        <v>1128.3330000000001</v>
      </c>
      <c r="GJ290" s="198">
        <v>42.308999999999997</v>
      </c>
      <c r="GK290" s="198">
        <v>174.27500000000001</v>
      </c>
      <c r="GL290" s="198">
        <v>372.29599999999999</v>
      </c>
      <c r="GM290" s="198">
        <v>279.19299999999998</v>
      </c>
      <c r="GN290" s="198"/>
      <c r="GO290" s="199">
        <f>GI290-GJ290-GK290-GL290-GM290</f>
        <v>260.26000000000022</v>
      </c>
      <c r="GP290" s="197">
        <v>4041.598</v>
      </c>
      <c r="GQ290" s="198">
        <v>100.858</v>
      </c>
      <c r="GR290" s="198">
        <v>1119.067</v>
      </c>
      <c r="GS290" s="198">
        <v>643.25099999999998</v>
      </c>
      <c r="GT290" s="198">
        <v>671.125</v>
      </c>
      <c r="GU290" s="198"/>
      <c r="GV290" s="199">
        <f>GP290-GQ290-GR290-GS290-GT290</f>
        <v>1507.2969999999996</v>
      </c>
      <c r="GW290" s="197">
        <f>[2]sur!P74</f>
        <v>3675.3999999999996</v>
      </c>
      <c r="GX290" s="198">
        <f>[2]sur!Q74</f>
        <v>269.89999999999998</v>
      </c>
      <c r="GY290" s="198">
        <f>[2]sur!R74</f>
        <v>885.9</v>
      </c>
      <c r="GZ290" s="198">
        <f>[2]sur!S74</f>
        <v>582.79999999999995</v>
      </c>
      <c r="HA290" s="198"/>
      <c r="HB290" s="198"/>
      <c r="HC290" s="199">
        <f>[2]sur!V74</f>
        <v>1936.7999999999997</v>
      </c>
      <c r="HD290" s="197">
        <f>'[2]t&amp;t'!W422</f>
        <v>48398.1</v>
      </c>
      <c r="HE290" s="198">
        <f>'[2]t&amp;t'!X422</f>
        <v>3265.5</v>
      </c>
      <c r="HF290" s="198">
        <f>'[2]t&amp;t'!Y422</f>
        <v>2997.4</v>
      </c>
      <c r="HG290" s="198">
        <f>'[2]t&amp;t'!Z422</f>
        <v>11664.8</v>
      </c>
      <c r="HH290" s="198">
        <f>'[2]t&amp;t'!AA422</f>
        <v>11561.999999999998</v>
      </c>
      <c r="HI290" s="198"/>
      <c r="HJ290" s="199">
        <f>'[2]t&amp;t'!AC422</f>
        <v>18908.400000000001</v>
      </c>
      <c r="HK290" s="197">
        <v>10583.982485999999</v>
      </c>
      <c r="HL290" s="198">
        <v>1805.7348750000001</v>
      </c>
      <c r="HM290" s="198">
        <v>1148.3265000000001</v>
      </c>
      <c r="HN290" s="198">
        <v>215.96989300000001</v>
      </c>
      <c r="HO290" s="198">
        <v>3846.8530230000001</v>
      </c>
      <c r="HP290" s="198"/>
      <c r="HQ290" s="198">
        <f t="shared" si="37"/>
        <v>3567.0981949999982</v>
      </c>
      <c r="HR290" s="197">
        <v>242441.07800000001</v>
      </c>
      <c r="HS290" s="198">
        <v>22498.794999999998</v>
      </c>
      <c r="HT290" s="198">
        <v>85995.861000000004</v>
      </c>
      <c r="HU290" s="198">
        <v>34111.951000000001</v>
      </c>
      <c r="HV290" s="198">
        <v>44660.550999999999</v>
      </c>
      <c r="HW290" s="198">
        <v>8772.4940000000006</v>
      </c>
      <c r="HX290" s="198">
        <v>46401.425999999999</v>
      </c>
    </row>
    <row r="291" spans="1:234">
      <c r="A291" s="185" t="s">
        <v>498</v>
      </c>
      <c r="B291" s="197">
        <v>2903.44</v>
      </c>
      <c r="C291" s="198"/>
      <c r="D291" s="198"/>
      <c r="E291" s="198"/>
      <c r="F291" s="198"/>
      <c r="G291" s="198"/>
      <c r="H291" s="199"/>
      <c r="I291" s="197">
        <v>309900.2</v>
      </c>
      <c r="J291" s="198"/>
      <c r="K291" s="198"/>
      <c r="L291" s="198">
        <v>26319.7</v>
      </c>
      <c r="M291" s="198">
        <v>54467.4</v>
      </c>
      <c r="N291" s="198"/>
      <c r="O291" s="199">
        <f>[3]arg!$G157</f>
        <v>198651.1</v>
      </c>
      <c r="P291" s="198">
        <v>7069.0339999999997</v>
      </c>
      <c r="Q291" s="198">
        <v>36.741</v>
      </c>
      <c r="R291" s="198">
        <v>312.69599999999997</v>
      </c>
      <c r="S291" s="198">
        <v>417.79700000000003</v>
      </c>
      <c r="T291" s="198">
        <v>5175.45</v>
      </c>
      <c r="U291" s="198"/>
      <c r="V291" s="199">
        <f t="shared" si="22"/>
        <v>1126.3499999999995</v>
      </c>
      <c r="W291" s="198">
        <v>5628.1120000000001</v>
      </c>
      <c r="X291" s="198">
        <v>146.52799999999999</v>
      </c>
      <c r="Y291" s="198">
        <v>865.39499999999998</v>
      </c>
      <c r="Z291" s="198">
        <v>286.79399999999998</v>
      </c>
      <c r="AA291" s="198">
        <v>2768.4989999999998</v>
      </c>
      <c r="AB291" s="198"/>
      <c r="AC291" s="199">
        <f t="shared" si="33"/>
        <v>1560.8960000000006</v>
      </c>
      <c r="AD291" s="198"/>
      <c r="AE291" s="198">
        <v>39.509</v>
      </c>
      <c r="AF291" s="198">
        <v>362.33299999999997</v>
      </c>
      <c r="AG291" s="198">
        <v>652.35</v>
      </c>
      <c r="AH291" s="198">
        <v>391.80900000000003</v>
      </c>
      <c r="AI291" s="198">
        <v>65.584999999999994</v>
      </c>
      <c r="AJ291" s="198"/>
      <c r="AK291" s="197"/>
      <c r="AL291" s="198"/>
      <c r="AM291" s="198"/>
      <c r="AN291" s="198"/>
      <c r="AO291" s="198"/>
      <c r="AP291" s="198"/>
      <c r="AQ291" s="199"/>
      <c r="AR291" s="198">
        <v>1946489.9572944599</v>
      </c>
      <c r="AS291" s="198">
        <v>403581.71190875</v>
      </c>
      <c r="AT291" s="198">
        <v>198160.20575779999</v>
      </c>
      <c r="AU291" s="198">
        <v>189633.38855244001</v>
      </c>
      <c r="AV291" s="198">
        <v>621945.12792286999</v>
      </c>
      <c r="AW291" s="198"/>
      <c r="AX291" s="198">
        <v>533169.52315259981</v>
      </c>
      <c r="AY291" s="197">
        <v>85583163</v>
      </c>
      <c r="AZ291" s="198"/>
      <c r="BA291" s="198">
        <v>53134644</v>
      </c>
      <c r="BB291" s="198">
        <v>21432332</v>
      </c>
      <c r="BC291" s="198">
        <v>11016187</v>
      </c>
      <c r="BD291" s="198"/>
      <c r="BE291" s="198"/>
      <c r="BF291" s="197">
        <v>207201424.63999999</v>
      </c>
      <c r="BG291" s="198"/>
      <c r="BH291" s="198">
        <v>128498373.42000002</v>
      </c>
      <c r="BI291" s="198">
        <v>14992631.290000001</v>
      </c>
      <c r="BJ291" s="198">
        <v>57933734.499999985</v>
      </c>
      <c r="BK291" s="198">
        <v>5776685.4299999988</v>
      </c>
      <c r="BL291" s="198"/>
      <c r="BM291" s="197">
        <v>10224926.734999999</v>
      </c>
      <c r="BN291" s="198">
        <v>384930.158</v>
      </c>
      <c r="BO291" s="198">
        <v>1072223.6170000001</v>
      </c>
      <c r="BP291" s="198">
        <v>3538211.56</v>
      </c>
      <c r="BQ291" s="198">
        <v>2728711.219</v>
      </c>
      <c r="BR291" s="198"/>
      <c r="BS291" s="198">
        <f t="shared" si="2"/>
        <v>2500850.1809999999</v>
      </c>
      <c r="BT291" s="197"/>
      <c r="BU291" s="198"/>
      <c r="BV291" s="198"/>
      <c r="BW291" s="198"/>
      <c r="BX291" s="198"/>
      <c r="BY291" s="198"/>
      <c r="BZ291" s="199"/>
      <c r="CA291" s="198">
        <v>892.02499999999998</v>
      </c>
      <c r="CB291" s="198"/>
      <c r="CC291" s="198"/>
      <c r="CD291" s="198"/>
      <c r="CE291" s="198"/>
      <c r="CF291" s="198"/>
      <c r="CG291" s="199"/>
      <c r="CH291" s="197">
        <v>20165651.66584</v>
      </c>
      <c r="CI291" s="198"/>
      <c r="CJ291" s="198">
        <v>8758350.1927799992</v>
      </c>
      <c r="CK291" s="198">
        <v>1714761.0929099999</v>
      </c>
      <c r="CL291" s="198">
        <v>7234684.5001000008</v>
      </c>
      <c r="CM291" s="198">
        <v>2457855.8800499998</v>
      </c>
      <c r="CN291" s="198"/>
      <c r="CO291" s="197">
        <v>8476.0994926700023</v>
      </c>
      <c r="CP291" s="198">
        <v>793.8921913600002</v>
      </c>
      <c r="CQ291" s="198">
        <v>1238.6931715100002</v>
      </c>
      <c r="CR291" s="198">
        <v>2138.1973351000001</v>
      </c>
      <c r="CS291" s="198">
        <v>2435.7676813200001</v>
      </c>
      <c r="CT291" s="198"/>
      <c r="CU291" s="198">
        <v>1869.5491133800006</v>
      </c>
      <c r="CV291" s="197">
        <v>2003.7919999999999</v>
      </c>
      <c r="CW291" s="198"/>
      <c r="CX291" s="198"/>
      <c r="CY291" s="198"/>
      <c r="CZ291" s="198"/>
      <c r="DA291" s="198"/>
      <c r="DB291" s="199"/>
      <c r="DC291" s="197">
        <v>90262.482999999993</v>
      </c>
      <c r="DD291" s="198">
        <v>10662.543</v>
      </c>
      <c r="DE291" s="198">
        <v>17746.183000000001</v>
      </c>
      <c r="DF291" s="198"/>
      <c r="DG291" s="198">
        <v>24776</v>
      </c>
      <c r="DH291" s="198"/>
      <c r="DI291" s="198">
        <f t="shared" si="23"/>
        <v>37077.756999999983</v>
      </c>
      <c r="DJ291" s="197">
        <f>3200.3+82541.8</f>
        <v>85742.1</v>
      </c>
      <c r="DK291" s="198">
        <f>1798.7+14823.3</f>
        <v>16622</v>
      </c>
      <c r="DL291" s="198">
        <f>2980.1+20861.6</f>
        <v>23841.699999999997</v>
      </c>
      <c r="DM291" s="198">
        <v>6049.1</v>
      </c>
      <c r="DN291" s="198">
        <f>20351.4-DM291</f>
        <v>14302.300000000001</v>
      </c>
      <c r="DO291" s="198"/>
      <c r="DP291" s="198">
        <f t="shared" si="38"/>
        <v>24927.000000000007</v>
      </c>
      <c r="DQ291" s="197"/>
      <c r="DR291" s="198"/>
      <c r="DS291" s="198"/>
      <c r="DT291" s="198"/>
      <c r="DU291" s="198"/>
      <c r="DV291" s="198"/>
      <c r="DW291" s="198"/>
      <c r="DX291" s="197">
        <v>152383.05859815</v>
      </c>
      <c r="DY291" s="198"/>
      <c r="DZ291" s="198">
        <v>98204.067827520004</v>
      </c>
      <c r="EA291" s="198">
        <v>29306.63162475</v>
      </c>
      <c r="EB291" s="198">
        <v>23191.447293049998</v>
      </c>
      <c r="EC291" s="198">
        <v>1680.91185283</v>
      </c>
      <c r="ED291" s="198"/>
      <c r="EE291" s="197">
        <v>256440.76500000001</v>
      </c>
      <c r="EF291" s="198">
        <v>8239.2659999999996</v>
      </c>
      <c r="EG291" s="198">
        <v>59272.641000000003</v>
      </c>
      <c r="EH291" s="198">
        <v>19859.161</v>
      </c>
      <c r="EI291" s="198">
        <v>106018.98</v>
      </c>
      <c r="EJ291" s="198"/>
      <c r="EK291" s="198">
        <f t="shared" si="34"/>
        <v>63050.717000000019</v>
      </c>
      <c r="EL291" s="197">
        <v>2358032.0827819998</v>
      </c>
      <c r="EM291" s="198">
        <v>1087318.1698640003</v>
      </c>
      <c r="EN291" s="198">
        <v>67226.136266000001</v>
      </c>
      <c r="EO291" s="198">
        <v>405583.80711500003</v>
      </c>
      <c r="EP291" s="198">
        <v>471443.83041800006</v>
      </c>
      <c r="EQ291" s="198"/>
      <c r="ER291" s="198">
        <v>326460.139119</v>
      </c>
      <c r="ES291" s="197">
        <v>49988.072404879982</v>
      </c>
      <c r="ET291" s="198">
        <v>6609.5524308399999</v>
      </c>
      <c r="EU291" s="198">
        <v>16645.70620565</v>
      </c>
      <c r="EV291" s="198">
        <v>7401.2050908199999</v>
      </c>
      <c r="EW291" s="198">
        <v>11676.117427379981</v>
      </c>
      <c r="EX291" s="198"/>
      <c r="EY291" s="198">
        <f t="shared" si="24"/>
        <v>7655.4912501900035</v>
      </c>
      <c r="EZ291" s="197">
        <v>29027.013777939999</v>
      </c>
      <c r="FA291" s="198">
        <v>1904.3975218999999</v>
      </c>
      <c r="FB291" s="198">
        <v>8438.1269672300004</v>
      </c>
      <c r="FC291" s="198">
        <v>7506.1453511700001</v>
      </c>
      <c r="FD291" s="198">
        <v>5583.67030213</v>
      </c>
      <c r="FE291" s="198">
        <v>0</v>
      </c>
      <c r="FF291" s="198">
        <f t="shared" si="39"/>
        <v>5594.6736355100002</v>
      </c>
      <c r="FG291" s="197">
        <v>34382183.582531005</v>
      </c>
      <c r="FH291" s="198">
        <v>3246625.8999660001</v>
      </c>
      <c r="FI291" s="198">
        <v>8193628.7404840011</v>
      </c>
      <c r="FJ291" s="198"/>
      <c r="FK291" s="198">
        <v>5489757.5978780007</v>
      </c>
      <c r="FL291" s="198"/>
      <c r="FM291" s="198">
        <f t="shared" si="36"/>
        <v>17452171.344203003</v>
      </c>
      <c r="FN291" s="197">
        <v>123765.110332</v>
      </c>
      <c r="FO291" s="198">
        <v>21220.465286999999</v>
      </c>
      <c r="FP291" s="198">
        <v>18838.600065999999</v>
      </c>
      <c r="FQ291" s="198">
        <v>18526.000765999997</v>
      </c>
      <c r="FR291" s="198">
        <v>21772.899492</v>
      </c>
      <c r="FS291" s="198"/>
      <c r="FT291" s="199">
        <f t="shared" si="35"/>
        <v>43407.144721000004</v>
      </c>
      <c r="FU291" s="197"/>
      <c r="FV291" s="198"/>
      <c r="FW291" s="198"/>
      <c r="FX291" s="198"/>
      <c r="FY291" s="198"/>
      <c r="FZ291" s="198"/>
      <c r="GA291" s="199"/>
      <c r="GB291" s="197">
        <v>2512.326</v>
      </c>
      <c r="GC291" s="198"/>
      <c r="GD291" s="198"/>
      <c r="GE291" s="198"/>
      <c r="GF291" s="198"/>
      <c r="GG291" s="198"/>
      <c r="GH291" s="199"/>
      <c r="GI291" s="197">
        <v>1123.722</v>
      </c>
      <c r="GJ291" s="198"/>
      <c r="GK291" s="198"/>
      <c r="GL291" s="198"/>
      <c r="GM291" s="198"/>
      <c r="GN291" s="198"/>
      <c r="GO291" s="199"/>
      <c r="GP291" s="197">
        <v>4051.1779999999999</v>
      </c>
      <c r="GQ291" s="198"/>
      <c r="GR291" s="198"/>
      <c r="GS291" s="198"/>
      <c r="GT291" s="198"/>
      <c r="GU291" s="198"/>
      <c r="GV291" s="199"/>
      <c r="GW291" s="197">
        <f>[2]sur!P75</f>
        <v>3733</v>
      </c>
      <c r="GX291" s="198">
        <f>[2]sur!Q75</f>
        <v>290.2</v>
      </c>
      <c r="GY291" s="198">
        <f>[2]sur!R75</f>
        <v>898</v>
      </c>
      <c r="GZ291" s="198">
        <f>[2]sur!S75</f>
        <v>590.19999999999993</v>
      </c>
      <c r="HA291" s="198"/>
      <c r="HB291" s="198"/>
      <c r="HC291" s="199">
        <f>[2]sur!V75</f>
        <v>1954.6</v>
      </c>
      <c r="HD291" s="197"/>
      <c r="HE291" s="198"/>
      <c r="HF291" s="198"/>
      <c r="HG291" s="198"/>
      <c r="HH291" s="198"/>
      <c r="HI291" s="198"/>
      <c r="HJ291" s="199"/>
      <c r="HK291" s="197">
        <v>10912.148663</v>
      </c>
      <c r="HL291" s="198">
        <v>1824.91445</v>
      </c>
      <c r="HM291" s="198">
        <v>1191.4599170000001</v>
      </c>
      <c r="HN291" s="198">
        <v>228.43579500000001</v>
      </c>
      <c r="HO291" s="198">
        <v>4058.5364419999996</v>
      </c>
      <c r="HP291" s="198"/>
      <c r="HQ291" s="198">
        <f t="shared" si="37"/>
        <v>3608.8020589999996</v>
      </c>
      <c r="HR291" s="197">
        <v>251484.92499999999</v>
      </c>
      <c r="HS291" s="198">
        <v>23216.887999999999</v>
      </c>
      <c r="HT291" s="198">
        <v>91501.842999999993</v>
      </c>
      <c r="HU291" s="198">
        <v>35042.050999999999</v>
      </c>
      <c r="HV291" s="198">
        <v>45890.582000000002</v>
      </c>
      <c r="HW291" s="198">
        <v>9089.8629999999994</v>
      </c>
      <c r="HX291" s="198">
        <v>46743.697999999997</v>
      </c>
    </row>
    <row r="292" spans="1:234">
      <c r="A292" s="185" t="s">
        <v>499</v>
      </c>
      <c r="B292" s="197">
        <v>2913.4549999999999</v>
      </c>
      <c r="C292" s="198"/>
      <c r="D292" s="198"/>
      <c r="E292" s="198"/>
      <c r="F292" s="198"/>
      <c r="G292" s="198"/>
      <c r="H292" s="199"/>
      <c r="I292" s="197">
        <v>318049.40000000002</v>
      </c>
      <c r="J292" s="198"/>
      <c r="K292" s="198"/>
      <c r="L292" s="198">
        <v>27227</v>
      </c>
      <c r="M292" s="198">
        <v>55910.9</v>
      </c>
      <c r="N292" s="198"/>
      <c r="O292" s="199">
        <f>[3]arg!$G158</f>
        <v>201680.4</v>
      </c>
      <c r="P292" s="198">
        <v>7053.2780000000002</v>
      </c>
      <c r="Q292" s="198">
        <v>33.771000000000001</v>
      </c>
      <c r="R292" s="198">
        <v>304.95400000000001</v>
      </c>
      <c r="S292" s="198">
        <v>418.88909999999998</v>
      </c>
      <c r="T292" s="198">
        <v>5188.5730000000003</v>
      </c>
      <c r="U292" s="198"/>
      <c r="V292" s="199">
        <f t="shared" si="22"/>
        <v>1107.0909000000001</v>
      </c>
      <c r="W292" s="198">
        <v>5791.924</v>
      </c>
      <c r="X292" s="198">
        <v>142.60300000000001</v>
      </c>
      <c r="Y292" s="198">
        <v>868.08999999999992</v>
      </c>
      <c r="Z292" s="198">
        <v>285.46600000000001</v>
      </c>
      <c r="AA292" s="198">
        <v>2779.511</v>
      </c>
      <c r="AB292" s="198"/>
      <c r="AC292" s="199">
        <f t="shared" si="33"/>
        <v>1716.2539999999995</v>
      </c>
      <c r="AD292" s="198"/>
      <c r="AE292" s="198">
        <v>33.706000000000003</v>
      </c>
      <c r="AF292" s="198">
        <v>342.79299999999995</v>
      </c>
      <c r="AG292" s="198">
        <v>649.86199999999997</v>
      </c>
      <c r="AH292" s="198">
        <v>402.08499999999998</v>
      </c>
      <c r="AI292" s="198">
        <v>66.02</v>
      </c>
      <c r="AJ292" s="198"/>
      <c r="AK292" s="197"/>
      <c r="AL292" s="198"/>
      <c r="AM292" s="198"/>
      <c r="AN292" s="198"/>
      <c r="AO292" s="198"/>
      <c r="AP292" s="198"/>
      <c r="AQ292" s="199"/>
      <c r="AR292" s="198">
        <v>1984355.9541957101</v>
      </c>
      <c r="AS292" s="198">
        <v>409710.53947408008</v>
      </c>
      <c r="AT292" s="198">
        <v>203490.02630015998</v>
      </c>
      <c r="AU292" s="198">
        <v>195262.98525719997</v>
      </c>
      <c r="AV292" s="198">
        <v>626693.25769822998</v>
      </c>
      <c r="AW292" s="198"/>
      <c r="AX292" s="198">
        <v>549199.14546604012</v>
      </c>
      <c r="AY292" s="197">
        <v>87320922</v>
      </c>
      <c r="AZ292" s="198"/>
      <c r="BA292" s="198">
        <v>54305000</v>
      </c>
      <c r="BB292" s="198">
        <v>21698872</v>
      </c>
      <c r="BC292" s="198">
        <v>11317050</v>
      </c>
      <c r="BD292" s="198"/>
      <c r="BE292" s="198"/>
      <c r="BF292" s="197">
        <v>213031706.45000005</v>
      </c>
      <c r="BG292" s="198"/>
      <c r="BH292" s="198">
        <v>132923559.93000002</v>
      </c>
      <c r="BI292" s="198">
        <v>15067028.500000002</v>
      </c>
      <c r="BJ292" s="198">
        <v>59152641.660000026</v>
      </c>
      <c r="BK292" s="198">
        <v>5888476.3600000003</v>
      </c>
      <c r="BL292" s="198"/>
      <c r="BM292" s="197">
        <v>10370698.380999999</v>
      </c>
      <c r="BN292" s="198">
        <v>406952.52600000001</v>
      </c>
      <c r="BO292" s="198">
        <v>1083256.2139999999</v>
      </c>
      <c r="BP292" s="198">
        <v>3521923.5300000003</v>
      </c>
      <c r="BQ292" s="198">
        <v>2783213.1809999999</v>
      </c>
      <c r="BR292" s="198"/>
      <c r="BS292" s="198">
        <f t="shared" si="2"/>
        <v>2575352.9299999988</v>
      </c>
      <c r="BT292" s="197"/>
      <c r="BU292" s="198"/>
      <c r="BV292" s="198"/>
      <c r="BW292" s="198"/>
      <c r="BX292" s="198"/>
      <c r="BY292" s="198"/>
      <c r="BZ292" s="199"/>
      <c r="CA292" s="198">
        <v>894.77700000000004</v>
      </c>
      <c r="CB292" s="198"/>
      <c r="CC292" s="198"/>
      <c r="CD292" s="198"/>
      <c r="CE292" s="198"/>
      <c r="CF292" s="198"/>
      <c r="CG292" s="199"/>
      <c r="CH292" s="197">
        <v>20534148.742980003</v>
      </c>
      <c r="CI292" s="198"/>
      <c r="CJ292" s="198">
        <v>8973822.7129200008</v>
      </c>
      <c r="CK292" s="198">
        <v>1738083.2509299999</v>
      </c>
      <c r="CL292" s="198">
        <v>7355821.9024800006</v>
      </c>
      <c r="CM292" s="198">
        <v>2466420.8766500005</v>
      </c>
      <c r="CN292" s="198"/>
      <c r="CO292" s="197">
        <v>8579.3485192399985</v>
      </c>
      <c r="CP292" s="198">
        <v>835.28398721999986</v>
      </c>
      <c r="CQ292" s="198">
        <v>1254.2436592699996</v>
      </c>
      <c r="CR292" s="198">
        <v>2139.9854373000003</v>
      </c>
      <c r="CS292" s="198">
        <v>2462.8273679100002</v>
      </c>
      <c r="CT292" s="198"/>
      <c r="CU292" s="198">
        <v>1887.0080675399997</v>
      </c>
      <c r="CV292" s="197">
        <v>2015.4480000000001</v>
      </c>
      <c r="CW292" s="198"/>
      <c r="CX292" s="198"/>
      <c r="CY292" s="198"/>
      <c r="CZ292" s="198"/>
      <c r="DA292" s="198"/>
      <c r="DB292" s="199"/>
      <c r="DC292" s="197">
        <v>92512.091</v>
      </c>
      <c r="DD292" s="198">
        <v>11013.844999999999</v>
      </c>
      <c r="DE292" s="198">
        <v>18390.016</v>
      </c>
      <c r="DF292" s="198"/>
      <c r="DG292" s="198">
        <v>25262.736000000001</v>
      </c>
      <c r="DH292" s="198"/>
      <c r="DI292" s="198">
        <f t="shared" si="23"/>
        <v>37845.493999999992</v>
      </c>
      <c r="DJ292" s="197">
        <f>3433.5+83995.5</f>
        <v>87429</v>
      </c>
      <c r="DK292" s="198">
        <f>2317.7+14871.4</f>
        <v>17189.099999999999</v>
      </c>
      <c r="DL292" s="198">
        <f>2959.7+21192.9</f>
        <v>24152.600000000002</v>
      </c>
      <c r="DM292" s="198">
        <v>6185.6</v>
      </c>
      <c r="DN292" s="198">
        <f>20978.6-DM292</f>
        <v>14792.999999999998</v>
      </c>
      <c r="DO292" s="198"/>
      <c r="DP292" s="198">
        <f t="shared" si="38"/>
        <v>25108.700000000004</v>
      </c>
      <c r="DQ292" s="197"/>
      <c r="DR292" s="198"/>
      <c r="DS292" s="198"/>
      <c r="DT292" s="198"/>
      <c r="DU292" s="198"/>
      <c r="DV292" s="198"/>
      <c r="DW292" s="198"/>
      <c r="DX292" s="197">
        <v>164190.52788951999</v>
      </c>
      <c r="DY292" s="198"/>
      <c r="DZ292" s="198">
        <v>108764.50894450999</v>
      </c>
      <c r="EA292" s="198">
        <v>29620.526966880003</v>
      </c>
      <c r="EB292" s="198">
        <v>24066.837389970002</v>
      </c>
      <c r="EC292" s="198">
        <v>1738.65458816</v>
      </c>
      <c r="ED292" s="198"/>
      <c r="EE292" s="197">
        <v>258086.6</v>
      </c>
      <c r="EF292" s="198">
        <v>7780.6639999999998</v>
      </c>
      <c r="EG292" s="198">
        <v>60796.569000000003</v>
      </c>
      <c r="EH292" s="198">
        <v>19833.933000000001</v>
      </c>
      <c r="EI292" s="198">
        <v>107784.76300000001</v>
      </c>
      <c r="EJ292" s="198"/>
      <c r="EK292" s="198">
        <f t="shared" si="34"/>
        <v>61890.671000000031</v>
      </c>
      <c r="EL292" s="197">
        <v>2412415.9825059995</v>
      </c>
      <c r="EM292" s="198">
        <v>1114236.8830839999</v>
      </c>
      <c r="EN292" s="198">
        <v>67042.730074999999</v>
      </c>
      <c r="EO292" s="198">
        <v>410538.75157599995</v>
      </c>
      <c r="EP292" s="198">
        <v>489146.91255099996</v>
      </c>
      <c r="EQ292" s="198"/>
      <c r="ER292" s="198">
        <v>331450.70522</v>
      </c>
      <c r="ES292" s="197">
        <v>52331.394840350011</v>
      </c>
      <c r="ET292" s="198">
        <v>6773.3909920300002</v>
      </c>
      <c r="EU292" s="198">
        <v>17953.50338907</v>
      </c>
      <c r="EV292" s="198">
        <v>7496.25877709001</v>
      </c>
      <c r="EW292" s="198">
        <v>11962.99344704</v>
      </c>
      <c r="EX292" s="198"/>
      <c r="EY292" s="198">
        <f t="shared" si="24"/>
        <v>8145.2482351200015</v>
      </c>
      <c r="EZ292" s="197">
        <v>29396.643945889999</v>
      </c>
      <c r="FA292" s="198">
        <v>1743.1079695200001</v>
      </c>
      <c r="FB292" s="198">
        <v>8652.4164497300007</v>
      </c>
      <c r="FC292" s="198">
        <v>7574.6218897900098</v>
      </c>
      <c r="FD292" s="198">
        <v>5639.6160081299904</v>
      </c>
      <c r="FE292" s="198">
        <v>0</v>
      </c>
      <c r="FF292" s="198">
        <f t="shared" si="39"/>
        <v>5786.8816287199979</v>
      </c>
      <c r="FG292" s="197">
        <v>35560637.817731999</v>
      </c>
      <c r="FH292" s="198">
        <v>3359974.6939639999</v>
      </c>
      <c r="FI292" s="198">
        <v>9121252.715795001</v>
      </c>
      <c r="FJ292" s="198"/>
      <c r="FK292" s="198">
        <v>5586481.9152410002</v>
      </c>
      <c r="FL292" s="198"/>
      <c r="FM292" s="198">
        <f t="shared" si="36"/>
        <v>17492928.492732</v>
      </c>
      <c r="FN292" s="197">
        <v>125460.341049</v>
      </c>
      <c r="FO292" s="198">
        <v>20962.878687</v>
      </c>
      <c r="FP292" s="198">
        <v>19227.692111</v>
      </c>
      <c r="FQ292" s="198">
        <v>18917.630756999999</v>
      </c>
      <c r="FR292" s="198">
        <v>22266.536625000001</v>
      </c>
      <c r="FS292" s="198"/>
      <c r="FT292" s="199">
        <f t="shared" si="35"/>
        <v>44085.602869000002</v>
      </c>
      <c r="FU292" s="197"/>
      <c r="FV292" s="198"/>
      <c r="FW292" s="198"/>
      <c r="FX292" s="198"/>
      <c r="FY292" s="198"/>
      <c r="FZ292" s="198"/>
      <c r="GA292" s="199"/>
      <c r="GB292" s="197">
        <v>2510.9029999999998</v>
      </c>
      <c r="GC292" s="198"/>
      <c r="GD292" s="198"/>
      <c r="GE292" s="198"/>
      <c r="GF292" s="198"/>
      <c r="GG292" s="198"/>
      <c r="GH292" s="199"/>
      <c r="GI292" s="197">
        <v>1101.2</v>
      </c>
      <c r="GJ292" s="198"/>
      <c r="GK292" s="198"/>
      <c r="GL292" s="198"/>
      <c r="GM292" s="198"/>
      <c r="GN292" s="198"/>
      <c r="GO292" s="199"/>
      <c r="GP292" s="197">
        <v>4050.6089999999999</v>
      </c>
      <c r="GQ292" s="198"/>
      <c r="GR292" s="198"/>
      <c r="GS292" s="198"/>
      <c r="GT292" s="198"/>
      <c r="GU292" s="198"/>
      <c r="GV292" s="199"/>
      <c r="GW292" s="197">
        <f>[2]sur!P76</f>
        <v>3754.8</v>
      </c>
      <c r="GX292" s="198">
        <f>[2]sur!Q76</f>
        <v>298.5</v>
      </c>
      <c r="GY292" s="198">
        <f>[2]sur!R76</f>
        <v>908.7</v>
      </c>
      <c r="GZ292" s="198">
        <f>[2]sur!S76</f>
        <v>590.80000000000007</v>
      </c>
      <c r="HA292" s="198"/>
      <c r="HB292" s="198"/>
      <c r="HC292" s="199">
        <f>[2]sur!V76</f>
        <v>1956.8000000000002</v>
      </c>
      <c r="HD292" s="197"/>
      <c r="HE292" s="198"/>
      <c r="HF292" s="198"/>
      <c r="HG292" s="198"/>
      <c r="HH292" s="198"/>
      <c r="HI292" s="198"/>
      <c r="HJ292" s="199"/>
      <c r="HK292" s="197">
        <v>10926.737036999999</v>
      </c>
      <c r="HL292" s="198">
        <v>1790.1172709999998</v>
      </c>
      <c r="HM292" s="198">
        <v>1277.6831969999998</v>
      </c>
      <c r="HN292" s="198">
        <v>250.36111000000002</v>
      </c>
      <c r="HO292" s="198">
        <v>4016.0673649999999</v>
      </c>
      <c r="HP292" s="198"/>
      <c r="HQ292" s="198">
        <f t="shared" si="37"/>
        <v>3592.5080939999998</v>
      </c>
      <c r="HR292" s="197">
        <v>265792.63</v>
      </c>
      <c r="HS292" s="198">
        <v>25355.727999999999</v>
      </c>
      <c r="HT292" s="198">
        <v>99017.168999999994</v>
      </c>
      <c r="HU292" s="198">
        <v>35822.894999999997</v>
      </c>
      <c r="HV292" s="198">
        <v>45960.972999999998</v>
      </c>
      <c r="HW292" s="198">
        <v>9565.26</v>
      </c>
      <c r="HX292" s="198">
        <v>50070.605000000003</v>
      </c>
    </row>
    <row r="293" spans="1:234">
      <c r="A293" s="202" t="s">
        <v>500</v>
      </c>
      <c r="B293" s="203">
        <v>2900.4470000000001</v>
      </c>
      <c r="C293" s="204">
        <v>46.02</v>
      </c>
      <c r="D293" s="204">
        <v>537.84699999999998</v>
      </c>
      <c r="E293" s="204">
        <v>765.82</v>
      </c>
      <c r="F293" s="204">
        <v>519.36099999999999</v>
      </c>
      <c r="G293" s="204"/>
      <c r="H293" s="205">
        <v>1031.3989999999999</v>
      </c>
      <c r="I293" s="203">
        <v>325144.3</v>
      </c>
      <c r="J293" s="204"/>
      <c r="K293" s="204"/>
      <c r="L293" s="204">
        <v>28210.1</v>
      </c>
      <c r="M293" s="204">
        <v>56530.6</v>
      </c>
      <c r="N293" s="204"/>
      <c r="O293" s="205">
        <f>[3]arg!$G159</f>
        <v>206966.90000000002</v>
      </c>
      <c r="P293" s="204">
        <v>7103.6930000000002</v>
      </c>
      <c r="Q293" s="204">
        <v>38.786999999999999</v>
      </c>
      <c r="R293" s="204">
        <v>308.45099999999996</v>
      </c>
      <c r="S293" s="204">
        <v>424.80900000000003</v>
      </c>
      <c r="T293" s="204">
        <v>5189.4229999999998</v>
      </c>
      <c r="U293" s="204"/>
      <c r="V293" s="205">
        <f t="shared" si="22"/>
        <v>1142.223</v>
      </c>
      <c r="W293" s="204">
        <v>5784.1379999999999</v>
      </c>
      <c r="X293" s="204">
        <v>146.63499999999999</v>
      </c>
      <c r="Y293" s="204">
        <v>844.4</v>
      </c>
      <c r="Z293" s="204">
        <v>241.66399999999999</v>
      </c>
      <c r="AA293" s="204">
        <v>2763.4670000000001</v>
      </c>
      <c r="AB293" s="204"/>
      <c r="AC293" s="205">
        <f t="shared" si="33"/>
        <v>1787.9720000000002</v>
      </c>
      <c r="AD293" s="204">
        <f>[1]datos!$S425</f>
        <v>2189.614</v>
      </c>
      <c r="AE293" s="204">
        <v>35.142000000000003</v>
      </c>
      <c r="AF293" s="204">
        <v>334.22</v>
      </c>
      <c r="AG293" s="204">
        <v>655.79700000000003</v>
      </c>
      <c r="AH293" s="204">
        <v>405.52800000000002</v>
      </c>
      <c r="AI293" s="204">
        <v>66.290999999999997</v>
      </c>
      <c r="AJ293" s="204">
        <f>AD293-AE293-AF293-AG293-AH293-AI293</f>
        <v>692.63600000000019</v>
      </c>
      <c r="AK293" s="203">
        <v>59154.432000000008</v>
      </c>
      <c r="AL293" s="204">
        <v>25258.942464000003</v>
      </c>
      <c r="AM293" s="204"/>
      <c r="AN293" s="204">
        <v>11416.805376</v>
      </c>
      <c r="AO293" s="204">
        <v>7512.6128640000006</v>
      </c>
      <c r="AP293" s="204">
        <v>14966.071296000002</v>
      </c>
      <c r="AQ293" s="205"/>
      <c r="AR293" s="204">
        <v>2033954</v>
      </c>
      <c r="AS293" s="204">
        <v>418072</v>
      </c>
      <c r="AT293" s="204">
        <v>208440</v>
      </c>
      <c r="AU293" s="204">
        <v>221593</v>
      </c>
      <c r="AV293" s="204">
        <v>641626</v>
      </c>
      <c r="AW293" s="204"/>
      <c r="AX293" s="204">
        <v>544223</v>
      </c>
      <c r="AY293" s="203">
        <v>87946500</v>
      </c>
      <c r="AZ293" s="204"/>
      <c r="BA293" s="204">
        <v>54465771</v>
      </c>
      <c r="BB293" s="204">
        <v>21993143</v>
      </c>
      <c r="BC293" s="204">
        <v>11487586</v>
      </c>
      <c r="BD293" s="204"/>
      <c r="BE293" s="204"/>
      <c r="BF293" s="203">
        <v>215305193.88999999</v>
      </c>
      <c r="BG293" s="204"/>
      <c r="BH293" s="204">
        <v>133593312.60999997</v>
      </c>
      <c r="BI293" s="204">
        <v>15511578.269999996</v>
      </c>
      <c r="BJ293" s="204">
        <v>60246832.310000017</v>
      </c>
      <c r="BK293" s="204">
        <v>5953470.7000000002</v>
      </c>
      <c r="BL293" s="204"/>
      <c r="BM293" s="203">
        <v>10555448.112</v>
      </c>
      <c r="BN293" s="204">
        <v>429565.20299999998</v>
      </c>
      <c r="BO293" s="204">
        <v>1102451.0279999999</v>
      </c>
      <c r="BP293" s="204">
        <v>3569685.534</v>
      </c>
      <c r="BQ293" s="204">
        <v>2792718.9070000001</v>
      </c>
      <c r="BR293" s="204"/>
      <c r="BS293" s="204">
        <f t="shared" si="2"/>
        <v>2661027.4399999995</v>
      </c>
      <c r="BT293" s="203"/>
      <c r="BU293" s="204"/>
      <c r="BV293" s="204"/>
      <c r="BW293" s="204"/>
      <c r="BX293" s="204"/>
      <c r="BY293" s="204"/>
      <c r="BZ293" s="205"/>
      <c r="CA293" s="204">
        <v>878.37300000000005</v>
      </c>
      <c r="CB293" s="204">
        <v>49.598999999999997</v>
      </c>
      <c r="CC293" s="204">
        <v>180.80199999999999</v>
      </c>
      <c r="CD293" s="204">
        <v>257.25400000000002</v>
      </c>
      <c r="CE293" s="204">
        <v>157.39699999999999</v>
      </c>
      <c r="CF293" s="204"/>
      <c r="CG293" s="205">
        <f>CA293-CB293-CC293-CD293-CE293</f>
        <v>233.32099999999997</v>
      </c>
      <c r="CH293" s="203">
        <v>20800690.011699997</v>
      </c>
      <c r="CI293" s="204"/>
      <c r="CJ293" s="204">
        <v>9125813.0348799974</v>
      </c>
      <c r="CK293" s="204">
        <v>1754829.67958</v>
      </c>
      <c r="CL293" s="204">
        <v>7427016.5303600002</v>
      </c>
      <c r="CM293" s="204">
        <v>2493030.76688</v>
      </c>
      <c r="CN293" s="204"/>
      <c r="CO293" s="203">
        <v>8715.6822197199981</v>
      </c>
      <c r="CP293" s="204">
        <v>885.97423199000002</v>
      </c>
      <c r="CQ293" s="204">
        <v>1289.1031122000002</v>
      </c>
      <c r="CR293" s="204">
        <v>2148.0920742799999</v>
      </c>
      <c r="CS293" s="204">
        <v>2452.5339221299992</v>
      </c>
      <c r="CT293" s="204"/>
      <c r="CU293" s="204">
        <v>1939.9788791199983</v>
      </c>
      <c r="CV293" s="203">
        <v>2014.317</v>
      </c>
      <c r="CW293" s="204">
        <v>32.976999999999997</v>
      </c>
      <c r="CX293" s="204">
        <v>364.74099999999999</v>
      </c>
      <c r="CY293" s="204">
        <v>672.17</v>
      </c>
      <c r="CZ293" s="204">
        <v>542.33500000000004</v>
      </c>
      <c r="DA293" s="204"/>
      <c r="DB293" s="205">
        <f>CV293-CW293-CX293-CY293-CZ293</f>
        <v>402.09399999999994</v>
      </c>
      <c r="DC293" s="203">
        <v>93901.690999999992</v>
      </c>
      <c r="DD293" s="204">
        <v>11236.032999999999</v>
      </c>
      <c r="DE293" s="204">
        <v>18660.454000000002</v>
      </c>
      <c r="DF293" s="204"/>
      <c r="DG293" s="204">
        <v>25523.691999999999</v>
      </c>
      <c r="DH293" s="204"/>
      <c r="DI293" s="204">
        <f t="shared" si="23"/>
        <v>38481.512000000002</v>
      </c>
      <c r="DJ293" s="203">
        <f>4092.5+86230.1</f>
        <v>90322.6</v>
      </c>
      <c r="DK293" s="204">
        <f>2414.5+16674.9</f>
        <v>19089.400000000001</v>
      </c>
      <c r="DL293" s="204">
        <f>2.6+2891.8+21556.2</f>
        <v>24450.600000000002</v>
      </c>
      <c r="DM293" s="204">
        <v>6304.3</v>
      </c>
      <c r="DN293" s="204">
        <f>21631.8-DM293</f>
        <v>15327.5</v>
      </c>
      <c r="DO293" s="204"/>
      <c r="DP293" s="204">
        <f t="shared" si="38"/>
        <v>25150.800000000003</v>
      </c>
      <c r="DQ293" s="203">
        <v>45.037435569999992</v>
      </c>
      <c r="DR293" s="204">
        <v>7.2011779700000007</v>
      </c>
      <c r="DS293" s="204">
        <v>12.712184669999999</v>
      </c>
      <c r="DT293" s="204">
        <v>3.3573107799999997</v>
      </c>
      <c r="DU293" s="204">
        <v>4.9137649099999994</v>
      </c>
      <c r="DV293" s="204"/>
      <c r="DW293" s="204">
        <v>16.852997239999993</v>
      </c>
      <c r="DX293" s="203">
        <v>161596.72054486</v>
      </c>
      <c r="DY293" s="204"/>
      <c r="DZ293" s="204">
        <v>105557.91138995001</v>
      </c>
      <c r="EA293" s="204">
        <v>30072.989594589999</v>
      </c>
      <c r="EB293" s="204">
        <v>24203.449488280003</v>
      </c>
      <c r="EC293" s="204">
        <v>1762.37007204</v>
      </c>
      <c r="ED293" s="204"/>
      <c r="EE293" s="203">
        <v>266044.20400000003</v>
      </c>
      <c r="EF293" s="204">
        <v>7771.2939999999999</v>
      </c>
      <c r="EG293" s="204">
        <v>64975.046999999999</v>
      </c>
      <c r="EH293" s="204">
        <v>18487.912</v>
      </c>
      <c r="EI293" s="204">
        <v>109590.099</v>
      </c>
      <c r="EJ293" s="204"/>
      <c r="EK293" s="204">
        <f t="shared" si="34"/>
        <v>65219.852000000028</v>
      </c>
      <c r="EL293" s="203">
        <v>2462856.4775819993</v>
      </c>
      <c r="EM293" s="204">
        <v>1146462.080414</v>
      </c>
      <c r="EN293" s="204">
        <v>67426.826633000004</v>
      </c>
      <c r="EO293" s="204">
        <v>412206.29626099998</v>
      </c>
      <c r="EP293" s="204">
        <v>493593.32708400005</v>
      </c>
      <c r="EQ293" s="204"/>
      <c r="ER293" s="204">
        <v>343167.94718999998</v>
      </c>
      <c r="ES293" s="203">
        <v>53852.398960349979</v>
      </c>
      <c r="ET293" s="204">
        <v>6889.80486303</v>
      </c>
      <c r="EU293" s="204">
        <v>18799.438533460001</v>
      </c>
      <c r="EV293" s="204">
        <v>7570.9586996099997</v>
      </c>
      <c r="EW293" s="204">
        <v>12023.927393939979</v>
      </c>
      <c r="EX293" s="204"/>
      <c r="EY293" s="204">
        <f t="shared" si="24"/>
        <v>8568.2694703099951</v>
      </c>
      <c r="EZ293" s="203">
        <v>28993.057550419999</v>
      </c>
      <c r="FA293" s="204">
        <v>1722.7925424</v>
      </c>
      <c r="FB293" s="204">
        <v>8148.2178534900004</v>
      </c>
      <c r="FC293" s="204">
        <v>7711.6627593200001</v>
      </c>
      <c r="FD293" s="204">
        <v>5696.8862405500004</v>
      </c>
      <c r="FE293" s="204">
        <v>0</v>
      </c>
      <c r="FF293" s="204">
        <f t="shared" si="39"/>
        <v>5713.4981546599993</v>
      </c>
      <c r="FG293" s="203">
        <v>36909967.876350999</v>
      </c>
      <c r="FH293" s="204">
        <v>3339488.0435500001</v>
      </c>
      <c r="FI293" s="204">
        <v>9408910.4408280011</v>
      </c>
      <c r="FJ293" s="204"/>
      <c r="FK293" s="204">
        <v>5641357.7027679998</v>
      </c>
      <c r="FL293" s="204"/>
      <c r="FM293" s="204">
        <f t="shared" si="36"/>
        <v>18520211.689204998</v>
      </c>
      <c r="FN293" s="203">
        <v>128377.901713</v>
      </c>
      <c r="FO293" s="204">
        <v>21669.306506999998</v>
      </c>
      <c r="FP293" s="204">
        <v>19351.310524</v>
      </c>
      <c r="FQ293" s="204">
        <v>19249.933800000003</v>
      </c>
      <c r="FR293" s="204">
        <v>22695.452816000001</v>
      </c>
      <c r="FS293" s="204"/>
      <c r="FT293" s="205">
        <f t="shared" si="35"/>
        <v>45411.898065999994</v>
      </c>
      <c r="FU293" s="203">
        <v>499306.22863303998</v>
      </c>
      <c r="FV293" s="204">
        <v>37032.90814684004</v>
      </c>
      <c r="FW293" s="204">
        <v>73296.968393949966</v>
      </c>
      <c r="FX293" s="204">
        <v>114865.3792227801</v>
      </c>
      <c r="FY293" s="204">
        <v>112507.2219577099</v>
      </c>
      <c r="FZ293" s="204"/>
      <c r="GA293" s="205">
        <f>FU293-FV293-FW293-FX293-FY293</f>
        <v>161603.75091175994</v>
      </c>
      <c r="GB293" s="203">
        <v>2495.797</v>
      </c>
      <c r="GC293" s="204">
        <v>29.14</v>
      </c>
      <c r="GD293" s="204">
        <v>261.16500000000002</v>
      </c>
      <c r="GE293" s="204">
        <v>499.32900000000001</v>
      </c>
      <c r="GF293" s="204">
        <v>416.14100000000002</v>
      </c>
      <c r="GG293" s="204"/>
      <c r="GH293" s="205">
        <f>GB293-GC293-GD293-GE293-GF293</f>
        <v>1290.0220000000002</v>
      </c>
      <c r="GI293" s="203">
        <v>1117.1410000000001</v>
      </c>
      <c r="GJ293" s="204">
        <v>40.585000000000001</v>
      </c>
      <c r="GK293" s="204">
        <v>169.69900000000001</v>
      </c>
      <c r="GL293" s="204">
        <v>369.07100000000003</v>
      </c>
      <c r="GM293" s="204">
        <v>286.56</v>
      </c>
      <c r="GN293" s="204"/>
      <c r="GO293" s="205">
        <f>GI293-GJ293-GK293-GL293-GM293</f>
        <v>251.22599999999994</v>
      </c>
      <c r="GP293" s="203">
        <v>4057.9389999999999</v>
      </c>
      <c r="GQ293" s="204">
        <v>103.255</v>
      </c>
      <c r="GR293" s="204">
        <v>1127.9839999999999</v>
      </c>
      <c r="GS293" s="204">
        <v>649.88800000000003</v>
      </c>
      <c r="GT293" s="204">
        <v>662.10699999999997</v>
      </c>
      <c r="GU293" s="204"/>
      <c r="GV293" s="205">
        <f>GP293-GQ293-GR293-GS293-GT293</f>
        <v>1514.7049999999999</v>
      </c>
      <c r="GW293" s="203">
        <f>[2]sur!P77</f>
        <v>3803.1</v>
      </c>
      <c r="GX293" s="204">
        <f>[2]sur!Q77</f>
        <v>290.39999999999998</v>
      </c>
      <c r="GY293" s="204">
        <f>[2]sur!R77</f>
        <v>923.2</v>
      </c>
      <c r="GZ293" s="204">
        <f>[2]sur!S77</f>
        <v>588.1</v>
      </c>
      <c r="HA293" s="204"/>
      <c r="HB293" s="204"/>
      <c r="HC293" s="205">
        <f>[2]sur!V77</f>
        <v>2001.4</v>
      </c>
      <c r="HD293" s="203">
        <f>'[2]t&amp;t'!W425</f>
        <v>48347.5</v>
      </c>
      <c r="HE293" s="204">
        <f>'[2]t&amp;t'!X425</f>
        <v>3402.5</v>
      </c>
      <c r="HF293" s="204">
        <f>'[2]t&amp;t'!Y425</f>
        <v>3095.6000000000004</v>
      </c>
      <c r="HG293" s="204">
        <f>'[2]t&amp;t'!Z425</f>
        <v>11908.4</v>
      </c>
      <c r="HH293" s="204">
        <f>'[2]t&amp;t'!AA425</f>
        <v>12152.899999999998</v>
      </c>
      <c r="HI293" s="204"/>
      <c r="HJ293" s="205">
        <f>'[2]t&amp;t'!AC425</f>
        <v>17788.100000000002</v>
      </c>
      <c r="HK293" s="203">
        <v>11426.619543999999</v>
      </c>
      <c r="HL293" s="204">
        <v>1893.7481400000001</v>
      </c>
      <c r="HM293" s="204">
        <v>1398.939112</v>
      </c>
      <c r="HN293" s="204">
        <v>266.459315</v>
      </c>
      <c r="HO293" s="204">
        <v>4160.8821740000003</v>
      </c>
      <c r="HP293" s="204"/>
      <c r="HQ293" s="204">
        <f t="shared" si="37"/>
        <v>3706.5908029999991</v>
      </c>
      <c r="HR293" s="203">
        <v>275806.35399999999</v>
      </c>
      <c r="HS293" s="204">
        <v>28153.45</v>
      </c>
      <c r="HT293" s="204">
        <v>100770.54399999999</v>
      </c>
      <c r="HU293" s="204">
        <v>36948.010999999999</v>
      </c>
      <c r="HV293" s="204">
        <v>46434.26</v>
      </c>
      <c r="HW293" s="204">
        <v>9723.3880000000008</v>
      </c>
      <c r="HX293" s="204">
        <v>53776.701000000001</v>
      </c>
      <c r="HY293" s="198"/>
    </row>
    <row r="294" spans="1:234">
      <c r="A294" s="185" t="s">
        <v>679</v>
      </c>
      <c r="B294" s="197">
        <v>2857.172</v>
      </c>
      <c r="C294" s="198"/>
      <c r="D294" s="198"/>
      <c r="E294" s="198"/>
      <c r="F294" s="198"/>
      <c r="G294" s="198"/>
      <c r="H294" s="198"/>
      <c r="I294" s="208">
        <v>327685.59999999998</v>
      </c>
      <c r="J294" s="212"/>
      <c r="K294" s="212"/>
      <c r="L294" s="212">
        <v>28548.799999999999</v>
      </c>
      <c r="M294" s="212">
        <v>57599</v>
      </c>
      <c r="N294" s="212"/>
      <c r="O294" s="213">
        <v>209364</v>
      </c>
      <c r="P294" s="208">
        <v>7131.0119999999997</v>
      </c>
      <c r="Q294" s="212">
        <v>35.741</v>
      </c>
      <c r="R294" s="212">
        <v>307.55900000000003</v>
      </c>
      <c r="S294" s="212">
        <v>424.44900000000001</v>
      </c>
      <c r="T294" s="212">
        <v>5194.1239999999998</v>
      </c>
      <c r="U294" s="212"/>
      <c r="V294" s="213">
        <f t="shared" si="22"/>
        <v>1169.1390000000001</v>
      </c>
      <c r="W294" s="208">
        <v>5784.4650000000001</v>
      </c>
      <c r="X294" s="212">
        <v>145.62</v>
      </c>
      <c r="Y294" s="212">
        <v>875.26199999999994</v>
      </c>
      <c r="Z294" s="212">
        <v>243.72800000000001</v>
      </c>
      <c r="AA294" s="212">
        <v>2752.835</v>
      </c>
      <c r="AB294" s="212"/>
      <c r="AC294" s="213">
        <f t="shared" si="33"/>
        <v>1767.0200000000004</v>
      </c>
      <c r="AD294" s="198"/>
      <c r="AE294" s="198">
        <v>32.417000000000002</v>
      </c>
      <c r="AF294" s="198">
        <v>334.15500000000003</v>
      </c>
      <c r="AG294" s="198">
        <v>662.53700000000003</v>
      </c>
      <c r="AH294" s="198">
        <v>405.27</v>
      </c>
      <c r="AI294" s="198">
        <v>66.215999999999994</v>
      </c>
      <c r="AJ294" s="198"/>
      <c r="AK294" s="197"/>
      <c r="AL294" s="198"/>
      <c r="AM294" s="198"/>
      <c r="AN294" s="198"/>
      <c r="AO294" s="198"/>
      <c r="AP294" s="198"/>
      <c r="AQ294" s="199"/>
      <c r="AR294" s="198">
        <v>2033185</v>
      </c>
      <c r="AS294" s="198">
        <v>449967</v>
      </c>
      <c r="AT294" s="198">
        <v>234695</v>
      </c>
      <c r="AU294" s="198">
        <v>273759</v>
      </c>
      <c r="AV294" s="198">
        <v>738200</v>
      </c>
      <c r="AW294" s="198"/>
      <c r="AX294" s="198">
        <v>336564</v>
      </c>
      <c r="AY294" s="197">
        <v>88236008</v>
      </c>
      <c r="AZ294" s="198"/>
      <c r="BA294" s="198">
        <v>54465320</v>
      </c>
      <c r="BB294" s="198">
        <v>22198931</v>
      </c>
      <c r="BC294" s="198">
        <v>11571757</v>
      </c>
      <c r="BD294" s="198"/>
      <c r="BE294" s="198"/>
      <c r="BF294" s="197">
        <v>215054773.92000008</v>
      </c>
      <c r="BG294" s="198"/>
      <c r="BH294" s="198">
        <v>132423341.71000004</v>
      </c>
      <c r="BI294" s="198">
        <v>15859529.439999999</v>
      </c>
      <c r="BJ294" s="198">
        <v>60762061.390000015</v>
      </c>
      <c r="BK294" s="198">
        <v>6009841.379999999</v>
      </c>
      <c r="BL294" s="198"/>
      <c r="BM294" s="197">
        <v>10595231.046</v>
      </c>
      <c r="BN294" s="198">
        <v>427716.73500000004</v>
      </c>
      <c r="BO294" s="198">
        <v>1098834.213</v>
      </c>
      <c r="BP294" s="198">
        <v>3594273.9369999999</v>
      </c>
      <c r="BQ294" s="198">
        <v>2805764.6439999999</v>
      </c>
      <c r="BR294" s="198"/>
      <c r="BS294" s="198">
        <f t="shared" si="2"/>
        <v>2668641.5170000009</v>
      </c>
      <c r="BT294" s="197"/>
      <c r="BU294" s="198"/>
      <c r="BV294" s="198"/>
      <c r="BW294" s="198"/>
      <c r="BX294" s="198"/>
      <c r="BY294" s="198"/>
      <c r="BZ294" s="199"/>
      <c r="CA294" s="198">
        <v>918.221</v>
      </c>
      <c r="CB294" s="198"/>
      <c r="CC294" s="198"/>
      <c r="CD294" s="198"/>
      <c r="CE294" s="198"/>
      <c r="CF294" s="198"/>
      <c r="CG294" s="199"/>
      <c r="CH294" s="197">
        <v>20789958.441240001</v>
      </c>
      <c r="CI294" s="198"/>
      <c r="CJ294" s="198">
        <v>9013863.9980199989</v>
      </c>
      <c r="CK294" s="198">
        <v>1768504.4761499998</v>
      </c>
      <c r="CL294" s="198">
        <v>7506563.9641700014</v>
      </c>
      <c r="CM294" s="198">
        <v>2501026.0028999997</v>
      </c>
      <c r="CN294" s="198"/>
      <c r="CO294" s="197">
        <v>8707.238046049999</v>
      </c>
      <c r="CP294" s="198">
        <v>871.81935841999996</v>
      </c>
      <c r="CQ294" s="198">
        <v>1288.83821341</v>
      </c>
      <c r="CR294" s="198">
        <v>2125.79690235</v>
      </c>
      <c r="CS294" s="198">
        <v>2495.35251487</v>
      </c>
      <c r="CT294" s="198"/>
      <c r="CU294" s="198">
        <v>1925.4310569999991</v>
      </c>
      <c r="CV294" s="197">
        <v>2014.2840000000001</v>
      </c>
      <c r="CW294" s="198"/>
      <c r="CX294" s="198"/>
      <c r="CY294" s="198"/>
      <c r="CZ294" s="198"/>
      <c r="DA294" s="198"/>
      <c r="DB294" s="199"/>
      <c r="DC294" s="197">
        <v>93671.875</v>
      </c>
      <c r="DD294" s="198">
        <v>11009.199000000001</v>
      </c>
      <c r="DE294" s="198">
        <v>18623.295999999998</v>
      </c>
      <c r="DF294" s="198"/>
      <c r="DG294" s="198">
        <v>25761.526999999998</v>
      </c>
      <c r="DH294" s="198"/>
      <c r="DI294" s="198">
        <f>DC294-DD294-DE294-DG294</f>
        <v>38277.853000000003</v>
      </c>
      <c r="DJ294" s="197">
        <f>3572.1+85677.5</f>
        <v>89249.600000000006</v>
      </c>
      <c r="DK294" s="198">
        <f>2001.5+16220.7</f>
        <v>18222.2</v>
      </c>
      <c r="DL294" s="198">
        <f>2824.5+21223.4</f>
        <v>24047.9</v>
      </c>
      <c r="DM294" s="198">
        <v>6312.9</v>
      </c>
      <c r="DN294" s="198">
        <f>21240.4-DM294</f>
        <v>14927.500000000002</v>
      </c>
      <c r="DO294" s="198"/>
      <c r="DP294" s="198">
        <f t="shared" si="38"/>
        <v>25739.1</v>
      </c>
      <c r="DQ294" s="197"/>
      <c r="DR294" s="198"/>
      <c r="DS294" s="198"/>
      <c r="DT294" s="198"/>
      <c r="DU294" s="198"/>
      <c r="DV294" s="198"/>
      <c r="DW294" s="198"/>
      <c r="DX294" s="197">
        <v>163241.63601455002</v>
      </c>
      <c r="DY294" s="198"/>
      <c r="DZ294" s="198">
        <v>107175.84594734001</v>
      </c>
      <c r="EA294" s="198">
        <v>30027.188834380002</v>
      </c>
      <c r="EB294" s="198">
        <v>24295.10532681</v>
      </c>
      <c r="EC294" s="198">
        <v>1743.4959060200001</v>
      </c>
      <c r="ED294" s="198"/>
      <c r="EE294" s="197">
        <v>268477.826</v>
      </c>
      <c r="EF294" s="198">
        <v>7834.95</v>
      </c>
      <c r="EG294" s="198">
        <v>64380.317999999999</v>
      </c>
      <c r="EH294" s="198">
        <v>21295.788</v>
      </c>
      <c r="EI294" s="198">
        <v>110428.571</v>
      </c>
      <c r="EJ294" s="198"/>
      <c r="EK294" s="198">
        <f t="shared" si="34"/>
        <v>64538.198999999993</v>
      </c>
      <c r="EL294" s="197">
        <v>2450738.3882989995</v>
      </c>
      <c r="EM294" s="198">
        <v>1123625.4569160005</v>
      </c>
      <c r="EN294" s="198">
        <v>67207.260671000011</v>
      </c>
      <c r="EO294" s="198">
        <v>416791.49524899997</v>
      </c>
      <c r="EP294" s="198">
        <v>496366.53278800013</v>
      </c>
      <c r="EQ294" s="198"/>
      <c r="ER294" s="198">
        <v>346747.64267499995</v>
      </c>
      <c r="ES294" s="197">
        <v>54742.209545659978</v>
      </c>
      <c r="ET294" s="198">
        <v>6944.4858822100005</v>
      </c>
      <c r="EU294" s="198">
        <v>19167.249471750001</v>
      </c>
      <c r="EV294" s="198">
        <v>7628.03903111</v>
      </c>
      <c r="EW294" s="198">
        <v>12237.350859079979</v>
      </c>
      <c r="EX294" s="198"/>
      <c r="EY294" s="198">
        <f t="shared" si="24"/>
        <v>8765.0843015099999</v>
      </c>
      <c r="EZ294" s="197">
        <v>29011.961164370001</v>
      </c>
      <c r="FA294" s="198">
        <v>1678.8743475799999</v>
      </c>
      <c r="FB294" s="198">
        <v>8265.6657745400007</v>
      </c>
      <c r="FC294" s="198">
        <v>7788.46516307</v>
      </c>
      <c r="FD294" s="198">
        <v>5715.1455860200003</v>
      </c>
      <c r="FE294" s="198">
        <v>0</v>
      </c>
      <c r="FF294" s="198">
        <f t="shared" si="39"/>
        <v>5563.8102931600006</v>
      </c>
      <c r="FG294" s="197">
        <v>38292721.442481995</v>
      </c>
      <c r="FH294" s="198">
        <v>3391137.0476900004</v>
      </c>
      <c r="FI294" s="198">
        <v>9628539.012991</v>
      </c>
      <c r="FJ294" s="198"/>
      <c r="FK294" s="198">
        <v>5752748.1541519994</v>
      </c>
      <c r="FL294" s="198"/>
      <c r="FM294" s="198">
        <f t="shared" si="36"/>
        <v>19520297.227648992</v>
      </c>
      <c r="FN294" s="197">
        <v>129158.178967</v>
      </c>
      <c r="FO294" s="198">
        <v>22540.439874000003</v>
      </c>
      <c r="FP294" s="198">
        <v>18995.270552000002</v>
      </c>
      <c r="FQ294" s="198">
        <v>19540.0121</v>
      </c>
      <c r="FR294" s="198">
        <v>22860.851979999999</v>
      </c>
      <c r="FS294" s="198"/>
      <c r="FT294" s="199">
        <f t="shared" si="35"/>
        <v>45221.604460999988</v>
      </c>
      <c r="FU294" s="197"/>
      <c r="FV294" s="198"/>
      <c r="FW294" s="198"/>
      <c r="FX294" s="198"/>
      <c r="FY294" s="198"/>
      <c r="FZ294" s="198"/>
      <c r="GA294" s="199"/>
      <c r="GB294" s="197">
        <v>2520.8180000000002</v>
      </c>
      <c r="GC294" s="198"/>
      <c r="GD294" s="198"/>
      <c r="GE294" s="198"/>
      <c r="GF294" s="198"/>
      <c r="GG294" s="198"/>
      <c r="GH294" s="199"/>
      <c r="GI294" s="197">
        <v>1124.0940000000001</v>
      </c>
      <c r="GJ294" s="198"/>
      <c r="GK294" s="198"/>
      <c r="GL294" s="198"/>
      <c r="GM294" s="198"/>
      <c r="GN294" s="198"/>
      <c r="GO294" s="199"/>
      <c r="GP294" s="197">
        <v>4021.8980000000001</v>
      </c>
      <c r="GQ294" s="198"/>
      <c r="GR294" s="198"/>
      <c r="GS294" s="198"/>
      <c r="GT294" s="198"/>
      <c r="GU294" s="198"/>
      <c r="GV294" s="199"/>
      <c r="GW294" s="197">
        <f>[5]sur!P78</f>
        <v>3826.8999999999996</v>
      </c>
      <c r="GX294" s="198">
        <f>[5]sur!Q78</f>
        <v>298.10000000000002</v>
      </c>
      <c r="GY294" s="198">
        <f>[5]sur!R78</f>
        <v>943</v>
      </c>
      <c r="GZ294" s="198">
        <f>[5]sur!S78</f>
        <v>594.30000000000007</v>
      </c>
      <c r="HA294" s="198"/>
      <c r="HB294" s="198"/>
      <c r="HC294" s="199">
        <f>[5]sur!V78</f>
        <v>1991.5</v>
      </c>
      <c r="HD294" s="197"/>
      <c r="HE294" s="198"/>
      <c r="HF294" s="198"/>
      <c r="HG294" s="198"/>
      <c r="HH294" s="198"/>
      <c r="HI294" s="198"/>
      <c r="HJ294" s="199"/>
      <c r="HK294" s="197">
        <v>11416.0520974595</v>
      </c>
      <c r="HL294" s="198">
        <v>1866.647211</v>
      </c>
      <c r="HM294" s="198">
        <v>1388.8772769999998</v>
      </c>
      <c r="HN294" s="198">
        <v>259.46964700000001</v>
      </c>
      <c r="HO294" s="198">
        <v>4234.0449518119995</v>
      </c>
      <c r="HP294" s="198"/>
      <c r="HQ294" s="198">
        <f t="shared" si="37"/>
        <v>3667.0130106475017</v>
      </c>
      <c r="HR294" s="197">
        <v>276344.09899999999</v>
      </c>
      <c r="HS294" s="198">
        <v>27705.119999999999</v>
      </c>
      <c r="HT294" s="198">
        <v>88934.399000000005</v>
      </c>
      <c r="HU294" s="198">
        <v>37339.000999999997</v>
      </c>
      <c r="HV294" s="198">
        <v>43893.745000000003</v>
      </c>
      <c r="HW294" s="198">
        <v>9709.4359999999997</v>
      </c>
      <c r="HX294" s="198">
        <v>54632.995000000003</v>
      </c>
      <c r="HY294" s="198"/>
      <c r="HZ294" s="180"/>
    </row>
    <row r="295" spans="1:234">
      <c r="A295" s="185" t="s">
        <v>490</v>
      </c>
      <c r="B295" s="197">
        <v>2850.24</v>
      </c>
      <c r="C295" s="198"/>
      <c r="D295" s="198"/>
      <c r="E295" s="198"/>
      <c r="F295" s="198"/>
      <c r="G295" s="198"/>
      <c r="H295" s="198"/>
      <c r="I295" s="197">
        <v>334197</v>
      </c>
      <c r="J295" s="198"/>
      <c r="K295" s="198"/>
      <c r="L295" s="198">
        <v>28965.7</v>
      </c>
      <c r="M295" s="198">
        <v>58412.2</v>
      </c>
      <c r="N295" s="198"/>
      <c r="O295" s="199">
        <v>212701.19999999998</v>
      </c>
      <c r="P295" s="197">
        <v>7179.8620000000001</v>
      </c>
      <c r="Q295" s="198">
        <v>37.347999999999999</v>
      </c>
      <c r="R295" s="198">
        <v>303.73899999999998</v>
      </c>
      <c r="S295" s="198">
        <v>433.45699999999999</v>
      </c>
      <c r="T295" s="198">
        <v>5186.1670000000004</v>
      </c>
      <c r="U295" s="198"/>
      <c r="V295" s="199">
        <f t="shared" si="22"/>
        <v>1219.1509999999998</v>
      </c>
      <c r="W295" s="197">
        <v>5803.1480000000001</v>
      </c>
      <c r="X295" s="198">
        <v>146.98500000000001</v>
      </c>
      <c r="Y295" s="198">
        <v>862.279</v>
      </c>
      <c r="Z295" s="198">
        <v>242.79300000000001</v>
      </c>
      <c r="AA295" s="198">
        <v>2757.3620000000001</v>
      </c>
      <c r="AB295" s="198"/>
      <c r="AC295" s="199">
        <f t="shared" si="33"/>
        <v>1793.7290000000003</v>
      </c>
      <c r="AD295" s="198"/>
      <c r="AE295" s="198">
        <v>30.597000000000001</v>
      </c>
      <c r="AF295" s="198">
        <v>332.53000000000003</v>
      </c>
      <c r="AG295" s="198">
        <v>670.94399999999996</v>
      </c>
      <c r="AH295" s="198">
        <v>403.00799999999998</v>
      </c>
      <c r="AI295" s="198">
        <v>66.203000000000003</v>
      </c>
      <c r="AJ295" s="198"/>
      <c r="AK295" s="197"/>
      <c r="AL295" s="198"/>
      <c r="AM295" s="198"/>
      <c r="AN295" s="198"/>
      <c r="AO295" s="198"/>
      <c r="AP295" s="198"/>
      <c r="AQ295" s="199"/>
      <c r="AR295" s="198">
        <v>2041040</v>
      </c>
      <c r="AS295" s="198">
        <v>449191</v>
      </c>
      <c r="AT295" s="198">
        <v>233953</v>
      </c>
      <c r="AU295" s="198">
        <v>279356</v>
      </c>
      <c r="AV295" s="198">
        <v>741111</v>
      </c>
      <c r="AW295" s="198"/>
      <c r="AX295" s="198">
        <v>337429</v>
      </c>
      <c r="AY295" s="197">
        <v>89903579</v>
      </c>
      <c r="AZ295" s="198"/>
      <c r="BA295" s="198">
        <v>54719973</v>
      </c>
      <c r="BB295" s="198">
        <v>22381635</v>
      </c>
      <c r="BC295" s="198">
        <v>11619464</v>
      </c>
      <c r="BD295" s="198"/>
      <c r="BE295" s="198"/>
      <c r="BF295" s="197">
        <v>217196683.87</v>
      </c>
      <c r="BG295" s="198"/>
      <c r="BH295" s="198">
        <v>133550211.42</v>
      </c>
      <c r="BI295" s="198">
        <v>15871836.220000001</v>
      </c>
      <c r="BJ295" s="198">
        <v>61699969.580000013</v>
      </c>
      <c r="BK295" s="198">
        <v>6074666.6500000013</v>
      </c>
      <c r="BL295" s="198"/>
      <c r="BM295" s="197">
        <v>10726639.234999999</v>
      </c>
      <c r="BN295" s="198">
        <v>412355.48800000001</v>
      </c>
      <c r="BO295" s="198">
        <v>1129155.574</v>
      </c>
      <c r="BP295" s="198">
        <v>3620159.8200000003</v>
      </c>
      <c r="BQ295" s="198">
        <v>2853324.5950000002</v>
      </c>
      <c r="BR295" s="198"/>
      <c r="BS295" s="198">
        <f t="shared" ref="BS295:BS305" si="40">BM295-SUM(BN295:BQ295)</f>
        <v>2711643.7579999994</v>
      </c>
      <c r="BT295" s="197"/>
      <c r="BU295" s="198"/>
      <c r="BV295" s="198"/>
      <c r="BW295" s="198"/>
      <c r="BX295" s="198"/>
      <c r="BY295" s="198"/>
      <c r="BZ295" s="199"/>
      <c r="CA295" s="198">
        <v>924.50300000000004</v>
      </c>
      <c r="CB295" s="198"/>
      <c r="CC295" s="198"/>
      <c r="CD295" s="198"/>
      <c r="CE295" s="198"/>
      <c r="CF295" s="198"/>
      <c r="CG295" s="199"/>
      <c r="CH295" s="197">
        <v>20874051.672669999</v>
      </c>
      <c r="CI295" s="198"/>
      <c r="CJ295" s="198">
        <v>9000530.6488499995</v>
      </c>
      <c r="CK295" s="198">
        <v>1781175.2060400005</v>
      </c>
      <c r="CL295" s="198">
        <v>7551857.25715</v>
      </c>
      <c r="CM295" s="198">
        <v>2540488.5606299997</v>
      </c>
      <c r="CN295" s="198"/>
      <c r="CO295" s="197">
        <v>8727.7630834800002</v>
      </c>
      <c r="CP295" s="198">
        <v>885.09219583999982</v>
      </c>
      <c r="CQ295" s="198">
        <v>1294.4662038499996</v>
      </c>
      <c r="CR295" s="198">
        <v>2129.9690451400002</v>
      </c>
      <c r="CS295" s="198">
        <v>2510.8394396499998</v>
      </c>
      <c r="CT295" s="198"/>
      <c r="CU295" s="198">
        <v>1907.3961990000023</v>
      </c>
      <c r="CV295" s="197">
        <v>2011.624</v>
      </c>
      <c r="CW295" s="198"/>
      <c r="CX295" s="198"/>
      <c r="CY295" s="198"/>
      <c r="CZ295" s="198"/>
      <c r="DA295" s="198"/>
      <c r="DB295" s="199"/>
      <c r="DC295" s="197">
        <v>94915.870999999999</v>
      </c>
      <c r="DD295" s="198">
        <v>11092.647000000001</v>
      </c>
      <c r="DE295" s="198">
        <v>18709.511999999999</v>
      </c>
      <c r="DF295" s="198"/>
      <c r="DG295" s="198">
        <v>26028.45</v>
      </c>
      <c r="DH295" s="198"/>
      <c r="DI295" s="198">
        <f>DC295-DD295-DE295-DG295</f>
        <v>39085.262000000002</v>
      </c>
      <c r="DJ295" s="197">
        <f>3545.3+88508.2</f>
        <v>92053.5</v>
      </c>
      <c r="DK295" s="198">
        <f>2266.7+17473.1</f>
        <v>19739.8</v>
      </c>
      <c r="DL295" s="198">
        <f>2613.5+22777.1</f>
        <v>25390.6</v>
      </c>
      <c r="DM295" s="198">
        <v>6304.4</v>
      </c>
      <c r="DN295" s="198">
        <f>21200.8-DM295</f>
        <v>14896.4</v>
      </c>
      <c r="DO295" s="198"/>
      <c r="DP295" s="198">
        <f t="shared" si="38"/>
        <v>25722.300000000003</v>
      </c>
      <c r="DQ295" s="197"/>
      <c r="DR295" s="198"/>
      <c r="DS295" s="198"/>
      <c r="DT295" s="198"/>
      <c r="DU295" s="198"/>
      <c r="DV295" s="198"/>
      <c r="DW295" s="198"/>
      <c r="DX295" s="197">
        <v>165193.67729653002</v>
      </c>
      <c r="DY295" s="198"/>
      <c r="DZ295" s="198">
        <v>108475.62352327</v>
      </c>
      <c r="EA295" s="198">
        <v>30259.714871970002</v>
      </c>
      <c r="EB295" s="198">
        <v>24690.133074490001</v>
      </c>
      <c r="EC295" s="198">
        <v>1768.2058267999998</v>
      </c>
      <c r="ED295" s="198"/>
      <c r="EE295" s="197">
        <v>270430.63199999998</v>
      </c>
      <c r="EF295" s="198">
        <v>7817.0820000000003</v>
      </c>
      <c r="EG295" s="198">
        <v>64675.572</v>
      </c>
      <c r="EH295" s="198">
        <v>21327.084999999999</v>
      </c>
      <c r="EI295" s="198">
        <v>111744.55100000001</v>
      </c>
      <c r="EJ295" s="198"/>
      <c r="EK295" s="198">
        <f t="shared" si="34"/>
        <v>64866.342000000004</v>
      </c>
      <c r="EL295" s="197">
        <v>2453469.2227889993</v>
      </c>
      <c r="EM295" s="198">
        <v>1126841.0356429999</v>
      </c>
      <c r="EN295" s="198">
        <v>62725.729666999992</v>
      </c>
      <c r="EO295" s="198">
        <v>418939.35461199988</v>
      </c>
      <c r="EP295" s="198">
        <v>502458.94708000001</v>
      </c>
      <c r="EQ295" s="198"/>
      <c r="ER295" s="198">
        <v>342504.15578699991</v>
      </c>
      <c r="ES295" s="197">
        <v>56011.613134899977</v>
      </c>
      <c r="ET295" s="198">
        <v>7527.9698066499996</v>
      </c>
      <c r="EU295" s="198">
        <v>19888.724018019999</v>
      </c>
      <c r="EV295" s="198">
        <v>7721.0753854699997</v>
      </c>
      <c r="EW295" s="198">
        <v>12410.438762059981</v>
      </c>
      <c r="EX295" s="198"/>
      <c r="EY295" s="198">
        <f t="shared" si="24"/>
        <v>8463.4051627000008</v>
      </c>
      <c r="EZ295" s="197">
        <v>29492.298433520002</v>
      </c>
      <c r="FA295" s="198">
        <v>1712.43179259</v>
      </c>
      <c r="FB295" s="198">
        <v>8278.0631401200008</v>
      </c>
      <c r="FC295" s="198">
        <v>7830.8874386899997</v>
      </c>
      <c r="FD295" s="198">
        <v>5757.3258888099999</v>
      </c>
      <c r="FE295" s="198">
        <v>0</v>
      </c>
      <c r="FF295" s="198">
        <f t="shared" si="39"/>
        <v>5913.5901733100027</v>
      </c>
      <c r="FG295" s="197">
        <v>36728433.494660005</v>
      </c>
      <c r="FH295" s="198">
        <v>3135493.5008299998</v>
      </c>
      <c r="FI295" s="198">
        <v>9207573.9741430003</v>
      </c>
      <c r="FJ295" s="198"/>
      <c r="FK295" s="198">
        <v>5728376.5118399998</v>
      </c>
      <c r="FL295" s="198"/>
      <c r="FM295" s="198">
        <f t="shared" si="36"/>
        <v>18656989.507847004</v>
      </c>
      <c r="FN295" s="197">
        <v>128651.96810300001</v>
      </c>
      <c r="FO295" s="198">
        <v>21895.405647</v>
      </c>
      <c r="FP295" s="198">
        <v>19070.557036999999</v>
      </c>
      <c r="FQ295" s="198">
        <v>19788.371701</v>
      </c>
      <c r="FR295" s="198">
        <v>23185.186865</v>
      </c>
      <c r="FS295" s="198"/>
      <c r="FT295" s="199">
        <f t="shared" si="35"/>
        <v>44712.44685300003</v>
      </c>
      <c r="FU295" s="197"/>
      <c r="FV295" s="198"/>
      <c r="FW295" s="198"/>
      <c r="FX295" s="198"/>
      <c r="FY295" s="198"/>
      <c r="FZ295" s="198"/>
      <c r="GA295" s="199"/>
      <c r="GB295" s="197">
        <v>2506.1439999999998</v>
      </c>
      <c r="GC295" s="198"/>
      <c r="GD295" s="198"/>
      <c r="GE295" s="198"/>
      <c r="GF295" s="198"/>
      <c r="GG295" s="198"/>
      <c r="GH295" s="199"/>
      <c r="GI295" s="197">
        <v>1129.9970000000001</v>
      </c>
      <c r="GJ295" s="198"/>
      <c r="GK295" s="198"/>
      <c r="GL295" s="198"/>
      <c r="GM295" s="198"/>
      <c r="GN295" s="198"/>
      <c r="GO295" s="199"/>
      <c r="GP295" s="197">
        <v>4033.0230000000001</v>
      </c>
      <c r="GQ295" s="198"/>
      <c r="GR295" s="198"/>
      <c r="GS295" s="198"/>
      <c r="GT295" s="198"/>
      <c r="GU295" s="198"/>
      <c r="GV295" s="199"/>
      <c r="GW295" s="197">
        <f>[5]sur!P79</f>
        <v>3874.7000000000003</v>
      </c>
      <c r="GX295" s="198">
        <f>[5]sur!Q79</f>
        <v>296.39999999999998</v>
      </c>
      <c r="GY295" s="198">
        <f>[5]sur!R79</f>
        <v>975.30000000000007</v>
      </c>
      <c r="GZ295" s="198">
        <f>[5]sur!S79</f>
        <v>598.90000000000009</v>
      </c>
      <c r="HA295" s="198"/>
      <c r="HB295" s="198"/>
      <c r="HC295" s="199">
        <f>[5]sur!V79</f>
        <v>2004.1000000000001</v>
      </c>
      <c r="HD295" s="197"/>
      <c r="HE295" s="198"/>
      <c r="HF295" s="198"/>
      <c r="HG295" s="198"/>
      <c r="HH295" s="198"/>
      <c r="HI295" s="198"/>
      <c r="HJ295" s="199"/>
      <c r="HK295" s="197">
        <v>11546.820838</v>
      </c>
      <c r="HL295" s="198">
        <v>1811.0428330000002</v>
      </c>
      <c r="HM295" s="198">
        <v>1354.973508</v>
      </c>
      <c r="HN295" s="198">
        <v>263.70731999999998</v>
      </c>
      <c r="HO295" s="198">
        <v>4344.627039</v>
      </c>
      <c r="HP295" s="198"/>
      <c r="HQ295" s="198">
        <f t="shared" si="37"/>
        <v>3772.4701380000015</v>
      </c>
      <c r="HR295" s="197">
        <v>282565.94499999995</v>
      </c>
      <c r="HS295" s="198">
        <v>27866.499</v>
      </c>
      <c r="HT295" s="198">
        <v>89215.744000000006</v>
      </c>
      <c r="HU295" s="198">
        <v>37874.703000000001</v>
      </c>
      <c r="HV295" s="198">
        <v>45112.03</v>
      </c>
      <c r="HW295" s="198">
        <v>9892.4320000000007</v>
      </c>
      <c r="HX295" s="198">
        <v>58227.008999999998</v>
      </c>
      <c r="HZ295" s="180"/>
    </row>
    <row r="296" spans="1:234">
      <c r="A296" s="185" t="s">
        <v>491</v>
      </c>
      <c r="B296" s="197">
        <v>2865.683</v>
      </c>
      <c r="C296" s="198">
        <v>44.722000000000001</v>
      </c>
      <c r="D296" s="198">
        <v>542.83799999999997</v>
      </c>
      <c r="E296" s="198">
        <v>789.47400000000005</v>
      </c>
      <c r="F296" s="198">
        <v>516.65200000000004</v>
      </c>
      <c r="G296" s="198"/>
      <c r="H296" s="198">
        <v>971.99699999999996</v>
      </c>
      <c r="I296" s="197">
        <v>339379.9</v>
      </c>
      <c r="J296" s="198"/>
      <c r="K296" s="198"/>
      <c r="L296" s="198">
        <v>29594.5</v>
      </c>
      <c r="M296" s="198">
        <v>60079.7</v>
      </c>
      <c r="N296" s="198"/>
      <c r="O296" s="199">
        <v>215226.30000000002</v>
      </c>
      <c r="P296" s="197">
        <v>7191.2110000000002</v>
      </c>
      <c r="Q296" s="198">
        <v>41.332999999999998</v>
      </c>
      <c r="R296" s="198">
        <v>306.214</v>
      </c>
      <c r="S296" s="198">
        <v>433.20699999999999</v>
      </c>
      <c r="T296" s="198">
        <v>5185.223</v>
      </c>
      <c r="U296" s="198"/>
      <c r="V296" s="199">
        <f>P296-Q296-R296-S296-T296</f>
        <v>1225.2340000000004</v>
      </c>
      <c r="W296" s="197">
        <v>5803.7569999999996</v>
      </c>
      <c r="X296" s="198">
        <v>149.93199999999999</v>
      </c>
      <c r="Y296" s="198">
        <v>881.98099999999999</v>
      </c>
      <c r="Z296" s="198">
        <v>241.85900000000001</v>
      </c>
      <c r="AA296" s="198">
        <v>2770.2310000000002</v>
      </c>
      <c r="AB296" s="198"/>
      <c r="AC296" s="199">
        <f t="shared" si="33"/>
        <v>1759.7539999999995</v>
      </c>
      <c r="AD296" s="198">
        <f>[1]datos!$S428</f>
        <v>2191.067</v>
      </c>
      <c r="AE296" s="198">
        <v>28.213000000000001</v>
      </c>
      <c r="AF296" s="198">
        <v>329.065</v>
      </c>
      <c r="AG296" s="198">
        <v>679.68100000000004</v>
      </c>
      <c r="AH296" s="198">
        <v>401.64</v>
      </c>
      <c r="AI296" s="198">
        <v>65.775999999999996</v>
      </c>
      <c r="AJ296" s="198">
        <f>AD296-AE296-AF296-AG296-AH296-AI296</f>
        <v>686.69199999999978</v>
      </c>
      <c r="AK296" s="197">
        <v>60202.684000000001</v>
      </c>
      <c r="AL296" s="198">
        <v>24984.113860000001</v>
      </c>
      <c r="AM296" s="198"/>
      <c r="AN296" s="198">
        <v>11980.334116000002</v>
      </c>
      <c r="AO296" s="198">
        <v>7525.3355000000001</v>
      </c>
      <c r="AP296" s="198">
        <v>15712.900524000001</v>
      </c>
      <c r="AQ296" s="199"/>
      <c r="AR296" s="198">
        <v>2078912</v>
      </c>
      <c r="AS296" s="198">
        <v>460017</v>
      </c>
      <c r="AT296" s="198">
        <v>239343</v>
      </c>
      <c r="AU296" s="198">
        <v>287304</v>
      </c>
      <c r="AV296" s="198">
        <v>747769</v>
      </c>
      <c r="AW296" s="198"/>
      <c r="AX296" s="198">
        <v>344479</v>
      </c>
      <c r="AY296" s="197">
        <v>91344054</v>
      </c>
      <c r="AZ296" s="198"/>
      <c r="BA296" s="198">
        <v>55783517</v>
      </c>
      <c r="BB296" s="198">
        <v>22613209</v>
      </c>
      <c r="BC296" s="198">
        <v>11824112</v>
      </c>
      <c r="BD296" s="198"/>
      <c r="BE296" s="198"/>
      <c r="BF296" s="197">
        <v>220210557.06999999</v>
      </c>
      <c r="BG296" s="198"/>
      <c r="BH296" s="198">
        <v>135047906.30000001</v>
      </c>
      <c r="BI296" s="198">
        <v>16289422.420000006</v>
      </c>
      <c r="BJ296" s="198">
        <v>62709070.889999986</v>
      </c>
      <c r="BK296" s="198">
        <v>6164157.459999999</v>
      </c>
      <c r="BL296" s="198"/>
      <c r="BM296" s="197">
        <v>10826080.161</v>
      </c>
      <c r="BN296" s="198">
        <v>418668.967</v>
      </c>
      <c r="BO296" s="198">
        <v>1169066.5790000001</v>
      </c>
      <c r="BP296" s="198">
        <v>3618089.2289999998</v>
      </c>
      <c r="BQ296" s="198">
        <v>2925893.1570000001</v>
      </c>
      <c r="BR296" s="198"/>
      <c r="BS296" s="198">
        <f t="shared" si="40"/>
        <v>2694362.2290000003</v>
      </c>
      <c r="BT296" s="197"/>
      <c r="BU296" s="198"/>
      <c r="BV296" s="198"/>
      <c r="BW296" s="198"/>
      <c r="BX296" s="198"/>
      <c r="BY296" s="198"/>
      <c r="BZ296" s="199"/>
      <c r="CA296" s="198">
        <v>921.19</v>
      </c>
      <c r="CB296" s="198">
        <v>40.012</v>
      </c>
      <c r="CC296" s="198">
        <v>145.93600000000001</v>
      </c>
      <c r="CD296" s="198">
        <v>257.31799999999998</v>
      </c>
      <c r="CE296" s="198">
        <v>156.20699999999999</v>
      </c>
      <c r="CF296" s="198"/>
      <c r="CG296" s="199">
        <f>CA296-CB296-CC296-CD296-CE296</f>
        <v>321.7170000000001</v>
      </c>
      <c r="CH296" s="197">
        <v>21314418.321910001</v>
      </c>
      <c r="CI296" s="198"/>
      <c r="CJ296" s="198">
        <v>9251912.4648100007</v>
      </c>
      <c r="CK296" s="198">
        <v>1767252.7383700002</v>
      </c>
      <c r="CL296" s="198">
        <v>7692424.049850001</v>
      </c>
      <c r="CM296" s="198">
        <v>2602829.0688800002</v>
      </c>
      <c r="CN296" s="198"/>
      <c r="CO296" s="197">
        <v>8732.6420982500003</v>
      </c>
      <c r="CP296" s="198">
        <v>871.90795825999987</v>
      </c>
      <c r="CQ296" s="198">
        <v>1306.8603421900002</v>
      </c>
      <c r="CR296" s="198">
        <v>2155.9433514500001</v>
      </c>
      <c r="CS296" s="198">
        <v>2512.9116091000005</v>
      </c>
      <c r="CT296" s="198"/>
      <c r="CU296" s="198">
        <v>1885.0188372499995</v>
      </c>
      <c r="CV296" s="197">
        <v>2008.48</v>
      </c>
      <c r="CW296" s="198">
        <v>38.79</v>
      </c>
      <c r="CX296" s="198">
        <v>361.52600000000001</v>
      </c>
      <c r="CY296" s="198">
        <v>659.57100000000003</v>
      </c>
      <c r="CZ296" s="198">
        <v>549.32600000000002</v>
      </c>
      <c r="DA296" s="198"/>
      <c r="DB296" s="199">
        <f>CV296-CW296-CX296-CY296-CZ296</f>
        <v>399.26699999999994</v>
      </c>
      <c r="DC296" s="197">
        <v>96108.989000000001</v>
      </c>
      <c r="DD296" s="198">
        <v>10901.315000000001</v>
      </c>
      <c r="DE296" s="198">
        <v>18935.962</v>
      </c>
      <c r="DF296" s="198"/>
      <c r="DG296" s="198">
        <v>26409.308000000001</v>
      </c>
      <c r="DH296" s="198"/>
      <c r="DI296" s="198">
        <f>DC296-DD296-DE296-DG296</f>
        <v>39862.403999999995</v>
      </c>
      <c r="DJ296" s="197">
        <f>4269.4+89380.4</f>
        <v>93649.799999999988</v>
      </c>
      <c r="DK296" s="198">
        <f>2603+18092.2</f>
        <v>20695.2</v>
      </c>
      <c r="DL296" s="198">
        <f>2577.7+21717.4</f>
        <v>24295.100000000002</v>
      </c>
      <c r="DM296" s="198">
        <v>6311.6</v>
      </c>
      <c r="DN296" s="198">
        <f>21328.5-DM296</f>
        <v>15016.9</v>
      </c>
      <c r="DO296" s="198"/>
      <c r="DP296" s="198">
        <f t="shared" si="38"/>
        <v>27330.999999999985</v>
      </c>
      <c r="DQ296" s="197">
        <v>46.799832619999989</v>
      </c>
      <c r="DR296" s="198">
        <v>7.0118082499999996</v>
      </c>
      <c r="DS296" s="198">
        <v>12.676476860000001</v>
      </c>
      <c r="DT296" s="198">
        <v>3.4953574099999996</v>
      </c>
      <c r="DU296" s="198">
        <v>5.2377456599999999</v>
      </c>
      <c r="DV296" s="198"/>
      <c r="DW296" s="198">
        <v>18.378444439999988</v>
      </c>
      <c r="DX296" s="197">
        <v>167104.37551904999</v>
      </c>
      <c r="DY296" s="198"/>
      <c r="DZ296" s="198">
        <v>109523.29088104999</v>
      </c>
      <c r="EA296" s="198">
        <v>30678.720376270001</v>
      </c>
      <c r="EB296" s="198">
        <v>25167.164452810001</v>
      </c>
      <c r="EC296" s="198">
        <v>1735.1998089199999</v>
      </c>
      <c r="ED296" s="198"/>
      <c r="EE296" s="197">
        <v>277204.92</v>
      </c>
      <c r="EF296" s="198">
        <v>8190.335</v>
      </c>
      <c r="EG296" s="198">
        <v>65438.605000000003</v>
      </c>
      <c r="EH296" s="198">
        <v>22587.508999999998</v>
      </c>
      <c r="EI296" s="198">
        <v>113649.834</v>
      </c>
      <c r="EJ296" s="198"/>
      <c r="EK296" s="198">
        <f t="shared" si="34"/>
        <v>67338.636999999959</v>
      </c>
      <c r="EL296" s="197">
        <v>2498689.226092</v>
      </c>
      <c r="EM296" s="198">
        <v>1145009.7355880002</v>
      </c>
      <c r="EN296" s="198">
        <v>68896.382354999994</v>
      </c>
      <c r="EO296" s="198">
        <v>423749.44777000009</v>
      </c>
      <c r="EP296" s="198">
        <v>511564.48971200007</v>
      </c>
      <c r="EQ296" s="198"/>
      <c r="ER296" s="198">
        <v>349469.17066700006</v>
      </c>
      <c r="ES296" s="197">
        <v>56923.854275170059</v>
      </c>
      <c r="ET296" s="198">
        <v>9007.9326800899998</v>
      </c>
      <c r="EU296" s="198">
        <v>20290.097030299999</v>
      </c>
      <c r="EV296" s="198">
        <v>7781.0904243599998</v>
      </c>
      <c r="EW296" s="198">
        <v>12600.099518520059</v>
      </c>
      <c r="EX296" s="198"/>
      <c r="EY296" s="198">
        <f t="shared" si="24"/>
        <v>7244.634621899997</v>
      </c>
      <c r="EZ296" s="197">
        <v>29609.738527680001</v>
      </c>
      <c r="FA296" s="198">
        <v>1712.4996134600001</v>
      </c>
      <c r="FB296" s="198">
        <v>8354.4987807300004</v>
      </c>
      <c r="FC296" s="198">
        <v>7913.5129215400002</v>
      </c>
      <c r="FD296" s="198">
        <v>5795.3637683999996</v>
      </c>
      <c r="FE296" s="198">
        <v>0</v>
      </c>
      <c r="FF296" s="198">
        <f t="shared" si="39"/>
        <v>5833.863443549998</v>
      </c>
      <c r="FG296" s="197">
        <v>37771873.286732003</v>
      </c>
      <c r="FH296" s="198">
        <v>3258560.376898</v>
      </c>
      <c r="FI296" s="198">
        <v>8810530.6265400015</v>
      </c>
      <c r="FJ296" s="198"/>
      <c r="FK296" s="198">
        <v>5799742.1246649995</v>
      </c>
      <c r="FL296" s="198"/>
      <c r="FM296" s="198">
        <f t="shared" si="36"/>
        <v>19903040.158629004</v>
      </c>
      <c r="FN296" s="197">
        <v>130368.858656</v>
      </c>
      <c r="FO296" s="198">
        <v>21901.493500999997</v>
      </c>
      <c r="FP296" s="198">
        <v>19472.845000999998</v>
      </c>
      <c r="FQ296" s="198">
        <v>20220.383403</v>
      </c>
      <c r="FR296" s="198">
        <v>23449.314824000001</v>
      </c>
      <c r="FS296" s="198"/>
      <c r="FT296" s="199">
        <f t="shared" si="35"/>
        <v>45324.821927000012</v>
      </c>
      <c r="FU296" s="197">
        <v>506474.2652974801</v>
      </c>
      <c r="FV296" s="198">
        <v>36875.766054039996</v>
      </c>
      <c r="FW296" s="198">
        <v>73582.057343370063</v>
      </c>
      <c r="FX296" s="198">
        <v>116586.18207205005</v>
      </c>
      <c r="FY296" s="198">
        <v>114040.30371908001</v>
      </c>
      <c r="FZ296" s="198"/>
      <c r="GA296" s="199">
        <f>FU296-FV296-FW296-FX296-FY296</f>
        <v>165389.95610894001</v>
      </c>
      <c r="GB296" s="197">
        <v>2499.0059999999999</v>
      </c>
      <c r="GC296" s="198">
        <v>26.937999999999999</v>
      </c>
      <c r="GD296" s="198">
        <v>252.94800000000001</v>
      </c>
      <c r="GE296" s="198">
        <v>500.94</v>
      </c>
      <c r="GF296" s="198">
        <v>416.517</v>
      </c>
      <c r="GG296" s="198"/>
      <c r="GH296" s="199">
        <f>GB296-GC296-GD296-GE296-GF296</f>
        <v>1301.6629999999998</v>
      </c>
      <c r="GI296" s="197">
        <v>1130.18</v>
      </c>
      <c r="GJ296" s="198">
        <v>40.72</v>
      </c>
      <c r="GK296" s="198">
        <v>164.07499999999999</v>
      </c>
      <c r="GL296" s="198">
        <v>365.363</v>
      </c>
      <c r="GM296" s="198">
        <v>294.86700000000002</v>
      </c>
      <c r="GN296" s="198"/>
      <c r="GO296" s="199">
        <f>GI296-GJ296-GK296-GL296-GM296</f>
        <v>265.15499999999992</v>
      </c>
      <c r="GP296" s="197">
        <v>4019.549</v>
      </c>
      <c r="GQ296" s="198">
        <v>104.352</v>
      </c>
      <c r="GR296" s="198">
        <v>1114.0260000000001</v>
      </c>
      <c r="GS296" s="198">
        <v>647.57000000000005</v>
      </c>
      <c r="GT296" s="198">
        <v>668.62400000000002</v>
      </c>
      <c r="GU296" s="198"/>
      <c r="GV296" s="199">
        <f>GP296-GQ296-GR296-GS296-GT296</f>
        <v>1484.9770000000001</v>
      </c>
      <c r="GW296" s="197">
        <f>[5]sur!P80</f>
        <v>3912.6</v>
      </c>
      <c r="GX296" s="198">
        <f>[5]sur!Q80</f>
        <v>305.7</v>
      </c>
      <c r="GY296" s="198">
        <f>[5]sur!R80</f>
        <v>985.3</v>
      </c>
      <c r="GZ296" s="198">
        <f>[5]sur!S80</f>
        <v>608.29999999999995</v>
      </c>
      <c r="HA296" s="198"/>
      <c r="HB296" s="198"/>
      <c r="HC296" s="199">
        <f>[5]sur!V80</f>
        <v>2013.3000000000002</v>
      </c>
      <c r="HD296" s="197">
        <f>'[2]t&amp;t'!W428</f>
        <v>48520.100000000006</v>
      </c>
      <c r="HE296" s="198">
        <f>'[2]t&amp;t'!X428</f>
        <v>3458.5</v>
      </c>
      <c r="HF296" s="198">
        <f>'[2]t&amp;t'!Y428</f>
        <v>3088.4</v>
      </c>
      <c r="HG296" s="198">
        <f>'[2]t&amp;t'!Z428</f>
        <v>12108.8</v>
      </c>
      <c r="HH296" s="198">
        <f>'[2]t&amp;t'!AA428</f>
        <v>11965.6</v>
      </c>
      <c r="HI296" s="198"/>
      <c r="HJ296" s="199">
        <f>'[2]t&amp;t'!AC428</f>
        <v>17898.800000000003</v>
      </c>
      <c r="HK296" s="197">
        <v>11987.551395</v>
      </c>
      <c r="HL296" s="198">
        <v>1849.0237509999999</v>
      </c>
      <c r="HM296" s="198">
        <v>1361.595875</v>
      </c>
      <c r="HN296" s="198">
        <v>266.79893799999996</v>
      </c>
      <c r="HO296" s="198">
        <v>4410.0480470000002</v>
      </c>
      <c r="HP296" s="198"/>
      <c r="HQ296" s="198">
        <f t="shared" si="37"/>
        <v>4100.0847839999988</v>
      </c>
      <c r="HR296" s="197">
        <v>299286.728</v>
      </c>
      <c r="HS296" s="198">
        <v>30892.928</v>
      </c>
      <c r="HT296" s="198">
        <v>98031.198000000004</v>
      </c>
      <c r="HU296" s="198">
        <v>38522.822</v>
      </c>
      <c r="HV296" s="198">
        <v>47007.55</v>
      </c>
      <c r="HW296" s="198">
        <v>10698.673000000001</v>
      </c>
      <c r="HX296" s="198">
        <v>59161.485999999997</v>
      </c>
      <c r="HZ296" s="180"/>
    </row>
    <row r="297" spans="1:234">
      <c r="A297" s="185" t="s">
        <v>492</v>
      </c>
      <c r="B297" s="197">
        <v>2852.34</v>
      </c>
      <c r="C297" s="198"/>
      <c r="D297" s="198"/>
      <c r="E297" s="198"/>
      <c r="F297" s="198"/>
      <c r="G297" s="198"/>
      <c r="H297" s="198"/>
      <c r="I297" s="197">
        <v>343771</v>
      </c>
      <c r="J297" s="198"/>
      <c r="K297" s="198"/>
      <c r="L297" s="198">
        <v>30087</v>
      </c>
      <c r="M297" s="198">
        <v>60969.3</v>
      </c>
      <c r="N297" s="198"/>
      <c r="O297" s="199">
        <v>217899.50000000003</v>
      </c>
      <c r="P297" s="197">
        <v>7261.3850000000002</v>
      </c>
      <c r="Q297" s="198">
        <v>40.36</v>
      </c>
      <c r="R297" s="198">
        <v>304.83199999999999</v>
      </c>
      <c r="S297" s="198">
        <v>429.87799999999999</v>
      </c>
      <c r="T297" s="198">
        <v>5204.098</v>
      </c>
      <c r="U297" s="198"/>
      <c r="V297" s="199">
        <f>P297-Q297-R297-S297-T297</f>
        <v>1282.2170000000006</v>
      </c>
      <c r="W297" s="197">
        <v>6171.7520000000004</v>
      </c>
      <c r="X297" s="198">
        <v>155.417</v>
      </c>
      <c r="Y297" s="198">
        <v>891.13699999999994</v>
      </c>
      <c r="Z297" s="198">
        <v>240.18799999999999</v>
      </c>
      <c r="AA297" s="198">
        <v>3196.3090000000002</v>
      </c>
      <c r="AB297" s="198"/>
      <c r="AC297" s="199">
        <f t="shared" si="33"/>
        <v>1688.701</v>
      </c>
      <c r="AD297" s="198"/>
      <c r="AE297" s="198">
        <v>30.754000000000001</v>
      </c>
      <c r="AF297" s="198">
        <v>332.46100000000001</v>
      </c>
      <c r="AG297" s="198">
        <v>679.87900000000002</v>
      </c>
      <c r="AH297" s="198">
        <v>403.38099999999997</v>
      </c>
      <c r="AI297" s="198">
        <v>65.570999999999998</v>
      </c>
      <c r="AJ297" s="198"/>
      <c r="AK297" s="197"/>
      <c r="AL297" s="198"/>
      <c r="AM297" s="198"/>
      <c r="AN297" s="198"/>
      <c r="AO297" s="198"/>
      <c r="AP297" s="198"/>
      <c r="AQ297" s="199"/>
      <c r="AR297" s="198">
        <v>2106585</v>
      </c>
      <c r="AS297" s="198">
        <v>468065</v>
      </c>
      <c r="AT297" s="198">
        <v>242795</v>
      </c>
      <c r="AU297" s="198">
        <v>293907</v>
      </c>
      <c r="AV297" s="198">
        <v>754871</v>
      </c>
      <c r="AW297" s="198"/>
      <c r="AX297" s="198">
        <v>346947</v>
      </c>
      <c r="AY297" s="197">
        <v>92573464</v>
      </c>
      <c r="AZ297" s="198"/>
      <c r="BA297" s="198">
        <v>56644329</v>
      </c>
      <c r="BB297" s="198">
        <v>22805720</v>
      </c>
      <c r="BC297" s="198">
        <v>11945511</v>
      </c>
      <c r="BD297" s="198"/>
      <c r="BE297" s="198"/>
      <c r="BF297" s="197">
        <v>222725939.29000002</v>
      </c>
      <c r="BG297" s="198"/>
      <c r="BH297" s="198">
        <v>136305702.29000002</v>
      </c>
      <c r="BI297" s="198">
        <v>16622559.76</v>
      </c>
      <c r="BJ297" s="198">
        <v>63589708.819999978</v>
      </c>
      <c r="BK297" s="198">
        <v>6207968.4200000009</v>
      </c>
      <c r="BL297" s="198"/>
      <c r="BM297" s="197">
        <v>10894083.302999999</v>
      </c>
      <c r="BN297" s="198">
        <v>429575.386</v>
      </c>
      <c r="BO297" s="198">
        <v>1177164.0559999999</v>
      </c>
      <c r="BP297" s="198">
        <v>3630751.173</v>
      </c>
      <c r="BQ297" s="198">
        <v>2971869.5449999999</v>
      </c>
      <c r="BR297" s="198"/>
      <c r="BS297" s="198">
        <f t="shared" si="40"/>
        <v>2684723.1429999992</v>
      </c>
      <c r="BT297" s="197"/>
      <c r="BU297" s="198"/>
      <c r="BV297" s="198"/>
      <c r="BW297" s="198"/>
      <c r="BX297" s="198"/>
      <c r="BY297" s="198"/>
      <c r="BZ297" s="199"/>
      <c r="CA297" s="198">
        <v>931.71600000000001</v>
      </c>
      <c r="CB297" s="198"/>
      <c r="CC297" s="198"/>
      <c r="CD297" s="198"/>
      <c r="CE297" s="198"/>
      <c r="CF297" s="198"/>
      <c r="CG297" s="199"/>
      <c r="CH297" s="197">
        <v>21751032.837520003</v>
      </c>
      <c r="CI297" s="198"/>
      <c r="CJ297" s="198">
        <v>9527115.2805700004</v>
      </c>
      <c r="CK297" s="198">
        <v>1798492.5989699999</v>
      </c>
      <c r="CL297" s="198">
        <v>7802846.5418000016</v>
      </c>
      <c r="CM297" s="198">
        <v>2622578.4161800006</v>
      </c>
      <c r="CN297" s="198"/>
      <c r="CO297" s="197">
        <v>8822.7180014799997</v>
      </c>
      <c r="CP297" s="198">
        <v>932.63573854000015</v>
      </c>
      <c r="CQ297" s="198">
        <v>1310.0131308500002</v>
      </c>
      <c r="CR297" s="198">
        <v>2152.2277601199999</v>
      </c>
      <c r="CS297" s="198">
        <v>2540.8831706499996</v>
      </c>
      <c r="CT297" s="198"/>
      <c r="CU297" s="198">
        <v>1886.9582013199999</v>
      </c>
      <c r="CV297" s="197">
        <v>2004.02</v>
      </c>
      <c r="CW297" s="198"/>
      <c r="CX297" s="198"/>
      <c r="CY297" s="198"/>
      <c r="CZ297" s="198"/>
      <c r="DA297" s="198"/>
      <c r="DB297" s="199"/>
      <c r="DC297" s="197">
        <v>97372.834000000003</v>
      </c>
      <c r="DD297" s="198">
        <v>11180.948</v>
      </c>
      <c r="DE297" s="198">
        <v>19095.866999999998</v>
      </c>
      <c r="DF297" s="198"/>
      <c r="DG297" s="198">
        <v>26711.912</v>
      </c>
      <c r="DH297" s="198"/>
      <c r="DI297" s="198">
        <f t="shared" ref="DI297:DI305" si="41">DC297-DD297-DE297-DG297</f>
        <v>40384.107000000004</v>
      </c>
      <c r="DJ297" s="197">
        <f>4518.5+93797.6</f>
        <v>98316.1</v>
      </c>
      <c r="DK297" s="198">
        <f>2676.7+19878.8</f>
        <v>22555.5</v>
      </c>
      <c r="DL297" s="198">
        <f>2508.9+22773.9</f>
        <v>25282.800000000003</v>
      </c>
      <c r="DM297" s="198">
        <v>6441.2</v>
      </c>
      <c r="DN297" s="198">
        <f>21638.3-DM297</f>
        <v>15197.099999999999</v>
      </c>
      <c r="DO297" s="198"/>
      <c r="DP297" s="198">
        <f t="shared" si="38"/>
        <v>28839.5</v>
      </c>
      <c r="DQ297" s="197"/>
      <c r="DR297" s="198"/>
      <c r="DS297" s="198"/>
      <c r="DT297" s="198"/>
      <c r="DU297" s="198"/>
      <c r="DV297" s="198"/>
      <c r="DW297" s="198"/>
      <c r="DX297" s="197">
        <v>169374.76692168001</v>
      </c>
      <c r="DY297" s="198"/>
      <c r="DZ297" s="198">
        <v>111033.17522053</v>
      </c>
      <c r="EA297" s="198">
        <v>30833.947178670005</v>
      </c>
      <c r="EB297" s="198">
        <v>25727.552441219999</v>
      </c>
      <c r="EC297" s="198">
        <v>1780.09208126</v>
      </c>
      <c r="ED297" s="198"/>
      <c r="EE297" s="197">
        <v>277917.51400000002</v>
      </c>
      <c r="EF297" s="198">
        <v>8143.8130000000001</v>
      </c>
      <c r="EG297" s="198">
        <v>63758.343000000001</v>
      </c>
      <c r="EH297" s="198">
        <v>22569.571</v>
      </c>
      <c r="EI297" s="198">
        <v>115880.34600000001</v>
      </c>
      <c r="EJ297" s="198"/>
      <c r="EK297" s="198">
        <f t="shared" si="34"/>
        <v>67565.441000000006</v>
      </c>
      <c r="EL297" s="197">
        <v>2511058.5511770006</v>
      </c>
      <c r="EM297" s="198">
        <v>1147956.77556</v>
      </c>
      <c r="EN297" s="198">
        <v>65022.238688000012</v>
      </c>
      <c r="EO297" s="198">
        <v>424755.06857800001</v>
      </c>
      <c r="EP297" s="198">
        <v>523148.06787100009</v>
      </c>
      <c r="EQ297" s="198"/>
      <c r="ER297" s="198">
        <v>350176.40048000001</v>
      </c>
      <c r="ES297" s="197">
        <v>57137.692712210039</v>
      </c>
      <c r="ET297" s="198">
        <v>8977.8331121200008</v>
      </c>
      <c r="EU297" s="198">
        <v>20226.416720879999</v>
      </c>
      <c r="EV297" s="198">
        <v>7855.5437509499998</v>
      </c>
      <c r="EW297" s="198">
        <v>12849.814488240041</v>
      </c>
      <c r="EX297" s="198"/>
      <c r="EY297" s="198">
        <f t="shared" si="24"/>
        <v>7228.0846400199953</v>
      </c>
      <c r="EZ297" s="197">
        <v>29718.348467530999</v>
      </c>
      <c r="FA297" s="198">
        <v>1722.9314724599999</v>
      </c>
      <c r="FB297" s="198">
        <v>8560.4723331109999</v>
      </c>
      <c r="FC297" s="198">
        <v>7990.7042578099999</v>
      </c>
      <c r="FD297" s="198">
        <v>5817.3501434099999</v>
      </c>
      <c r="FE297" s="198">
        <v>0</v>
      </c>
      <c r="FF297" s="198">
        <f t="shared" si="39"/>
        <v>5626.8902607399978</v>
      </c>
      <c r="FG297" s="197">
        <v>37916519.233370006</v>
      </c>
      <c r="FH297" s="198">
        <v>3417787.2826409996</v>
      </c>
      <c r="FI297" s="198">
        <v>8695961.6913040001</v>
      </c>
      <c r="FJ297" s="198"/>
      <c r="FK297" s="198">
        <v>5799373.4919970008</v>
      </c>
      <c r="FL297" s="198"/>
      <c r="FM297" s="198">
        <f t="shared" si="36"/>
        <v>20003396.767428007</v>
      </c>
      <c r="FN297" s="197">
        <v>131009.515464</v>
      </c>
      <c r="FO297" s="198">
        <v>21613.287579</v>
      </c>
      <c r="FP297" s="198">
        <v>20065.785383999999</v>
      </c>
      <c r="FQ297" s="198">
        <v>20469.825368999998</v>
      </c>
      <c r="FR297" s="198">
        <v>23683.294381</v>
      </c>
      <c r="FS297" s="198"/>
      <c r="FT297" s="199">
        <f t="shared" si="35"/>
        <v>45177.322751</v>
      </c>
      <c r="FU297" s="197"/>
      <c r="FV297" s="198"/>
      <c r="FW297" s="198"/>
      <c r="FX297" s="198"/>
      <c r="FY297" s="198"/>
      <c r="FZ297" s="198"/>
      <c r="GA297" s="199"/>
      <c r="GB297" s="197">
        <v>2505.0540000000001</v>
      </c>
      <c r="GC297" s="198"/>
      <c r="GD297" s="198"/>
      <c r="GE297" s="198"/>
      <c r="GF297" s="198"/>
      <c r="GG297" s="198"/>
      <c r="GH297" s="199"/>
      <c r="GI297" s="197">
        <v>1133.1089999999999</v>
      </c>
      <c r="GJ297" s="198"/>
      <c r="GK297" s="198"/>
      <c r="GL297" s="198"/>
      <c r="GM297" s="198"/>
      <c r="GN297" s="198"/>
      <c r="GO297" s="199"/>
      <c r="GP297" s="197">
        <v>4026.5770000000002</v>
      </c>
      <c r="GQ297" s="198"/>
      <c r="GR297" s="198"/>
      <c r="GS297" s="198"/>
      <c r="GT297" s="198"/>
      <c r="GU297" s="198"/>
      <c r="GV297" s="199"/>
      <c r="GW297" s="197">
        <f>[5]sur!P81</f>
        <v>3960.5</v>
      </c>
      <c r="GX297" s="198">
        <f>[5]sur!Q81</f>
        <v>329.5</v>
      </c>
      <c r="GY297" s="198">
        <f>[5]sur!R81</f>
        <v>1057</v>
      </c>
      <c r="GZ297" s="198">
        <f>[5]sur!S81</f>
        <v>617.70000000000005</v>
      </c>
      <c r="HA297" s="198"/>
      <c r="HB297" s="198"/>
      <c r="HC297" s="199">
        <f>[5]sur!V81</f>
        <v>1956.3</v>
      </c>
      <c r="HD297" s="197"/>
      <c r="HE297" s="198"/>
      <c r="HF297" s="198"/>
      <c r="HG297" s="198"/>
      <c r="HH297" s="198"/>
      <c r="HI297" s="198"/>
      <c r="HJ297" s="199"/>
      <c r="HK297" s="197">
        <v>11804.026250999999</v>
      </c>
      <c r="HL297" s="198">
        <v>1860.586112</v>
      </c>
      <c r="HM297" s="198">
        <v>1387.438163</v>
      </c>
      <c r="HN297" s="198">
        <v>271.545164</v>
      </c>
      <c r="HO297" s="198">
        <v>4392.6729530000002</v>
      </c>
      <c r="HP297" s="198"/>
      <c r="HQ297" s="198">
        <f t="shared" si="37"/>
        <v>3891.7838589999983</v>
      </c>
      <c r="HR297" s="197">
        <v>307386.86299999995</v>
      </c>
      <c r="HS297" s="198">
        <v>31206.201000000001</v>
      </c>
      <c r="HT297" s="198">
        <v>100795.30100000001</v>
      </c>
      <c r="HU297" s="198">
        <v>39564.527999999998</v>
      </c>
      <c r="HV297" s="198">
        <v>48625.540999999997</v>
      </c>
      <c r="HW297" s="198">
        <v>11286.915000000001</v>
      </c>
      <c r="HX297" s="198">
        <v>60552.716999999997</v>
      </c>
      <c r="HZ297" s="180"/>
    </row>
    <row r="298" spans="1:234">
      <c r="A298" s="185" t="s">
        <v>493</v>
      </c>
      <c r="B298" s="197">
        <v>2858.9290000000001</v>
      </c>
      <c r="C298" s="198"/>
      <c r="D298" s="198"/>
      <c r="E298" s="198"/>
      <c r="F298" s="198"/>
      <c r="G298" s="198"/>
      <c r="H298" s="198"/>
      <c r="I298" s="197">
        <v>349944.4</v>
      </c>
      <c r="J298" s="198"/>
      <c r="K298" s="198"/>
      <c r="L298" s="198">
        <v>30411</v>
      </c>
      <c r="M298" s="198">
        <v>62695.8</v>
      </c>
      <c r="N298" s="198"/>
      <c r="O298" s="199">
        <v>221723.9</v>
      </c>
      <c r="P298" s="197">
        <v>7200.0770000000002</v>
      </c>
      <c r="Q298" s="198">
        <v>40.630000000000003</v>
      </c>
      <c r="R298" s="198">
        <v>308.69200000000001</v>
      </c>
      <c r="S298" s="198">
        <v>412.26600000000002</v>
      </c>
      <c r="T298" s="198">
        <v>5203.8389999999999</v>
      </c>
      <c r="U298" s="198"/>
      <c r="V298" s="199">
        <f>P298-Q298-R298-S298-T298</f>
        <v>1234.6500000000005</v>
      </c>
      <c r="W298" s="197">
        <v>6172.0069999999996</v>
      </c>
      <c r="X298" s="198">
        <v>159.636</v>
      </c>
      <c r="Y298" s="198">
        <v>885.553</v>
      </c>
      <c r="Z298" s="198">
        <v>242.09100000000001</v>
      </c>
      <c r="AA298" s="198">
        <v>3194.0129999999999</v>
      </c>
      <c r="AB298" s="198"/>
      <c r="AC298" s="199">
        <f t="shared" si="33"/>
        <v>1690.713999999999</v>
      </c>
      <c r="AD298" s="198"/>
      <c r="AE298" s="198">
        <v>29.904</v>
      </c>
      <c r="AF298" s="198">
        <v>330.09699999999998</v>
      </c>
      <c r="AG298" s="198">
        <v>686.18299999999999</v>
      </c>
      <c r="AH298" s="198">
        <v>403.69299999999998</v>
      </c>
      <c r="AI298" s="198">
        <v>65.616</v>
      </c>
      <c r="AJ298" s="198"/>
      <c r="AK298" s="197"/>
      <c r="AL298" s="198"/>
      <c r="AM298" s="198"/>
      <c r="AN298" s="198"/>
      <c r="AO298" s="198"/>
      <c r="AP298" s="198"/>
      <c r="AQ298" s="199"/>
      <c r="AR298" s="198">
        <v>2142061</v>
      </c>
      <c r="AS298" s="198">
        <v>476685</v>
      </c>
      <c r="AT298" s="198">
        <v>244409</v>
      </c>
      <c r="AU298" s="198">
        <v>301265</v>
      </c>
      <c r="AV298" s="198">
        <v>765546</v>
      </c>
      <c r="AW298" s="198"/>
      <c r="AX298" s="198">
        <v>354156</v>
      </c>
      <c r="AY298" s="197">
        <v>96407467</v>
      </c>
      <c r="AZ298" s="198"/>
      <c r="BA298" s="198">
        <v>59577482</v>
      </c>
      <c r="BB298" s="198">
        <v>23120096</v>
      </c>
      <c r="BC298" s="198">
        <v>12591261</v>
      </c>
      <c r="BD298" s="198"/>
      <c r="BE298" s="198"/>
      <c r="BF298" s="197">
        <v>226076309.47000003</v>
      </c>
      <c r="BG298" s="198"/>
      <c r="BH298" s="198">
        <v>138508057.07000005</v>
      </c>
      <c r="BI298" s="198">
        <v>16667229.350000005</v>
      </c>
      <c r="BJ298" s="198">
        <v>64603650.999999993</v>
      </c>
      <c r="BK298" s="198">
        <v>6297372.0500000017</v>
      </c>
      <c r="BL298" s="198"/>
      <c r="BM298" s="197">
        <v>10963753.476</v>
      </c>
      <c r="BN298" s="198">
        <v>430954.43299999996</v>
      </c>
      <c r="BO298" s="198">
        <v>1156096.8709999998</v>
      </c>
      <c r="BP298" s="198">
        <v>3670006.1520000002</v>
      </c>
      <c r="BQ298" s="198">
        <v>3014604.8530000001</v>
      </c>
      <c r="BR298" s="198"/>
      <c r="BS298" s="198">
        <f t="shared" si="40"/>
        <v>2692091.1669999994</v>
      </c>
      <c r="BT298" s="197"/>
      <c r="BU298" s="198"/>
      <c r="BV298" s="198"/>
      <c r="BW298" s="198"/>
      <c r="BX298" s="198"/>
      <c r="BY298" s="198"/>
      <c r="BZ298" s="199"/>
      <c r="CA298" s="198">
        <v>938.54499999999996</v>
      </c>
      <c r="CB298" s="198"/>
      <c r="CC298" s="198"/>
      <c r="CD298" s="198"/>
      <c r="CE298" s="198"/>
      <c r="CF298" s="198"/>
      <c r="CG298" s="199"/>
      <c r="CH298" s="197">
        <v>21992854.701129999</v>
      </c>
      <c r="CI298" s="198"/>
      <c r="CJ298" s="198">
        <v>9620354.2118800003</v>
      </c>
      <c r="CK298" s="198">
        <v>1766719.4181599997</v>
      </c>
      <c r="CL298" s="198">
        <v>7933075.6267399983</v>
      </c>
      <c r="CM298" s="198">
        <v>2672705.4443500005</v>
      </c>
      <c r="CN298" s="198"/>
      <c r="CO298" s="197">
        <v>8813.182936969999</v>
      </c>
      <c r="CP298" s="198">
        <v>937.25678003999997</v>
      </c>
      <c r="CQ298" s="198">
        <v>1289.1759165400001</v>
      </c>
      <c r="CR298" s="198">
        <v>2153.3896636099998</v>
      </c>
      <c r="CS298" s="198">
        <v>2560.2225101699992</v>
      </c>
      <c r="CT298" s="198"/>
      <c r="CU298" s="198">
        <v>1873.1380666099997</v>
      </c>
      <c r="CV298" s="197">
        <v>2007.5419999999999</v>
      </c>
      <c r="CW298" s="198"/>
      <c r="CX298" s="198"/>
      <c r="CY298" s="198"/>
      <c r="CZ298" s="198"/>
      <c r="DA298" s="198"/>
      <c r="DB298" s="199"/>
      <c r="DC298" s="197">
        <v>98636.232000000004</v>
      </c>
      <c r="DD298" s="198">
        <v>11459.342000000001</v>
      </c>
      <c r="DE298" s="198">
        <v>19096.333999999999</v>
      </c>
      <c r="DF298" s="198"/>
      <c r="DG298" s="198">
        <v>27129.834999999999</v>
      </c>
      <c r="DH298" s="198"/>
      <c r="DI298" s="198">
        <f t="shared" si="41"/>
        <v>40950.720999999998</v>
      </c>
      <c r="DJ298" s="197">
        <f>3890.6+94485.4</f>
        <v>98376</v>
      </c>
      <c r="DK298" s="198">
        <f>2414+20570.5</f>
        <v>22984.5</v>
      </c>
      <c r="DL298" s="198">
        <f>2503.2+22650.3</f>
        <v>25153.5</v>
      </c>
      <c r="DM298" s="198">
        <v>6581.9</v>
      </c>
      <c r="DN298" s="198">
        <f>22109.5-DM298</f>
        <v>15527.6</v>
      </c>
      <c r="DO298" s="198"/>
      <c r="DP298" s="198">
        <f t="shared" si="38"/>
        <v>28128.5</v>
      </c>
      <c r="DQ298" s="197"/>
      <c r="DR298" s="198"/>
      <c r="DS298" s="198"/>
      <c r="DT298" s="198"/>
      <c r="DU298" s="198"/>
      <c r="DV298" s="198"/>
      <c r="DW298" s="198"/>
      <c r="DX298" s="197">
        <v>170830.90679589999</v>
      </c>
      <c r="DY298" s="198"/>
      <c r="DZ298" s="198">
        <v>111686.64638767</v>
      </c>
      <c r="EA298" s="198">
        <v>31070.908236539995</v>
      </c>
      <c r="EB298" s="198">
        <v>26234.683713030001</v>
      </c>
      <c r="EC298" s="198">
        <v>1838.6684586599999</v>
      </c>
      <c r="ED298" s="198"/>
      <c r="EE298" s="197">
        <v>286924.24200000003</v>
      </c>
      <c r="EF298" s="198">
        <v>8752.018</v>
      </c>
      <c r="EG298" s="198">
        <v>67490.698000000004</v>
      </c>
      <c r="EH298" s="198">
        <v>22851.936000000002</v>
      </c>
      <c r="EI298" s="198">
        <v>119533.781</v>
      </c>
      <c r="EJ298" s="198"/>
      <c r="EK298" s="198">
        <f t="shared" si="34"/>
        <v>68295.809000000023</v>
      </c>
      <c r="EL298" s="197">
        <v>2568398.5645170002</v>
      </c>
      <c r="EM298" s="198">
        <v>1189058.4609650001</v>
      </c>
      <c r="EN298" s="198">
        <v>70914.572305999987</v>
      </c>
      <c r="EO298" s="198">
        <v>427771.71751300001</v>
      </c>
      <c r="EP298" s="198">
        <v>531259.47979299992</v>
      </c>
      <c r="EQ298" s="198"/>
      <c r="ER298" s="198">
        <v>349394.33393999998</v>
      </c>
      <c r="ES298" s="197">
        <v>58451.243420489969</v>
      </c>
      <c r="ET298" s="198">
        <v>9655.6775132000002</v>
      </c>
      <c r="EU298" s="198">
        <v>20433.671900000001</v>
      </c>
      <c r="EV298" s="198">
        <v>7978.5386701099897</v>
      </c>
      <c r="EW298" s="198">
        <v>13144.943716309979</v>
      </c>
      <c r="EX298" s="198"/>
      <c r="EY298" s="198">
        <f t="shared" si="24"/>
        <v>7238.4116208700034</v>
      </c>
      <c r="EZ298" s="197">
        <v>30414.979928989302</v>
      </c>
      <c r="FA298" s="198">
        <v>1706.8920780225001</v>
      </c>
      <c r="FB298" s="198">
        <v>8756.9157166943005</v>
      </c>
      <c r="FC298" s="198">
        <v>8090.5719638499904</v>
      </c>
      <c r="FD298" s="198">
        <v>5879.5328243599997</v>
      </c>
      <c r="FE298" s="198">
        <v>0</v>
      </c>
      <c r="FF298" s="198">
        <f t="shared" si="39"/>
        <v>5981.0673460625094</v>
      </c>
      <c r="FG298" s="197">
        <v>38602633.114349</v>
      </c>
      <c r="FH298" s="198">
        <v>3583844.0108469999</v>
      </c>
      <c r="FI298" s="198">
        <v>8923656.6314180009</v>
      </c>
      <c r="FJ298" s="198"/>
      <c r="FK298" s="198">
        <v>5920356.8406109996</v>
      </c>
      <c r="FL298" s="198"/>
      <c r="FM298" s="198">
        <f t="shared" si="36"/>
        <v>20174775.631472997</v>
      </c>
      <c r="FN298" s="197">
        <v>134746.00828000001</v>
      </c>
      <c r="FO298" s="198">
        <v>22253.308721999998</v>
      </c>
      <c r="FP298" s="198">
        <v>20441.575982000002</v>
      </c>
      <c r="FQ298" s="198">
        <v>21168.799870999999</v>
      </c>
      <c r="FR298" s="198">
        <v>24349.269068000001</v>
      </c>
      <c r="FS298" s="198"/>
      <c r="FT298" s="199">
        <f t="shared" si="35"/>
        <v>46533.054637000016</v>
      </c>
      <c r="FU298" s="197"/>
      <c r="FV298" s="198"/>
      <c r="FW298" s="198"/>
      <c r="FX298" s="198"/>
      <c r="FY298" s="198"/>
      <c r="FZ298" s="198"/>
      <c r="GA298" s="199"/>
      <c r="GB298" s="197">
        <v>2505.7330000000002</v>
      </c>
      <c r="GC298" s="198"/>
      <c r="GD298" s="198"/>
      <c r="GE298" s="198"/>
      <c r="GF298" s="198"/>
      <c r="GG298" s="198"/>
      <c r="GH298" s="199"/>
      <c r="GI298" s="197">
        <v>1135.9290000000001</v>
      </c>
      <c r="GJ298" s="198"/>
      <c r="GK298" s="198"/>
      <c r="GL298" s="198"/>
      <c r="GM298" s="198"/>
      <c r="GN298" s="198"/>
      <c r="GO298" s="199"/>
      <c r="GP298" s="197">
        <v>4294.4719999999998</v>
      </c>
      <c r="GQ298" s="198"/>
      <c r="GR298" s="198"/>
      <c r="GS298" s="198"/>
      <c r="GT298" s="198"/>
      <c r="GU298" s="198"/>
      <c r="GV298" s="199"/>
      <c r="GW298" s="197">
        <f>[5]sur!P82</f>
        <v>3969.6000000000004</v>
      </c>
      <c r="GX298" s="198">
        <f>[5]sur!Q82</f>
        <v>329</v>
      </c>
      <c r="GY298" s="198">
        <f>[5]sur!R82</f>
        <v>1059.3</v>
      </c>
      <c r="GZ298" s="198">
        <f>[5]sur!S82</f>
        <v>661.6</v>
      </c>
      <c r="HA298" s="198"/>
      <c r="HB298" s="198"/>
      <c r="HC298" s="199">
        <f>[5]sur!V82</f>
        <v>1919.7</v>
      </c>
      <c r="HD298" s="197"/>
      <c r="HE298" s="198"/>
      <c r="HF298" s="198"/>
      <c r="HG298" s="198"/>
      <c r="HH298" s="198"/>
      <c r="HI298" s="198"/>
      <c r="HJ298" s="199"/>
      <c r="HK298" s="197">
        <v>11601.458851000001</v>
      </c>
      <c r="HL298" s="198">
        <v>1908.87572</v>
      </c>
      <c r="HM298" s="198">
        <v>1510.498171</v>
      </c>
      <c r="HN298" s="198">
        <v>270.81563</v>
      </c>
      <c r="HO298" s="198">
        <v>4167.6821540000001</v>
      </c>
      <c r="HP298" s="198"/>
      <c r="HQ298" s="198">
        <f t="shared" si="37"/>
        <v>3743.5871760000009</v>
      </c>
      <c r="HR298" s="197">
        <v>319827.63800000004</v>
      </c>
      <c r="HS298" s="198">
        <v>31806.325000000001</v>
      </c>
      <c r="HT298" s="198">
        <v>106931.22500000001</v>
      </c>
      <c r="HU298" s="198">
        <v>40060.093000000001</v>
      </c>
      <c r="HV298" s="198">
        <v>50613.430999999997</v>
      </c>
      <c r="HW298" s="198">
        <v>12033.297</v>
      </c>
      <c r="HX298" s="198">
        <v>62557.514000000003</v>
      </c>
      <c r="HZ298" s="180"/>
    </row>
    <row r="299" spans="1:234">
      <c r="A299" s="185" t="s">
        <v>494</v>
      </c>
      <c r="B299" s="197">
        <v>2845.0529999999999</v>
      </c>
      <c r="C299" s="198">
        <v>44.7</v>
      </c>
      <c r="D299" s="198">
        <v>538.49900000000002</v>
      </c>
      <c r="E299" s="198">
        <v>805.52800000000002</v>
      </c>
      <c r="F299" s="198">
        <v>512.79999999999995</v>
      </c>
      <c r="G299" s="198"/>
      <c r="H299" s="198">
        <v>943.52599999999995</v>
      </c>
      <c r="I299" s="197">
        <v>359781</v>
      </c>
      <c r="J299" s="198"/>
      <c r="K299" s="198"/>
      <c r="L299" s="198">
        <v>31030.7</v>
      </c>
      <c r="M299" s="198">
        <v>63679.3</v>
      </c>
      <c r="N299" s="198"/>
      <c r="O299" s="199">
        <v>229421.4</v>
      </c>
      <c r="P299" s="197">
        <v>7188.2309999999998</v>
      </c>
      <c r="Q299" s="198">
        <v>41.265000000000001</v>
      </c>
      <c r="R299" s="198">
        <v>306.05599999999998</v>
      </c>
      <c r="S299" s="198">
        <v>430.53300000000002</v>
      </c>
      <c r="T299" s="198">
        <v>5207.0959999999995</v>
      </c>
      <c r="U299" s="198"/>
      <c r="V299" s="199">
        <f>P299-Q299-R299-S299-T299</f>
        <v>1203.2809999999999</v>
      </c>
      <c r="W299" s="197">
        <v>6214.1859999999997</v>
      </c>
      <c r="X299" s="198">
        <v>153.12200000000001</v>
      </c>
      <c r="Y299" s="198">
        <v>921.25199999999995</v>
      </c>
      <c r="Z299" s="198">
        <v>223.524</v>
      </c>
      <c r="AA299" s="198">
        <v>3210.279</v>
      </c>
      <c r="AB299" s="198"/>
      <c r="AC299" s="199">
        <f t="shared" si="33"/>
        <v>1706.0089999999996</v>
      </c>
      <c r="AD299" s="198">
        <f>[1]datos!$S431</f>
        <v>2214.8980000000001</v>
      </c>
      <c r="AE299" s="198">
        <v>29.486999999999998</v>
      </c>
      <c r="AF299" s="198">
        <v>329.51499999999999</v>
      </c>
      <c r="AG299" s="198">
        <v>697.79100000000005</v>
      </c>
      <c r="AH299" s="198">
        <v>403.91699999999997</v>
      </c>
      <c r="AI299" s="198">
        <v>60.040999999999997</v>
      </c>
      <c r="AJ299" s="198">
        <f>AD299-AE299-AF299-AG299-AH299-AI299</f>
        <v>694.14700000000016</v>
      </c>
      <c r="AK299" s="197">
        <v>64069.520000000004</v>
      </c>
      <c r="AL299" s="198">
        <v>26973.267920000002</v>
      </c>
      <c r="AM299" s="198"/>
      <c r="AN299" s="198">
        <v>12493.556399999999</v>
      </c>
      <c r="AO299" s="198">
        <v>7688.3423999999995</v>
      </c>
      <c r="AP299" s="198">
        <v>16978.4228</v>
      </c>
      <c r="AQ299" s="199"/>
      <c r="AR299" s="198">
        <v>2175135</v>
      </c>
      <c r="AS299" s="198">
        <v>484157</v>
      </c>
      <c r="AT299" s="198">
        <v>248252</v>
      </c>
      <c r="AU299" s="198">
        <v>309603</v>
      </c>
      <c r="AV299" s="198">
        <v>772709</v>
      </c>
      <c r="AW299" s="198"/>
      <c r="AX299" s="198">
        <v>360414</v>
      </c>
      <c r="AY299" s="197">
        <v>97144896</v>
      </c>
      <c r="AZ299" s="198"/>
      <c r="BA299" s="198">
        <v>59910946</v>
      </c>
      <c r="BB299" s="198">
        <v>23319110</v>
      </c>
      <c r="BC299" s="198">
        <v>12641051</v>
      </c>
      <c r="BD299" s="198"/>
      <c r="BE299" s="198"/>
      <c r="BF299" s="197">
        <v>228856503.21000001</v>
      </c>
      <c r="BG299" s="198"/>
      <c r="BH299" s="198">
        <v>139986591.96999997</v>
      </c>
      <c r="BI299" s="198">
        <v>17009095.190000001</v>
      </c>
      <c r="BJ299" s="198">
        <v>65454446.590000004</v>
      </c>
      <c r="BK299" s="198">
        <v>6406369.46</v>
      </c>
      <c r="BL299" s="198"/>
      <c r="BM299" s="197">
        <v>11073530.827</v>
      </c>
      <c r="BN299" s="198">
        <v>427892.326</v>
      </c>
      <c r="BO299" s="198">
        <v>1151085.067</v>
      </c>
      <c r="BP299" s="198">
        <v>3702719.977</v>
      </c>
      <c r="BQ299" s="198">
        <v>3079759.54</v>
      </c>
      <c r="BR299" s="198"/>
      <c r="BS299" s="198">
        <f t="shared" si="40"/>
        <v>2712073.9169999994</v>
      </c>
      <c r="BT299" s="197"/>
      <c r="BU299" s="198"/>
      <c r="BV299" s="198"/>
      <c r="BW299" s="198"/>
      <c r="BX299" s="198"/>
      <c r="BY299" s="198"/>
      <c r="BZ299" s="199"/>
      <c r="CA299" s="198">
        <v>934.53800000000001</v>
      </c>
      <c r="CB299" s="198">
        <v>39.838999999999999</v>
      </c>
      <c r="CC299" s="198">
        <v>147.52099999999999</v>
      </c>
      <c r="CD299" s="198">
        <v>262.24900000000002</v>
      </c>
      <c r="CE299" s="198">
        <v>156.41900000000001</v>
      </c>
      <c r="CF299" s="198"/>
      <c r="CG299" s="199">
        <f>CA299-CB299-CC299-CD299-CE299</f>
        <v>328.5100000000001</v>
      </c>
      <c r="CH299" s="197">
        <v>22309764.497449998</v>
      </c>
      <c r="CI299" s="198"/>
      <c r="CJ299" s="198">
        <v>9774022.7242799979</v>
      </c>
      <c r="CK299" s="198">
        <v>1784011.7028400002</v>
      </c>
      <c r="CL299" s="198">
        <v>8034198.0705500003</v>
      </c>
      <c r="CM299" s="198">
        <v>2717531.9997800002</v>
      </c>
      <c r="CN299" s="198"/>
      <c r="CO299" s="197">
        <v>8850.1437902699981</v>
      </c>
      <c r="CP299" s="198">
        <v>947.83161641000004</v>
      </c>
      <c r="CQ299" s="198">
        <v>1295.3222649900001</v>
      </c>
      <c r="CR299" s="198">
        <v>2153.7791737599996</v>
      </c>
      <c r="CS299" s="198">
        <v>2573.2745820899995</v>
      </c>
      <c r="CT299" s="198"/>
      <c r="CU299" s="198">
        <v>1879.9361530199992</v>
      </c>
      <c r="CV299" s="197">
        <v>2009.944</v>
      </c>
      <c r="CW299" s="198">
        <v>40.478000000000002</v>
      </c>
      <c r="CX299" s="198">
        <v>364.97399999999999</v>
      </c>
      <c r="CY299" s="198">
        <v>665.29100000000005</v>
      </c>
      <c r="CZ299" s="198">
        <v>552.59199999999998</v>
      </c>
      <c r="DA299" s="198"/>
      <c r="DB299" s="199">
        <f>CV299-CW299-CX299-CY299-CZ299</f>
        <v>386.60899999999992</v>
      </c>
      <c r="DC299" s="197">
        <v>99521.353000000003</v>
      </c>
      <c r="DD299" s="198">
        <v>11534.214</v>
      </c>
      <c r="DE299" s="198">
        <v>19077.625</v>
      </c>
      <c r="DF299" s="198"/>
      <c r="DG299" s="198">
        <v>27472.406999999999</v>
      </c>
      <c r="DH299" s="198"/>
      <c r="DI299" s="198">
        <f t="shared" si="41"/>
        <v>41437.106999999996</v>
      </c>
      <c r="DJ299" s="197">
        <f>3695.7+94781.3</f>
        <v>98477</v>
      </c>
      <c r="DK299" s="198">
        <f>2205.1+19836</f>
        <v>22041.1</v>
      </c>
      <c r="DL299" s="198">
        <f>2664.4+22345.6</f>
        <v>25010</v>
      </c>
      <c r="DM299" s="198">
        <v>6850.5</v>
      </c>
      <c r="DN299" s="198">
        <f>22283.5-DM299</f>
        <v>15433</v>
      </c>
      <c r="DO299" s="198"/>
      <c r="DP299" s="198">
        <f t="shared" si="38"/>
        <v>29142.399999999994</v>
      </c>
      <c r="DQ299" s="197">
        <v>51.278478939999999</v>
      </c>
      <c r="DR299" s="198">
        <v>8.2174656500000012</v>
      </c>
      <c r="DS299" s="198">
        <v>12.664239389999999</v>
      </c>
      <c r="DT299" s="198">
        <v>3.6934135499999998</v>
      </c>
      <c r="DU299" s="198">
        <v>5.4021968599999992</v>
      </c>
      <c r="DV299" s="198"/>
      <c r="DW299" s="198">
        <v>21.30116349</v>
      </c>
      <c r="DX299" s="197">
        <v>172290.13613704997</v>
      </c>
      <c r="DY299" s="198"/>
      <c r="DZ299" s="198">
        <v>112460.22661755999</v>
      </c>
      <c r="EA299" s="198">
        <v>31365.25697848</v>
      </c>
      <c r="EB299" s="198">
        <v>26587.374745599998</v>
      </c>
      <c r="EC299" s="198">
        <v>1877.27779541</v>
      </c>
      <c r="ED299" s="198"/>
      <c r="EE299" s="197">
        <v>287928.859</v>
      </c>
      <c r="EF299" s="198">
        <v>9442.2129999999997</v>
      </c>
      <c r="EG299" s="198">
        <v>65022.985000000001</v>
      </c>
      <c r="EH299" s="198">
        <v>21637.679</v>
      </c>
      <c r="EI299" s="198">
        <v>123382.264</v>
      </c>
      <c r="EJ299" s="198"/>
      <c r="EK299" s="198">
        <f t="shared" si="34"/>
        <v>68443.718000000023</v>
      </c>
      <c r="EL299" s="197">
        <v>2588656.2731139995</v>
      </c>
      <c r="EM299" s="198">
        <v>1179574.8030890001</v>
      </c>
      <c r="EN299" s="198">
        <v>71490.99476500001</v>
      </c>
      <c r="EO299" s="198">
        <v>431452.10985800007</v>
      </c>
      <c r="EP299" s="198">
        <v>541297.19512200006</v>
      </c>
      <c r="EQ299" s="198"/>
      <c r="ER299" s="198">
        <v>364841.17027999996</v>
      </c>
      <c r="ES299" s="197">
        <v>59639.54130574</v>
      </c>
      <c r="ET299" s="198">
        <v>9541.5162682800001</v>
      </c>
      <c r="EU299" s="198">
        <v>20480.48111248</v>
      </c>
      <c r="EV299" s="198">
        <v>8123.3788623700002</v>
      </c>
      <c r="EW299" s="198">
        <v>13873.392264119999</v>
      </c>
      <c r="EX299" s="198"/>
      <c r="EY299" s="198">
        <f t="shared" si="24"/>
        <v>7620.772798490003</v>
      </c>
      <c r="EZ299" s="197">
        <v>31034.131021370002</v>
      </c>
      <c r="FA299" s="198">
        <v>1726.0904564099999</v>
      </c>
      <c r="FB299" s="198">
        <v>9107.3089371700007</v>
      </c>
      <c r="FC299" s="198">
        <v>8195.8295700699891</v>
      </c>
      <c r="FD299" s="198">
        <v>5934.1950422500004</v>
      </c>
      <c r="FE299" s="198">
        <v>0</v>
      </c>
      <c r="FF299" s="198">
        <f t="shared" si="39"/>
        <v>6070.7070154700132</v>
      </c>
      <c r="FG299" s="197">
        <v>38658767.982987002</v>
      </c>
      <c r="FH299" s="198">
        <v>3531651.6516539999</v>
      </c>
      <c r="FI299" s="198">
        <v>9035535.210349001</v>
      </c>
      <c r="FJ299" s="198"/>
      <c r="FK299" s="198">
        <v>5925093.2485600002</v>
      </c>
      <c r="FL299" s="198"/>
      <c r="FM299" s="198">
        <f t="shared" si="36"/>
        <v>20166487.872424003</v>
      </c>
      <c r="FN299" s="197">
        <v>136660.55242600001</v>
      </c>
      <c r="FO299" s="198">
        <v>22276.633600000001</v>
      </c>
      <c r="FP299" s="198">
        <v>20763.202914999998</v>
      </c>
      <c r="FQ299" s="198">
        <v>21439.299085000002</v>
      </c>
      <c r="FR299" s="198">
        <v>24741.608955</v>
      </c>
      <c r="FS299" s="198"/>
      <c r="FT299" s="199">
        <f t="shared" si="35"/>
        <v>47439.807870999997</v>
      </c>
      <c r="FU299" s="197">
        <v>507220.65118051978</v>
      </c>
      <c r="FV299" s="198">
        <v>37076.701934909994</v>
      </c>
      <c r="FW299" s="198">
        <v>73537.642524429917</v>
      </c>
      <c r="FX299" s="198">
        <v>116398.82996778995</v>
      </c>
      <c r="FY299" s="198">
        <v>117972.52901789003</v>
      </c>
      <c r="FZ299" s="198"/>
      <c r="GA299" s="199">
        <f>FU299-FV299-FW299-FX299-FY299</f>
        <v>162234.94773549988</v>
      </c>
      <c r="GB299" s="197">
        <v>2493.116</v>
      </c>
      <c r="GC299" s="198">
        <v>24.539000000000001</v>
      </c>
      <c r="GD299" s="198">
        <v>256.12900000000002</v>
      </c>
      <c r="GE299" s="198">
        <v>501.96899999999999</v>
      </c>
      <c r="GF299" s="198">
        <v>423.42099999999999</v>
      </c>
      <c r="GG299" s="198"/>
      <c r="GH299" s="199">
        <f>GB299-GC299-GD299-GE299-GF299</f>
        <v>1287.0579999999998</v>
      </c>
      <c r="GI299" s="197">
        <v>1156.654</v>
      </c>
      <c r="GJ299" s="198">
        <v>39.533000000000001</v>
      </c>
      <c r="GK299" s="198">
        <v>174.50899999999999</v>
      </c>
      <c r="GL299" s="198">
        <v>366.20299999999997</v>
      </c>
      <c r="GM299" s="198">
        <v>307.44299999999998</v>
      </c>
      <c r="GN299" s="198"/>
      <c r="GO299" s="199">
        <f>GI299-GJ299-GK299-GL299-GM299</f>
        <v>268.96600000000012</v>
      </c>
      <c r="GP299" s="197">
        <v>4324.9560000000001</v>
      </c>
      <c r="GQ299" s="198">
        <v>106.40900000000001</v>
      </c>
      <c r="GR299" s="198">
        <v>1125.7249999999999</v>
      </c>
      <c r="GS299" s="198">
        <v>868.62300000000005</v>
      </c>
      <c r="GT299" s="198">
        <v>672.26700000000005</v>
      </c>
      <c r="GU299" s="198"/>
      <c r="GV299" s="199">
        <f>GP299-GQ299-GR299-GS299-GT299</f>
        <v>1551.9320000000005</v>
      </c>
      <c r="GW299" s="197">
        <f>[5]sur!P83</f>
        <v>4072.6</v>
      </c>
      <c r="GX299" s="198">
        <f>[5]sur!Q83</f>
        <v>327.5</v>
      </c>
      <c r="GY299" s="198">
        <f>[5]sur!R83</f>
        <v>1099.5</v>
      </c>
      <c r="GZ299" s="198">
        <f>[5]sur!S83</f>
        <v>665.1</v>
      </c>
      <c r="HA299" s="198"/>
      <c r="HB299" s="198"/>
      <c r="HC299" s="199">
        <f>[5]sur!V83</f>
        <v>1980.5</v>
      </c>
      <c r="HD299" s="197">
        <f>'[2]t&amp;t'!W431</f>
        <v>48719.299999999996</v>
      </c>
      <c r="HE299" s="198">
        <f>'[2]t&amp;t'!X431</f>
        <v>3691.2</v>
      </c>
      <c r="HF299" s="198">
        <f>'[2]t&amp;t'!Y431</f>
        <v>3193.6</v>
      </c>
      <c r="HG299" s="198">
        <f>'[2]t&amp;t'!Z431</f>
        <v>12386.400000000001</v>
      </c>
      <c r="HH299" s="198">
        <f>'[2]t&amp;t'!AA431</f>
        <v>11767.999999999998</v>
      </c>
      <c r="HI299" s="198"/>
      <c r="HJ299" s="199">
        <f>'[2]t&amp;t'!AC431</f>
        <v>17680.099999999999</v>
      </c>
      <c r="HK299" s="197">
        <v>11707.518962</v>
      </c>
      <c r="HL299" s="198">
        <v>1962.3777709999999</v>
      </c>
      <c r="HM299" s="198">
        <v>1568.1709019999998</v>
      </c>
      <c r="HN299" s="198">
        <v>282.21102100000002</v>
      </c>
      <c r="HO299" s="198">
        <v>4038.2327609999998</v>
      </c>
      <c r="HP299" s="198"/>
      <c r="HQ299" s="198">
        <f t="shared" si="37"/>
        <v>3856.5265070000009</v>
      </c>
      <c r="HR299" s="197">
        <v>336176.56400000001</v>
      </c>
      <c r="HS299" s="198">
        <v>33690.250999999997</v>
      </c>
      <c r="HT299" s="198">
        <v>113322.702</v>
      </c>
      <c r="HU299" s="198">
        <v>41003.345000000001</v>
      </c>
      <c r="HV299" s="198">
        <v>52927.898000000001</v>
      </c>
      <c r="HW299" s="198">
        <v>13119.45</v>
      </c>
      <c r="HX299" s="198">
        <v>65778.320999999996</v>
      </c>
      <c r="HZ299" s="180"/>
    </row>
    <row r="300" spans="1:234">
      <c r="A300" s="185" t="s">
        <v>495</v>
      </c>
      <c r="B300" s="197">
        <v>2846.7080000000001</v>
      </c>
      <c r="C300" s="198"/>
      <c r="D300" s="198"/>
      <c r="E300" s="198"/>
      <c r="F300" s="198"/>
      <c r="G300" s="198"/>
      <c r="H300" s="198"/>
      <c r="I300" s="197">
        <v>368014</v>
      </c>
      <c r="J300" s="198"/>
      <c r="K300" s="198"/>
      <c r="L300" s="198">
        <v>31419</v>
      </c>
      <c r="M300" s="198">
        <v>64835.7</v>
      </c>
      <c r="N300" s="198"/>
      <c r="O300" s="199">
        <v>234141.9</v>
      </c>
      <c r="P300" s="197">
        <v>7090.3940000000002</v>
      </c>
      <c r="Q300" s="198">
        <v>40.156999999999996</v>
      </c>
      <c r="R300" s="198">
        <v>306.14299999999997</v>
      </c>
      <c r="S300" s="198">
        <v>424.726</v>
      </c>
      <c r="T300" s="198">
        <v>5213.7020000000002</v>
      </c>
      <c r="U300" s="198"/>
      <c r="V300" s="199">
        <f>P300-Q300-R300-S300-T300</f>
        <v>1105.6660000000002</v>
      </c>
      <c r="W300" s="197">
        <v>6224.8090000000002</v>
      </c>
      <c r="X300" s="198">
        <v>155.154</v>
      </c>
      <c r="Y300" s="198">
        <v>927.649</v>
      </c>
      <c r="Z300" s="198">
        <v>222.97</v>
      </c>
      <c r="AA300" s="198">
        <v>3213.5479999999998</v>
      </c>
      <c r="AB300" s="198"/>
      <c r="AC300" s="199">
        <f t="shared" si="33"/>
        <v>1705.4880000000003</v>
      </c>
      <c r="AD300" s="198"/>
      <c r="AE300" s="198">
        <v>31.302</v>
      </c>
      <c r="AF300" s="198">
        <v>323.59200000000004</v>
      </c>
      <c r="AG300" s="198">
        <v>704.40200000000004</v>
      </c>
      <c r="AH300" s="198">
        <v>406.935</v>
      </c>
      <c r="AI300" s="198">
        <v>67.03</v>
      </c>
      <c r="AJ300" s="198"/>
      <c r="AK300" s="197"/>
      <c r="AL300" s="198"/>
      <c r="AM300" s="198"/>
      <c r="AN300" s="198"/>
      <c r="AO300" s="198"/>
      <c r="AP300" s="198"/>
      <c r="AQ300" s="199"/>
      <c r="AR300" s="198">
        <v>2192888</v>
      </c>
      <c r="AS300" s="198">
        <v>490905</v>
      </c>
      <c r="AT300" s="198">
        <v>248820</v>
      </c>
      <c r="AU300" s="198">
        <v>315606</v>
      </c>
      <c r="AV300" s="198">
        <v>776833</v>
      </c>
      <c r="AW300" s="198"/>
      <c r="AX300" s="198">
        <v>360724</v>
      </c>
      <c r="AY300" s="197">
        <v>97157266</v>
      </c>
      <c r="AZ300" s="198"/>
      <c r="BA300" s="198">
        <v>59842561</v>
      </c>
      <c r="BB300" s="198">
        <v>23403646</v>
      </c>
      <c r="BC300" s="198">
        <v>12732179</v>
      </c>
      <c r="BD300" s="198"/>
      <c r="BE300" s="198"/>
      <c r="BF300" s="197">
        <v>231115385.91000003</v>
      </c>
      <c r="BG300" s="198"/>
      <c r="BH300" s="198">
        <v>140866748.75</v>
      </c>
      <c r="BI300" s="198">
        <v>17438337.470000003</v>
      </c>
      <c r="BJ300" s="198">
        <v>66289498.399999999</v>
      </c>
      <c r="BK300" s="198">
        <v>6520801.29</v>
      </c>
      <c r="BL300" s="198"/>
      <c r="BM300" s="197">
        <v>11207445.399</v>
      </c>
      <c r="BN300" s="198">
        <v>437400.39800000004</v>
      </c>
      <c r="BO300" s="198">
        <v>1139091.8540000001</v>
      </c>
      <c r="BP300" s="198">
        <v>3732524.023</v>
      </c>
      <c r="BQ300" s="198">
        <v>3143165.5720000002</v>
      </c>
      <c r="BR300" s="198"/>
      <c r="BS300" s="198">
        <f t="shared" si="40"/>
        <v>2755263.5519999992</v>
      </c>
      <c r="BT300" s="197"/>
      <c r="BU300" s="198"/>
      <c r="BV300" s="198"/>
      <c r="BW300" s="198"/>
      <c r="BX300" s="198"/>
      <c r="BY300" s="198"/>
      <c r="BZ300" s="199"/>
      <c r="CA300" s="198">
        <v>937.529</v>
      </c>
      <c r="CB300" s="198"/>
      <c r="CC300" s="198"/>
      <c r="CD300" s="198"/>
      <c r="CE300" s="198"/>
      <c r="CF300" s="198"/>
      <c r="CG300" s="199"/>
      <c r="CH300" s="197">
        <v>22457987.08828</v>
      </c>
      <c r="CI300" s="198"/>
      <c r="CJ300" s="198">
        <v>9869280.4068700001</v>
      </c>
      <c r="CK300" s="198">
        <v>1781245.7082700001</v>
      </c>
      <c r="CL300" s="198">
        <v>8070975.868040001</v>
      </c>
      <c r="CM300" s="198">
        <v>2736485.1050999998</v>
      </c>
      <c r="CN300" s="198"/>
      <c r="CO300" s="197">
        <v>8893.1274165499999</v>
      </c>
      <c r="CP300" s="198">
        <v>942.40663627999993</v>
      </c>
      <c r="CQ300" s="198">
        <v>1294.3227830699998</v>
      </c>
      <c r="CR300" s="198">
        <v>2152.6371583199998</v>
      </c>
      <c r="CS300" s="198">
        <v>2599.6099191799999</v>
      </c>
      <c r="CT300" s="198"/>
      <c r="CU300" s="198">
        <v>1904.1509196999991</v>
      </c>
      <c r="CV300" s="197">
        <v>2026.6130000000001</v>
      </c>
      <c r="CW300" s="198"/>
      <c r="CX300" s="198"/>
      <c r="CY300" s="198"/>
      <c r="CZ300" s="198"/>
      <c r="DA300" s="198"/>
      <c r="DB300" s="199"/>
      <c r="DC300" s="197">
        <v>101458.83500000001</v>
      </c>
      <c r="DD300" s="198">
        <v>12126.718000000001</v>
      </c>
      <c r="DE300" s="198">
        <v>19609.093000000001</v>
      </c>
      <c r="DF300" s="198"/>
      <c r="DG300" s="198">
        <v>27675.397000000001</v>
      </c>
      <c r="DH300" s="198"/>
      <c r="DI300" s="198">
        <f t="shared" si="41"/>
        <v>42047.627000000008</v>
      </c>
      <c r="DJ300" s="197">
        <f>4072.4+95019.9</f>
        <v>99092.299999999988</v>
      </c>
      <c r="DK300" s="198">
        <f>2176.4+18257.8</f>
        <v>20434.2</v>
      </c>
      <c r="DL300" s="198">
        <f>2759.6+22265.7</f>
        <v>25025.3</v>
      </c>
      <c r="DM300" s="198">
        <v>7439.3</v>
      </c>
      <c r="DN300" s="198">
        <f>23289.1-DM300</f>
        <v>15849.8</v>
      </c>
      <c r="DO300" s="198"/>
      <c r="DP300" s="198">
        <f t="shared" si="38"/>
        <v>30343.699999999983</v>
      </c>
      <c r="DQ300" s="197"/>
      <c r="DR300" s="198"/>
      <c r="DS300" s="198"/>
      <c r="DT300" s="198"/>
      <c r="DU300" s="198"/>
      <c r="DV300" s="198"/>
      <c r="DW300" s="198"/>
      <c r="DX300" s="197">
        <v>173237.98545418005</v>
      </c>
      <c r="DY300" s="198"/>
      <c r="DZ300" s="198">
        <v>112531.31905172</v>
      </c>
      <c r="EA300" s="198">
        <v>31644.814048230004</v>
      </c>
      <c r="EB300" s="198">
        <v>27149.756389709997</v>
      </c>
      <c r="EC300" s="198">
        <v>1912.0959645200001</v>
      </c>
      <c r="ED300" s="198"/>
      <c r="EE300" s="197">
        <v>289891.99400000001</v>
      </c>
      <c r="EF300" s="198">
        <v>10362.001</v>
      </c>
      <c r="EG300" s="198">
        <v>64881.092000000004</v>
      </c>
      <c r="EH300" s="198">
        <v>19855.384999999998</v>
      </c>
      <c r="EI300" s="198">
        <v>124182.299</v>
      </c>
      <c r="EJ300" s="198"/>
      <c r="EK300" s="198">
        <f t="shared" si="34"/>
        <v>70611.217000000004</v>
      </c>
      <c r="EL300" s="197">
        <v>2601643.3114379998</v>
      </c>
      <c r="EM300" s="198">
        <v>1179112.5780759996</v>
      </c>
      <c r="EN300" s="198">
        <v>71827.885039000001</v>
      </c>
      <c r="EO300" s="198">
        <v>434848.29389500007</v>
      </c>
      <c r="EP300" s="198">
        <v>551898.81955899985</v>
      </c>
      <c r="EQ300" s="198"/>
      <c r="ER300" s="198">
        <v>363955.73486899998</v>
      </c>
      <c r="ES300" s="197">
        <v>60680.613465980001</v>
      </c>
      <c r="ET300" s="198">
        <v>9229.5334355499999</v>
      </c>
      <c r="EU300" s="198">
        <v>21407.880514410001</v>
      </c>
      <c r="EV300" s="198">
        <v>8263.8693693999994</v>
      </c>
      <c r="EW300" s="198">
        <v>13689.033510310001</v>
      </c>
      <c r="EX300" s="198"/>
      <c r="EY300" s="198">
        <f t="shared" si="24"/>
        <v>8090.2966363099986</v>
      </c>
      <c r="EZ300" s="197">
        <v>31612.18182912</v>
      </c>
      <c r="FA300" s="198">
        <v>1751.90400153</v>
      </c>
      <c r="FB300" s="198">
        <v>9452.1446308600007</v>
      </c>
      <c r="FC300" s="198">
        <v>8295.47870005</v>
      </c>
      <c r="FD300" s="198">
        <v>5987.8830594199899</v>
      </c>
      <c r="FE300" s="198">
        <v>0</v>
      </c>
      <c r="FF300" s="198">
        <f t="shared" si="39"/>
        <v>6124.7714372600094</v>
      </c>
      <c r="FG300" s="197">
        <v>38563900.054304004</v>
      </c>
      <c r="FH300" s="198">
        <v>3473367.5754410001</v>
      </c>
      <c r="FI300" s="198">
        <v>9098372.6791739985</v>
      </c>
      <c r="FJ300" s="198"/>
      <c r="FK300" s="198">
        <v>5938992.9961749995</v>
      </c>
      <c r="FL300" s="198"/>
      <c r="FM300" s="198">
        <f t="shared" si="36"/>
        <v>20053166.803514004</v>
      </c>
      <c r="FN300" s="197">
        <v>137403.68838599999</v>
      </c>
      <c r="FO300" s="198">
        <v>22414.955522</v>
      </c>
      <c r="FP300" s="198">
        <v>20711.446949999998</v>
      </c>
      <c r="FQ300" s="198">
        <v>21706.905640000001</v>
      </c>
      <c r="FR300" s="198">
        <v>24789.533243000002</v>
      </c>
      <c r="FS300" s="198"/>
      <c r="FT300" s="199">
        <f t="shared" si="35"/>
        <v>47780.847030999998</v>
      </c>
      <c r="FZ300" s="198"/>
      <c r="GA300" s="199"/>
      <c r="GB300" s="197">
        <v>2503.277</v>
      </c>
      <c r="GG300" s="198"/>
      <c r="GH300" s="199"/>
      <c r="GI300" s="197">
        <v>1157.299</v>
      </c>
      <c r="GJ300" s="198"/>
      <c r="GK300" s="198"/>
      <c r="GL300" s="198"/>
      <c r="GM300" s="198"/>
      <c r="GN300" s="198"/>
      <c r="GO300" s="199"/>
      <c r="GP300" s="197">
        <v>4323.0159999999996</v>
      </c>
      <c r="GU300" s="198"/>
      <c r="GV300" s="199"/>
      <c r="GW300" s="197">
        <f>[5]sur!P84</f>
        <v>4133.2</v>
      </c>
      <c r="GX300" s="198">
        <f>[5]sur!Q84</f>
        <v>330.7</v>
      </c>
      <c r="GY300" s="198">
        <f>[5]sur!R84</f>
        <v>1105.2</v>
      </c>
      <c r="GZ300" s="198">
        <f>[5]sur!S84</f>
        <v>670.7</v>
      </c>
      <c r="HA300" s="198"/>
      <c r="HB300" s="198"/>
      <c r="HC300" s="199">
        <f>[5]sur!V84</f>
        <v>2026.6</v>
      </c>
      <c r="HD300" s="197"/>
      <c r="HE300" s="198"/>
      <c r="HF300" s="198"/>
      <c r="HG300" s="198"/>
      <c r="HH300" s="198"/>
      <c r="HI300" s="198"/>
      <c r="HJ300" s="199"/>
      <c r="HK300" s="197">
        <v>11739.339598</v>
      </c>
      <c r="HL300" s="198">
        <v>1958.6241940000002</v>
      </c>
      <c r="HM300" s="198">
        <v>1574.136804</v>
      </c>
      <c r="HN300" s="198">
        <v>294.37062599999996</v>
      </c>
      <c r="HO300" s="198">
        <v>4124.0247170000011</v>
      </c>
      <c r="HP300" s="198"/>
      <c r="HQ300" s="198">
        <f t="shared" si="37"/>
        <v>3788.1832569999997</v>
      </c>
      <c r="HR300" s="197">
        <v>342618.57400000002</v>
      </c>
      <c r="HS300" s="198">
        <v>33643.082000000002</v>
      </c>
      <c r="HT300" s="198">
        <v>115465.56600000001</v>
      </c>
      <c r="HU300" s="198">
        <v>41715.192999999999</v>
      </c>
      <c r="HV300" s="198">
        <v>55140.332999999999</v>
      </c>
      <c r="HW300" s="198">
        <v>14128.401</v>
      </c>
      <c r="HX300" s="198">
        <v>65661.028999999995</v>
      </c>
      <c r="HZ300" s="180"/>
    </row>
    <row r="301" spans="1:234">
      <c r="A301" s="185" t="s">
        <v>496</v>
      </c>
      <c r="B301" s="197">
        <v>2842.3739999999998</v>
      </c>
      <c r="C301" s="198"/>
      <c r="D301" s="198"/>
      <c r="E301" s="198"/>
      <c r="F301" s="198"/>
      <c r="G301" s="198"/>
      <c r="H301" s="198"/>
      <c r="I301" s="197">
        <v>376123.6</v>
      </c>
      <c r="J301" s="198"/>
      <c r="K301" s="198"/>
      <c r="L301" s="198">
        <v>32222.5</v>
      </c>
      <c r="M301" s="198">
        <v>66918.399999999994</v>
      </c>
      <c r="N301" s="198"/>
      <c r="O301" s="199">
        <v>240017.09999999998</v>
      </c>
      <c r="P301" s="197">
        <v>7220.6980000000003</v>
      </c>
      <c r="Q301" s="198">
        <v>39.341000000000001</v>
      </c>
      <c r="R301" s="198">
        <v>310.83499999999998</v>
      </c>
      <c r="S301" s="198">
        <v>430.24799999999999</v>
      </c>
      <c r="T301" s="198">
        <v>5215.4110000000001</v>
      </c>
      <c r="U301" s="198"/>
      <c r="V301" s="199">
        <f t="shared" ref="V301:V305" si="42">P301-Q301-R301-S301-T301</f>
        <v>1224.8630000000003</v>
      </c>
      <c r="W301" s="197">
        <v>6245.2039999999997</v>
      </c>
      <c r="X301" s="198">
        <v>144.327</v>
      </c>
      <c r="Y301" s="198">
        <v>938.71100000000001</v>
      </c>
      <c r="Z301" s="198">
        <v>231.114</v>
      </c>
      <c r="AA301" s="198">
        <v>3211.375</v>
      </c>
      <c r="AB301" s="198"/>
      <c r="AC301" s="199">
        <f t="shared" si="33"/>
        <v>1719.6769999999997</v>
      </c>
      <c r="AD301" s="198"/>
      <c r="AE301" s="198">
        <v>32.136000000000003</v>
      </c>
      <c r="AF301" s="198">
        <v>325.33100000000002</v>
      </c>
      <c r="AG301" s="198">
        <v>705.375</v>
      </c>
      <c r="AH301" s="198">
        <v>412.28699999999998</v>
      </c>
      <c r="AI301" s="198">
        <v>66.305000000000007</v>
      </c>
      <c r="AJ301" s="198"/>
      <c r="AK301" s="197"/>
      <c r="AL301" s="198"/>
      <c r="AM301" s="198"/>
      <c r="AN301" s="198"/>
      <c r="AO301" s="198"/>
      <c r="AP301" s="198"/>
      <c r="AQ301" s="199"/>
      <c r="AR301" s="198">
        <v>2219866</v>
      </c>
      <c r="AS301" s="198">
        <v>493245</v>
      </c>
      <c r="AT301" s="198">
        <v>251090</v>
      </c>
      <c r="AU301" s="198">
        <v>323483</v>
      </c>
      <c r="AV301" s="198">
        <v>788067</v>
      </c>
      <c r="AW301" s="198"/>
      <c r="AX301" s="198">
        <v>363981</v>
      </c>
      <c r="AY301" s="197">
        <v>98100258</v>
      </c>
      <c r="AZ301" s="198"/>
      <c r="BA301" s="198">
        <v>60260406</v>
      </c>
      <c r="BB301" s="198">
        <v>23564263</v>
      </c>
      <c r="BC301" s="198">
        <v>12895304</v>
      </c>
      <c r="BD301" s="198"/>
      <c r="BE301" s="198"/>
      <c r="BF301" s="197">
        <v>233136063.83000004</v>
      </c>
      <c r="BG301" s="198"/>
      <c r="BH301" s="198">
        <v>141724552.01000005</v>
      </c>
      <c r="BI301" s="198">
        <v>17549948.68</v>
      </c>
      <c r="BJ301" s="198">
        <v>67202258.580000013</v>
      </c>
      <c r="BK301" s="198">
        <v>6659304.5600000005</v>
      </c>
      <c r="BL301" s="198"/>
      <c r="BM301" s="197">
        <v>11343476.265000001</v>
      </c>
      <c r="BN301" s="198">
        <v>444385.745</v>
      </c>
      <c r="BO301" s="198">
        <v>1159710.8189999999</v>
      </c>
      <c r="BP301" s="198">
        <v>3755510.4170000004</v>
      </c>
      <c r="BQ301" s="198">
        <v>3191245.0279999999</v>
      </c>
      <c r="BR301" s="198"/>
      <c r="BS301" s="198">
        <f t="shared" si="40"/>
        <v>2792624.256000001</v>
      </c>
      <c r="BT301" s="197"/>
      <c r="BU301" s="198"/>
      <c r="BV301" s="198"/>
      <c r="BW301" s="198"/>
      <c r="BX301" s="198"/>
      <c r="BY301" s="198"/>
      <c r="BZ301" s="199"/>
      <c r="CA301" s="198">
        <v>938.18</v>
      </c>
      <c r="CB301" s="198"/>
      <c r="CC301" s="198"/>
      <c r="CD301" s="198"/>
      <c r="CE301" s="198"/>
      <c r="CF301" s="198"/>
      <c r="CG301" s="199"/>
      <c r="CH301" s="197">
        <v>22032910.41708</v>
      </c>
      <c r="CI301" s="198"/>
      <c r="CJ301" s="198">
        <v>9154448.9264900014</v>
      </c>
      <c r="CK301" s="198">
        <v>1804817.64809</v>
      </c>
      <c r="CL301" s="198">
        <v>8284840.9581599999</v>
      </c>
      <c r="CM301" s="198">
        <v>2788802.8843399999</v>
      </c>
      <c r="CN301" s="198"/>
      <c r="CO301" s="197">
        <v>8938.8510804399994</v>
      </c>
      <c r="CP301" s="198">
        <v>944.86925937000001</v>
      </c>
      <c r="CQ301" s="198">
        <v>1297.5374845900001</v>
      </c>
      <c r="CR301" s="198">
        <v>2156.92764885</v>
      </c>
      <c r="CS301" s="198">
        <v>2635.71645541</v>
      </c>
      <c r="CT301" s="198"/>
      <c r="CU301" s="198">
        <v>1903.8002322199995</v>
      </c>
      <c r="CV301" s="197">
        <v>2013.9639999999999</v>
      </c>
      <c r="CW301" s="198"/>
      <c r="CX301" s="198"/>
      <c r="CY301" s="198"/>
      <c r="CZ301" s="198"/>
      <c r="DA301" s="198"/>
      <c r="DB301" s="199"/>
      <c r="DC301" s="197">
        <v>103194.103</v>
      </c>
      <c r="DD301" s="198">
        <v>12650.877</v>
      </c>
      <c r="DE301" s="198">
        <v>19256.534</v>
      </c>
      <c r="DF301" s="198"/>
      <c r="DG301" s="198">
        <v>30310.273000000001</v>
      </c>
      <c r="DH301" s="198"/>
      <c r="DI301" s="198">
        <f t="shared" si="41"/>
        <v>40976.418999999994</v>
      </c>
      <c r="DJ301" s="197">
        <f>4070.8+99422.1</f>
        <v>103492.90000000001</v>
      </c>
      <c r="DK301" s="198">
        <f>2135.1+19242.8</f>
        <v>21377.899999999998</v>
      </c>
      <c r="DL301" s="198">
        <f>2648+24971.7</f>
        <v>27619.7</v>
      </c>
      <c r="DM301" s="198">
        <v>7329.6</v>
      </c>
      <c r="DN301" s="198">
        <f>24141.8-DM301</f>
        <v>16812.199999999997</v>
      </c>
      <c r="DO301" s="198"/>
      <c r="DP301" s="198">
        <f t="shared" si="38"/>
        <v>30353.500000000015</v>
      </c>
      <c r="DQ301" s="197"/>
      <c r="DR301" s="198"/>
      <c r="DS301" s="198"/>
      <c r="DT301" s="198"/>
      <c r="DU301" s="198"/>
      <c r="DV301" s="198"/>
      <c r="DW301" s="198"/>
      <c r="DX301" s="197">
        <v>174908.50357258</v>
      </c>
      <c r="DY301" s="198"/>
      <c r="DZ301" s="198">
        <v>112933.93350250002</v>
      </c>
      <c r="EA301" s="198">
        <v>31923.332171090002</v>
      </c>
      <c r="EB301" s="198">
        <v>28096.564555449997</v>
      </c>
      <c r="EC301" s="198">
        <v>1954.6733435400001</v>
      </c>
      <c r="ED301" s="198"/>
      <c r="EE301" s="197">
        <v>294920.91800000001</v>
      </c>
      <c r="EF301" s="198">
        <v>9999.3279999999995</v>
      </c>
      <c r="EG301" s="198">
        <v>65415.063000000002</v>
      </c>
      <c r="EH301" s="198">
        <v>20473.215</v>
      </c>
      <c r="EI301" s="198">
        <v>127860.224</v>
      </c>
      <c r="EJ301" s="198"/>
      <c r="EK301" s="198">
        <f t="shared" si="34"/>
        <v>71173.088000000032</v>
      </c>
      <c r="EL301" s="197">
        <v>2624097.2310390002</v>
      </c>
      <c r="EM301" s="198">
        <v>1181642.2406899999</v>
      </c>
      <c r="EN301" s="198">
        <v>72561.430616999991</v>
      </c>
      <c r="EO301" s="198">
        <v>438085.70243900002</v>
      </c>
      <c r="EP301" s="198">
        <v>563852.97520599992</v>
      </c>
      <c r="EQ301" s="198"/>
      <c r="ER301" s="198">
        <v>367954.88208700001</v>
      </c>
      <c r="ES301" s="197">
        <v>61954.291025569997</v>
      </c>
      <c r="ET301" s="198">
        <v>9297.6057998100005</v>
      </c>
      <c r="EU301" s="198">
        <v>21488.714908779999</v>
      </c>
      <c r="EV301" s="198">
        <v>8377.8544240600004</v>
      </c>
      <c r="EW301" s="198">
        <v>14060.997389870001</v>
      </c>
      <c r="EX301" s="198"/>
      <c r="EY301" s="198">
        <f t="shared" si="24"/>
        <v>8729.1185030499946</v>
      </c>
      <c r="EZ301" s="197">
        <v>32237.49265986</v>
      </c>
      <c r="FA301" s="198">
        <v>1672.81011287</v>
      </c>
      <c r="FB301" s="198">
        <v>9756.3857797100009</v>
      </c>
      <c r="FC301" s="198">
        <v>8446.2914928499995</v>
      </c>
      <c r="FD301" s="198">
        <v>6036.4112779300103</v>
      </c>
      <c r="FE301" s="198">
        <v>0</v>
      </c>
      <c r="FF301" s="198">
        <f t="shared" si="39"/>
        <v>6325.5939964999907</v>
      </c>
      <c r="FG301" s="197">
        <v>39149281.512416005</v>
      </c>
      <c r="FH301" s="198">
        <v>3663820.3483449998</v>
      </c>
      <c r="FI301" s="198">
        <v>9192371.0773800015</v>
      </c>
      <c r="FJ301" s="198"/>
      <c r="FK301" s="198">
        <v>6056933.8333720006</v>
      </c>
      <c r="FL301" s="198"/>
      <c r="FM301" s="198">
        <f t="shared" si="36"/>
        <v>20236156.253319006</v>
      </c>
      <c r="FN301" s="197">
        <v>138636.85284599999</v>
      </c>
      <c r="FO301" s="198">
        <v>22056.473404</v>
      </c>
      <c r="FP301" s="198">
        <v>21114.227613000003</v>
      </c>
      <c r="FQ301" s="198">
        <v>22095.861233</v>
      </c>
      <c r="FR301" s="198">
        <v>25198.845129000001</v>
      </c>
      <c r="FS301" s="198"/>
      <c r="FT301" s="199">
        <f t="shared" si="35"/>
        <v>48171.445466999976</v>
      </c>
      <c r="FU301" s="197"/>
      <c r="FV301" s="198"/>
      <c r="FW301" s="198"/>
      <c r="FX301" s="198"/>
      <c r="FY301" s="198"/>
      <c r="FZ301" s="198"/>
      <c r="GA301" s="199"/>
      <c r="GB301" s="197">
        <v>2497.596</v>
      </c>
      <c r="GC301" s="198"/>
      <c r="GD301" s="198"/>
      <c r="GE301" s="198"/>
      <c r="GF301" s="198"/>
      <c r="GG301" s="198"/>
      <c r="GH301" s="199"/>
      <c r="GI301" s="197">
        <v>1163.354</v>
      </c>
      <c r="GJ301" s="198"/>
      <c r="GK301" s="198"/>
      <c r="GL301" s="198"/>
      <c r="GM301" s="198"/>
      <c r="GN301" s="198"/>
      <c r="GO301" s="199"/>
      <c r="GP301" s="197">
        <v>4317.4430000000002</v>
      </c>
      <c r="GQ301" s="198"/>
      <c r="GR301" s="198"/>
      <c r="GS301" s="198"/>
      <c r="GT301" s="198"/>
      <c r="GU301" s="198"/>
      <c r="GV301" s="199"/>
      <c r="GW301" s="197">
        <f>[5]sur!P85</f>
        <v>4199.7</v>
      </c>
      <c r="GX301" s="198">
        <f>[5]sur!Q85</f>
        <v>323.7</v>
      </c>
      <c r="GY301" s="198">
        <f>[5]sur!R85</f>
        <v>1115.5</v>
      </c>
      <c r="GZ301" s="198">
        <f>[5]sur!S85</f>
        <v>681.9</v>
      </c>
      <c r="HA301" s="198"/>
      <c r="HB301" s="198"/>
      <c r="HC301" s="199">
        <f>[5]sur!V85</f>
        <v>2078.6</v>
      </c>
      <c r="HD301" s="197"/>
      <c r="HE301" s="198"/>
      <c r="HF301" s="198"/>
      <c r="HG301" s="198"/>
      <c r="HH301" s="198"/>
      <c r="HI301" s="198"/>
      <c r="HJ301" s="199"/>
      <c r="HK301" s="197">
        <v>11818.735675000002</v>
      </c>
      <c r="HL301" s="198">
        <v>1976.2367220000001</v>
      </c>
      <c r="HM301" s="198">
        <v>1524.2026680000001</v>
      </c>
      <c r="HN301" s="198">
        <v>299.29006900000002</v>
      </c>
      <c r="HO301" s="198">
        <v>4175.2036899999994</v>
      </c>
      <c r="HP301" s="198"/>
      <c r="HQ301" s="198">
        <f t="shared" si="37"/>
        <v>3843.8025260000031</v>
      </c>
      <c r="HR301" s="197">
        <v>353656.70500000002</v>
      </c>
      <c r="HS301" s="198">
        <v>34518.735999999997</v>
      </c>
      <c r="HT301" s="198">
        <v>119801.344</v>
      </c>
      <c r="HU301" s="198">
        <v>42482.567999999999</v>
      </c>
      <c r="HV301" s="198">
        <v>57350.275000000001</v>
      </c>
      <c r="HW301" s="198">
        <v>15280.641</v>
      </c>
      <c r="HX301" s="198">
        <v>66662.69</v>
      </c>
      <c r="HZ301" s="180"/>
    </row>
    <row r="302" spans="1:234">
      <c r="A302" s="185" t="s">
        <v>497</v>
      </c>
      <c r="B302" s="197">
        <v>2829.2959999999998</v>
      </c>
      <c r="C302" s="198">
        <v>46.216999999999999</v>
      </c>
      <c r="D302" s="198">
        <v>536.16300000000001</v>
      </c>
      <c r="E302" s="198">
        <v>812.49900000000002</v>
      </c>
      <c r="F302" s="198">
        <v>508.12299999999999</v>
      </c>
      <c r="G302" s="198"/>
      <c r="H302" s="198">
        <f>B302-C302-D302-E302-F302</f>
        <v>926.29399999999964</v>
      </c>
      <c r="I302" s="197">
        <v>382910.4</v>
      </c>
      <c r="J302" s="198"/>
      <c r="K302" s="198"/>
      <c r="L302" s="198">
        <v>32877.1</v>
      </c>
      <c r="M302" s="198">
        <v>68233.3</v>
      </c>
      <c r="N302" s="198"/>
      <c r="O302" s="199">
        <v>244497.8</v>
      </c>
      <c r="P302" s="197">
        <v>7187.393</v>
      </c>
      <c r="Q302" s="198">
        <v>41.63</v>
      </c>
      <c r="R302" s="198">
        <v>312.32499999999999</v>
      </c>
      <c r="S302" s="198">
        <v>432.959</v>
      </c>
      <c r="T302" s="198">
        <v>5218.4920000000002</v>
      </c>
      <c r="U302" s="198"/>
      <c r="V302" s="199">
        <f t="shared" si="42"/>
        <v>1181.9870000000001</v>
      </c>
      <c r="W302" s="197">
        <v>6101.9989999999998</v>
      </c>
      <c r="X302" s="198">
        <v>134.464</v>
      </c>
      <c r="Y302" s="198">
        <v>933.1110000000001</v>
      </c>
      <c r="Z302" s="198">
        <v>241.19</v>
      </c>
      <c r="AA302" s="198">
        <v>3232.2020000000002</v>
      </c>
      <c r="AB302" s="198"/>
      <c r="AC302" s="199">
        <f t="shared" si="33"/>
        <v>1561.0320000000002</v>
      </c>
      <c r="AD302" s="198">
        <f>[1]datos!$S434</f>
        <v>2247.3160000000003</v>
      </c>
      <c r="AE302" s="198">
        <v>32.616</v>
      </c>
      <c r="AF302" s="198">
        <v>319.86700000000002</v>
      </c>
      <c r="AG302" s="198">
        <v>701.25</v>
      </c>
      <c r="AH302" s="198">
        <v>411.36500000000001</v>
      </c>
      <c r="AI302" s="198">
        <v>67.784000000000006</v>
      </c>
      <c r="AJ302" s="198">
        <f>AD302-AE302-AF302-AG302-AH302-AI302</f>
        <v>714.43400000000031</v>
      </c>
      <c r="AK302" s="197">
        <v>67372.5</v>
      </c>
      <c r="AL302" s="198">
        <v>27959.587500000005</v>
      </c>
      <c r="AM302" s="198"/>
      <c r="AN302" s="198">
        <v>13070.264999999999</v>
      </c>
      <c r="AO302" s="198">
        <v>8017.3275000000003</v>
      </c>
      <c r="AP302" s="198">
        <v>18325.32</v>
      </c>
      <c r="AQ302" s="199"/>
      <c r="AR302" s="198">
        <v>2244474</v>
      </c>
      <c r="AS302" s="198">
        <v>501172</v>
      </c>
      <c r="AT302" s="198">
        <v>257439</v>
      </c>
      <c r="AU302" s="198">
        <v>328669</v>
      </c>
      <c r="AV302" s="198">
        <v>787686</v>
      </c>
      <c r="AW302" s="198"/>
      <c r="AX302" s="198">
        <v>369508</v>
      </c>
      <c r="AY302" s="197">
        <v>98681822</v>
      </c>
      <c r="AZ302" s="198"/>
      <c r="BA302" s="198">
        <v>60571499</v>
      </c>
      <c r="BB302" s="198">
        <v>23734745</v>
      </c>
      <c r="BC302" s="198">
        <v>12954778</v>
      </c>
      <c r="BD302" s="198"/>
      <c r="BE302" s="198"/>
      <c r="BF302" s="197">
        <v>235894181.50999999</v>
      </c>
      <c r="BG302" s="198"/>
      <c r="BH302" s="198">
        <v>143138068.58999997</v>
      </c>
      <c r="BI302" s="198">
        <v>17972870.91</v>
      </c>
      <c r="BJ302" s="198">
        <v>67986209.350000009</v>
      </c>
      <c r="BK302" s="198">
        <v>6797032.6600000001</v>
      </c>
      <c r="BL302" s="198"/>
      <c r="BM302" s="197">
        <v>11498308.066</v>
      </c>
      <c r="BN302" s="198">
        <v>440664.91899999999</v>
      </c>
      <c r="BO302" s="198">
        <v>1171772.659</v>
      </c>
      <c r="BP302" s="198">
        <v>3777385.102</v>
      </c>
      <c r="BQ302" s="198">
        <v>3235085.4730000002</v>
      </c>
      <c r="BR302" s="198"/>
      <c r="BS302" s="198">
        <f t="shared" si="40"/>
        <v>2873399.9129999988</v>
      </c>
      <c r="BT302" s="197"/>
      <c r="BU302" s="198"/>
      <c r="BV302" s="198"/>
      <c r="BW302" s="198"/>
      <c r="BX302" s="198"/>
      <c r="BY302" s="198"/>
      <c r="BZ302" s="199"/>
      <c r="CA302" s="198">
        <v>942.99099999999999</v>
      </c>
      <c r="CB302" s="198">
        <v>39.195999999999998</v>
      </c>
      <c r="CC302" s="198">
        <f>98.273+43.354+9.403</f>
        <v>151.03</v>
      </c>
      <c r="CD302" s="198">
        <v>264.83300000000003</v>
      </c>
      <c r="CE302" s="198">
        <f>424.458-CD302</f>
        <v>159.625</v>
      </c>
      <c r="CF302" s="198"/>
      <c r="CG302" s="199">
        <f>CA302-CB302-CC302-CD302-CE302</f>
        <v>328.30699999999996</v>
      </c>
      <c r="CH302" s="197">
        <v>22335147.28957</v>
      </c>
      <c r="CI302" s="198"/>
      <c r="CJ302" s="198">
        <v>9320778.1022399999</v>
      </c>
      <c r="CK302" s="198">
        <v>1817660.4290399998</v>
      </c>
      <c r="CL302" s="198">
        <v>8386911.5543799996</v>
      </c>
      <c r="CM302" s="198">
        <v>2809797.2039100002</v>
      </c>
      <c r="CN302" s="198"/>
      <c r="CO302" s="197">
        <v>8937.5112557100001</v>
      </c>
      <c r="CP302" s="198">
        <v>919.4253490100001</v>
      </c>
      <c r="CQ302" s="198">
        <v>1299.6573796599998</v>
      </c>
      <c r="CR302" s="198">
        <v>2159.1080704799997</v>
      </c>
      <c r="CS302" s="198">
        <v>2655.69144895</v>
      </c>
      <c r="CT302" s="198"/>
      <c r="CU302" s="198">
        <v>1903.6290076100006</v>
      </c>
      <c r="CV302" s="197">
        <v>2003.3969999999999</v>
      </c>
      <c r="CW302" s="198">
        <v>32.603000000000002</v>
      </c>
      <c r="CX302" s="198">
        <f>150.372+164.871+63.454</f>
        <v>378.69700000000006</v>
      </c>
      <c r="CY302" s="198">
        <v>657.75800000000004</v>
      </c>
      <c r="CZ302" s="198">
        <f>1212.329-CY302</f>
        <v>554.57099999999991</v>
      </c>
      <c r="DA302" s="198"/>
      <c r="DB302" s="199">
        <f>CV302-CW302-CX302-CY302-CZ302</f>
        <v>379.7679999999998</v>
      </c>
      <c r="DC302" s="197">
        <v>104664.59</v>
      </c>
      <c r="DD302" s="198">
        <v>12936.696</v>
      </c>
      <c r="DE302" s="198">
        <v>19293.596000000001</v>
      </c>
      <c r="DF302" s="198"/>
      <c r="DG302" s="198">
        <v>30707.249</v>
      </c>
      <c r="DH302" s="198"/>
      <c r="DI302" s="198">
        <f t="shared" si="41"/>
        <v>41727.048999999999</v>
      </c>
      <c r="DJ302" s="197">
        <f>3625.7+101672.5</f>
        <v>105298.2</v>
      </c>
      <c r="DK302" s="198">
        <f>2106.4+20440.2</f>
        <v>22546.600000000002</v>
      </c>
      <c r="DL302" s="198">
        <f>2832.4+24986.3</f>
        <v>27818.7</v>
      </c>
      <c r="DM302" s="198">
        <v>7869.5</v>
      </c>
      <c r="DN302" s="198">
        <f>24858.8-DM302</f>
        <v>16989.3</v>
      </c>
      <c r="DO302" s="198"/>
      <c r="DP302" s="198">
        <f t="shared" si="38"/>
        <v>30074.099999999991</v>
      </c>
      <c r="DQ302" s="197">
        <v>53.161144579999998</v>
      </c>
      <c r="DR302" s="198">
        <v>8.3668496100000009</v>
      </c>
      <c r="DS302" s="198">
        <v>14.44372491</v>
      </c>
      <c r="DT302" s="198">
        <v>3.9045231199999999</v>
      </c>
      <c r="DU302" s="198">
        <v>5.7654934100000004</v>
      </c>
      <c r="DV302" s="198"/>
      <c r="DW302" s="198">
        <v>20.680553529999994</v>
      </c>
      <c r="DX302" s="197">
        <v>177652.6391383</v>
      </c>
      <c r="DY302" s="198"/>
      <c r="DZ302" s="198">
        <v>114439.11295532002</v>
      </c>
      <c r="EA302" s="198">
        <v>32235.911259929999</v>
      </c>
      <c r="EB302" s="198">
        <v>28941.958889150003</v>
      </c>
      <c r="EC302" s="198">
        <v>2035.6560339</v>
      </c>
      <c r="ED302" s="198"/>
      <c r="EE302" s="197">
        <v>298632.53200000001</v>
      </c>
      <c r="EF302" s="198">
        <v>10343.85</v>
      </c>
      <c r="EG302" s="198">
        <v>66516.375</v>
      </c>
      <c r="EH302" s="198">
        <v>21025.973000000002</v>
      </c>
      <c r="EI302" s="198">
        <v>130663.58100000001</v>
      </c>
      <c r="EJ302" s="198"/>
      <c r="EK302" s="198">
        <f t="shared" si="34"/>
        <v>70082.753000000026</v>
      </c>
      <c r="EL302" s="197">
        <v>2652564.1748489998</v>
      </c>
      <c r="EM302" s="198">
        <v>1189037.358644</v>
      </c>
      <c r="EN302" s="198">
        <v>75196.482101000001</v>
      </c>
      <c r="EO302" s="198">
        <v>442929.04420300008</v>
      </c>
      <c r="EP302" s="198">
        <v>573747.70994499989</v>
      </c>
      <c r="EQ302" s="198"/>
      <c r="ER302" s="198">
        <v>371653.57995599997</v>
      </c>
      <c r="ES302" s="197">
        <v>63288.998153740002</v>
      </c>
      <c r="ET302" s="198">
        <v>9142.0274878599994</v>
      </c>
      <c r="EU302" s="198">
        <v>21961.59204127</v>
      </c>
      <c r="EV302" s="198">
        <v>8493.7225881199993</v>
      </c>
      <c r="EW302" s="198">
        <v>14451.16683579</v>
      </c>
      <c r="EX302" s="198"/>
      <c r="EY302" s="198">
        <f t="shared" si="24"/>
        <v>9240.4892006999999</v>
      </c>
      <c r="EZ302" s="197">
        <v>32876.629309700002</v>
      </c>
      <c r="FA302" s="198">
        <v>1695.2807425799999</v>
      </c>
      <c r="FB302" s="198">
        <v>10076.80819449</v>
      </c>
      <c r="FC302" s="198">
        <v>8539.0171384599998</v>
      </c>
      <c r="FD302" s="198">
        <v>6091.0581604700001</v>
      </c>
      <c r="FE302" s="198">
        <v>0</v>
      </c>
      <c r="FF302" s="198">
        <f t="shared" si="39"/>
        <v>6474.4650737000029</v>
      </c>
      <c r="FG302" s="197">
        <v>39403264.090017997</v>
      </c>
      <c r="FH302" s="198">
        <v>3695548.4332400006</v>
      </c>
      <c r="FI302" s="198">
        <v>9421765.0923340004</v>
      </c>
      <c r="FJ302" s="198"/>
      <c r="FK302" s="198">
        <v>6262009.5715089999</v>
      </c>
      <c r="FL302" s="198"/>
      <c r="FM302" s="198">
        <f t="shared" si="36"/>
        <v>20023940.992934991</v>
      </c>
      <c r="FN302" s="197">
        <v>140003.79716800002</v>
      </c>
      <c r="FO302" s="198">
        <v>21904.148311999998</v>
      </c>
      <c r="FP302" s="198">
        <v>21295.977353999999</v>
      </c>
      <c r="FQ302" s="198">
        <v>22516.091598999999</v>
      </c>
      <c r="FR302" s="198">
        <v>25449.046888000001</v>
      </c>
      <c r="FS302" s="198"/>
      <c r="FT302" s="199">
        <f t="shared" si="35"/>
        <v>48838.533015000008</v>
      </c>
      <c r="FU302" s="197">
        <v>534333.24300388002</v>
      </c>
      <c r="FV302" s="198">
        <v>33860.199729069995</v>
      </c>
      <c r="FW302" s="198">
        <v>75468.744644400023</v>
      </c>
      <c r="FX302" s="198">
        <v>116158.60504986005</v>
      </c>
      <c r="FY302" s="198">
        <v>120917.08358485998</v>
      </c>
      <c r="FZ302" s="198"/>
      <c r="GA302" s="199">
        <f>FU302-FV302-FW302-FX302-FY302</f>
        <v>187928.60999568994</v>
      </c>
      <c r="GB302" s="197">
        <v>2476.2800000000002</v>
      </c>
      <c r="GC302" s="198">
        <v>36.951999999999998</v>
      </c>
      <c r="GD302" s="198">
        <v>241.46700000000001</v>
      </c>
      <c r="GE302" s="198">
        <v>492.21800000000002</v>
      </c>
      <c r="GF302" s="198">
        <v>428.36799999999999</v>
      </c>
      <c r="GG302" s="198"/>
      <c r="GH302" s="199">
        <f>GB302-GC302-GD302-GE302-GF302</f>
        <v>1277.2750000000003</v>
      </c>
      <c r="GI302" s="197">
        <v>1170.711</v>
      </c>
      <c r="GJ302" s="198">
        <v>43.116999999999997</v>
      </c>
      <c r="GK302" s="198">
        <v>164.36699999999999</v>
      </c>
      <c r="GL302" s="198">
        <v>366.584</v>
      </c>
      <c r="GM302" s="198">
        <v>316.41199999999998</v>
      </c>
      <c r="GN302" s="198"/>
      <c r="GO302" s="199">
        <f>GI302-GJ302-GK302-GL302-GM302</f>
        <v>280.23100000000005</v>
      </c>
      <c r="GP302" s="197">
        <v>4334.97</v>
      </c>
      <c r="GQ302" s="198">
        <v>102.8</v>
      </c>
      <c r="GR302" s="198">
        <v>1118.4860000000001</v>
      </c>
      <c r="GS302" s="198">
        <v>895.76300000000003</v>
      </c>
      <c r="GT302" s="198">
        <v>660.19100000000003</v>
      </c>
      <c r="GU302" s="198"/>
      <c r="GV302" s="199">
        <f>GP302-GQ302-GR302-GS302-GT302</f>
        <v>1557.7300000000002</v>
      </c>
      <c r="GW302" s="197">
        <f>[5]sur!P86</f>
        <v>4264.2999999999993</v>
      </c>
      <c r="GX302" s="198">
        <f>[5]sur!Q86</f>
        <v>327.7</v>
      </c>
      <c r="GY302" s="198">
        <f>[5]sur!R86</f>
        <v>1126.9000000000001</v>
      </c>
      <c r="GZ302" s="198">
        <f>[5]sur!S86</f>
        <v>686.4</v>
      </c>
      <c r="HA302" s="198"/>
      <c r="HB302" s="198"/>
      <c r="HC302" s="199">
        <f>[5]sur!V86</f>
        <v>2123.2999999999997</v>
      </c>
      <c r="HD302" s="197">
        <f>'[2]t&amp;t'!W434</f>
        <v>50045.399999999994</v>
      </c>
      <c r="HE302" s="198">
        <f>'[2]t&amp;t'!X434</f>
        <v>3695.4</v>
      </c>
      <c r="HF302" s="198">
        <f>'[2]t&amp;t'!Y434</f>
        <v>3213</v>
      </c>
      <c r="HG302" s="198">
        <f>'[2]t&amp;t'!Z434</f>
        <v>12833.8</v>
      </c>
      <c r="HH302" s="198">
        <f>'[2]t&amp;t'!AA434</f>
        <v>11864.999999999998</v>
      </c>
      <c r="HI302" s="198"/>
      <c r="HJ302" s="199">
        <f>'[2]t&amp;t'!AC434</f>
        <v>18438.199999999997</v>
      </c>
      <c r="HK302" s="197">
        <v>12010.761469999999</v>
      </c>
      <c r="HL302" s="198">
        <v>1948.149506</v>
      </c>
      <c r="HM302" s="198">
        <v>1540.2166669999999</v>
      </c>
      <c r="HN302" s="198">
        <v>316.29449199999999</v>
      </c>
      <c r="HO302" s="198">
        <v>4309.6403479999999</v>
      </c>
      <c r="HP302" s="198"/>
      <c r="HQ302" s="198">
        <f t="shared" si="37"/>
        <v>3896.4604569999983</v>
      </c>
      <c r="HR302" s="197">
        <v>366798.79600000003</v>
      </c>
      <c r="HS302" s="198">
        <v>35232.156999999999</v>
      </c>
      <c r="HT302" s="198">
        <v>125587.478</v>
      </c>
      <c r="HU302" s="198">
        <v>43344.680999999997</v>
      </c>
      <c r="HV302" s="198">
        <v>60221.243000000002</v>
      </c>
      <c r="HW302" s="198">
        <v>16515.109</v>
      </c>
      <c r="HX302" s="198">
        <v>67833.694000000003</v>
      </c>
      <c r="HZ302" s="180"/>
    </row>
    <row r="303" spans="1:234">
      <c r="A303" s="185" t="s">
        <v>498</v>
      </c>
      <c r="B303" s="197">
        <v>2830.5390000000002</v>
      </c>
      <c r="C303" s="198"/>
      <c r="D303" s="198"/>
      <c r="E303" s="198"/>
      <c r="F303" s="198"/>
      <c r="G303" s="198"/>
      <c r="H303" s="198"/>
      <c r="I303" s="197">
        <v>392545.1</v>
      </c>
      <c r="J303" s="198"/>
      <c r="K303" s="198"/>
      <c r="L303" s="198">
        <v>33698.6</v>
      </c>
      <c r="M303" s="198">
        <v>70227.600000000006</v>
      </c>
      <c r="N303" s="198"/>
      <c r="O303" s="199">
        <v>250722.4</v>
      </c>
      <c r="P303" s="197">
        <v>7216.0730000000003</v>
      </c>
      <c r="Q303" s="198">
        <v>44.52</v>
      </c>
      <c r="R303" s="198">
        <v>310.67400000000004</v>
      </c>
      <c r="S303" s="198">
        <v>431.02300000000002</v>
      </c>
      <c r="T303" s="198">
        <v>5190.3549999999996</v>
      </c>
      <c r="U303" s="198"/>
      <c r="V303" s="199">
        <f t="shared" si="42"/>
        <v>1239.5010000000002</v>
      </c>
      <c r="W303" s="197">
        <v>6128.3620000000001</v>
      </c>
      <c r="X303" s="198">
        <v>133.215</v>
      </c>
      <c r="Y303" s="198">
        <v>936.0630000000001</v>
      </c>
      <c r="Z303" s="198">
        <v>239.49600000000001</v>
      </c>
      <c r="AA303" s="198">
        <v>3173.4690000000001</v>
      </c>
      <c r="AB303" s="198"/>
      <c r="AC303" s="199">
        <f t="shared" si="33"/>
        <v>1646.1189999999997</v>
      </c>
      <c r="AD303" s="198"/>
      <c r="AE303" s="198">
        <v>33.777999999999999</v>
      </c>
      <c r="AF303" s="198">
        <v>315.86</v>
      </c>
      <c r="AG303" s="198">
        <v>704.67100000000005</v>
      </c>
      <c r="AH303" s="198">
        <v>410.79700000000003</v>
      </c>
      <c r="AI303" s="198">
        <v>70.48</v>
      </c>
      <c r="AJ303" s="198"/>
      <c r="AK303" s="197"/>
      <c r="AL303" s="198"/>
      <c r="AM303" s="198"/>
      <c r="AN303" s="198"/>
      <c r="AO303" s="198"/>
      <c r="AP303" s="198"/>
      <c r="AQ303" s="199"/>
      <c r="AR303" s="198">
        <v>2276286</v>
      </c>
      <c r="AS303" s="198">
        <v>509111</v>
      </c>
      <c r="AT303" s="198">
        <v>260725</v>
      </c>
      <c r="AU303" s="198">
        <v>336457</v>
      </c>
      <c r="AV303" s="198">
        <v>796762</v>
      </c>
      <c r="AW303" s="198"/>
      <c r="AX303" s="198">
        <v>373231</v>
      </c>
      <c r="AY303" s="197">
        <v>99387591</v>
      </c>
      <c r="AZ303" s="198"/>
      <c r="BA303" s="198">
        <v>60937802</v>
      </c>
      <c r="BB303" s="198">
        <v>24025470</v>
      </c>
      <c r="BC303" s="198">
        <v>13125113</v>
      </c>
      <c r="BD303" s="198"/>
      <c r="BE303" s="198"/>
      <c r="BF303" s="197">
        <v>238809696.81999999</v>
      </c>
      <c r="BG303" s="198"/>
      <c r="BH303" s="198">
        <v>144646520.22999999</v>
      </c>
      <c r="BI303" s="198">
        <v>18373510.77999999</v>
      </c>
      <c r="BJ303" s="198">
        <v>68840198.789999992</v>
      </c>
      <c r="BK303" s="198">
        <v>6949467.0199999996</v>
      </c>
      <c r="BL303" s="198"/>
      <c r="BM303" s="197">
        <v>11502662.054</v>
      </c>
      <c r="BN303" s="198">
        <v>442361.19699999999</v>
      </c>
      <c r="BO303" s="198">
        <v>1149668.2769999998</v>
      </c>
      <c r="BP303" s="198">
        <v>3753045.4440000001</v>
      </c>
      <c r="BQ303" s="198">
        <v>3288103.1519999998</v>
      </c>
      <c r="BR303" s="198"/>
      <c r="BS303" s="198">
        <f t="shared" si="40"/>
        <v>2869483.9839999992</v>
      </c>
      <c r="BT303" s="197"/>
      <c r="BU303" s="198"/>
      <c r="BV303" s="198"/>
      <c r="BW303" s="198"/>
      <c r="BX303" s="198"/>
      <c r="BY303" s="198"/>
      <c r="BZ303" s="199"/>
      <c r="CA303" s="198">
        <v>943.29100000000005</v>
      </c>
      <c r="CB303" s="198"/>
      <c r="CC303" s="198"/>
      <c r="CD303" s="198"/>
      <c r="CE303" s="198"/>
      <c r="CF303" s="198"/>
      <c r="CG303" s="199"/>
      <c r="CH303" s="197">
        <v>22493598.001219999</v>
      </c>
      <c r="CI303" s="198"/>
      <c r="CJ303" s="198">
        <v>9386239.8929200005</v>
      </c>
      <c r="CK303" s="198">
        <v>1826116.9330900002</v>
      </c>
      <c r="CL303" s="198">
        <v>8427918.9785699993</v>
      </c>
      <c r="CM303" s="198">
        <v>2853322.1966400002</v>
      </c>
      <c r="CN303" s="198"/>
      <c r="CO303" s="197">
        <v>9029.4465825600018</v>
      </c>
      <c r="CP303" s="198">
        <v>944.85493935000022</v>
      </c>
      <c r="CQ303" s="198">
        <v>1305.6900594399999</v>
      </c>
      <c r="CR303" s="198">
        <v>2166.1899183500004</v>
      </c>
      <c r="CS303" s="198">
        <v>2692.8362148100005</v>
      </c>
      <c r="CT303" s="198"/>
      <c r="CU303" s="198">
        <v>1919.8754506099992</v>
      </c>
      <c r="CV303" s="197">
        <v>1990.8710000000001</v>
      </c>
      <c r="CW303" s="198"/>
      <c r="CX303" s="198"/>
      <c r="CY303" s="198"/>
      <c r="CZ303" s="198"/>
      <c r="DA303" s="198"/>
      <c r="DB303" s="199"/>
      <c r="DC303" s="197">
        <v>105861.952</v>
      </c>
      <c r="DD303" s="198">
        <v>12810.787</v>
      </c>
      <c r="DE303" s="198">
        <v>19795.419999999998</v>
      </c>
      <c r="DF303" s="198"/>
      <c r="DG303" s="198">
        <v>31079.582999999999</v>
      </c>
      <c r="DH303" s="198"/>
      <c r="DI303" s="198">
        <f t="shared" si="41"/>
        <v>42176.162000000011</v>
      </c>
      <c r="DJ303" s="197">
        <f>4143.1+102914.5</f>
        <v>107057.60000000001</v>
      </c>
      <c r="DK303" s="198">
        <f>2221+21152.8</f>
        <v>23373.8</v>
      </c>
      <c r="DL303" s="198">
        <f>2760.4+25057.1</f>
        <v>27817.5</v>
      </c>
      <c r="DM303" s="198">
        <v>7062.8</v>
      </c>
      <c r="DN303" s="198">
        <f>25137.3-DM303</f>
        <v>18074.5</v>
      </c>
      <c r="DO303" s="198"/>
      <c r="DP303" s="198">
        <f t="shared" si="38"/>
        <v>30729</v>
      </c>
      <c r="DQ303" s="197"/>
      <c r="DR303" s="198"/>
      <c r="DS303" s="198"/>
      <c r="DT303" s="198"/>
      <c r="DU303" s="198"/>
      <c r="DV303" s="198"/>
      <c r="DW303" s="198"/>
      <c r="DX303" s="197">
        <v>180812.96790549002</v>
      </c>
      <c r="DY303" s="198"/>
      <c r="DZ303" s="198">
        <v>116620.81799983</v>
      </c>
      <c r="EA303" s="198">
        <v>32408.516236539996</v>
      </c>
      <c r="EB303" s="198">
        <v>29770.647533650004</v>
      </c>
      <c r="EC303" s="198">
        <v>2012.9861354700001</v>
      </c>
      <c r="ED303" s="198"/>
      <c r="EE303" s="197">
        <v>305233.79399999999</v>
      </c>
      <c r="EF303" s="198">
        <v>10774.135</v>
      </c>
      <c r="EG303" s="198">
        <v>67382.493000000002</v>
      </c>
      <c r="EH303" s="198">
        <v>20809.412</v>
      </c>
      <c r="EI303" s="198">
        <v>133152.55100000001</v>
      </c>
      <c r="EJ303" s="198"/>
      <c r="EK303" s="198">
        <f t="shared" si="34"/>
        <v>73115.20299999995</v>
      </c>
      <c r="EL303" s="197">
        <v>2665372.0637929998</v>
      </c>
      <c r="EM303" s="198">
        <v>1190215.4039949998</v>
      </c>
      <c r="EN303" s="198">
        <v>74831.029740999991</v>
      </c>
      <c r="EO303" s="198">
        <v>443488.11840700009</v>
      </c>
      <c r="EP303" s="198">
        <v>583813.46915799996</v>
      </c>
      <c r="EQ303" s="198"/>
      <c r="ER303" s="198">
        <v>373024.04249199998</v>
      </c>
      <c r="ES303" s="197">
        <v>65269.118684610003</v>
      </c>
      <c r="ET303" s="198">
        <v>9180.1795340000008</v>
      </c>
      <c r="EU303" s="198">
        <v>22596.232838989999</v>
      </c>
      <c r="EV303" s="198">
        <v>8650.3651199600008</v>
      </c>
      <c r="EW303" s="198">
        <v>14868.68075937</v>
      </c>
      <c r="EX303" s="198"/>
      <c r="EY303" s="198">
        <f t="shared" ref="EY303:EY305" si="43">ES303-ET303-EU303-EV303-EW303</f>
        <v>9973.6604322900021</v>
      </c>
      <c r="EZ303" s="197">
        <v>33312.592456140002</v>
      </c>
      <c r="FA303" s="198">
        <v>1726.24488423</v>
      </c>
      <c r="FB303" s="198">
        <v>10249.96757377</v>
      </c>
      <c r="FC303" s="198">
        <v>8594.7102958399992</v>
      </c>
      <c r="FD303" s="198">
        <v>6171.8721127900099</v>
      </c>
      <c r="FE303" s="198">
        <v>0</v>
      </c>
      <c r="FF303" s="198">
        <f t="shared" si="39"/>
        <v>6569.7975895099917</v>
      </c>
      <c r="FG303" s="197">
        <v>41491677.533235997</v>
      </c>
      <c r="FH303" s="198">
        <v>3814966.029633</v>
      </c>
      <c r="FI303" s="198">
        <v>9334795.3784999996</v>
      </c>
      <c r="FJ303" s="198"/>
      <c r="FK303" s="198">
        <v>6339543.4873159993</v>
      </c>
      <c r="FL303" s="198"/>
      <c r="FM303" s="198">
        <f t="shared" si="36"/>
        <v>22002372.637786999</v>
      </c>
      <c r="FN303" s="197">
        <v>140602.46456999998</v>
      </c>
      <c r="FO303" s="198">
        <v>22130.003771000003</v>
      </c>
      <c r="FP303" s="198">
        <v>21415.358217999998</v>
      </c>
      <c r="FQ303" s="198">
        <v>22809.669182000001</v>
      </c>
      <c r="FR303" s="198">
        <v>25763.368737000001</v>
      </c>
      <c r="FS303" s="198"/>
      <c r="FT303" s="199">
        <f t="shared" si="35"/>
        <v>48484.06466199999</v>
      </c>
      <c r="FU303" s="197"/>
      <c r="FV303" s="198"/>
      <c r="FW303" s="198"/>
      <c r="FX303" s="198"/>
      <c r="FY303" s="198"/>
      <c r="FZ303" s="198"/>
      <c r="GA303" s="199"/>
      <c r="GB303" s="197">
        <v>2469.5949999999998</v>
      </c>
      <c r="GC303" s="198"/>
      <c r="GD303" s="198"/>
      <c r="GE303" s="198"/>
      <c r="GF303" s="198"/>
      <c r="GG303" s="198"/>
      <c r="GH303" s="199"/>
      <c r="GI303" s="197">
        <v>1172.9380000000001</v>
      </c>
      <c r="GJ303" s="198"/>
      <c r="GK303" s="198"/>
      <c r="GL303" s="198"/>
      <c r="GM303" s="198"/>
      <c r="GN303" s="198"/>
      <c r="GO303" s="199"/>
      <c r="GP303" s="197">
        <v>4318.9290000000001</v>
      </c>
      <c r="GQ303" s="198"/>
      <c r="GR303" s="198"/>
      <c r="GS303" s="198"/>
      <c r="GT303" s="198"/>
      <c r="GU303" s="198"/>
      <c r="GV303" s="199"/>
      <c r="GW303" s="197">
        <f>[5]sur!P87</f>
        <v>4332.7999999999993</v>
      </c>
      <c r="GX303" s="198">
        <f>[5]sur!Q87</f>
        <v>345</v>
      </c>
      <c r="GY303" s="198">
        <f>[5]sur!R87</f>
        <v>1172.2</v>
      </c>
      <c r="GZ303" s="198">
        <f>[5]sur!S87</f>
        <v>695.59999999999991</v>
      </c>
      <c r="HA303" s="198"/>
      <c r="HB303" s="198"/>
      <c r="HC303" s="199">
        <f>[5]sur!V87</f>
        <v>2120</v>
      </c>
      <c r="HD303" s="197"/>
      <c r="HE303" s="198"/>
      <c r="HF303" s="198"/>
      <c r="HG303" s="198"/>
      <c r="HH303" s="198"/>
      <c r="HI303" s="198"/>
      <c r="HJ303" s="199"/>
      <c r="HK303" s="197">
        <v>12438.486115</v>
      </c>
      <c r="HL303" s="198">
        <v>1952.3240450000001</v>
      </c>
      <c r="HM303" s="198">
        <v>1551.968114</v>
      </c>
      <c r="HN303" s="198">
        <v>325.76800900000006</v>
      </c>
      <c r="HO303" s="198">
        <v>4595.7019629999995</v>
      </c>
      <c r="HP303" s="198"/>
      <c r="HQ303" s="198">
        <f t="shared" si="37"/>
        <v>4012.723984000002</v>
      </c>
      <c r="HR303" s="197">
        <v>377908.79499999998</v>
      </c>
      <c r="HS303" s="198">
        <v>36167.502999999997</v>
      </c>
      <c r="HT303" s="198">
        <v>129033.663</v>
      </c>
      <c r="HU303" s="198">
        <v>44282.173999999999</v>
      </c>
      <c r="HV303" s="198">
        <v>63439.972999999998</v>
      </c>
      <c r="HW303" s="198">
        <v>17724.754000000001</v>
      </c>
      <c r="HX303" s="198">
        <v>68792.45</v>
      </c>
      <c r="HZ303" s="180"/>
    </row>
    <row r="304" spans="1:234">
      <c r="A304" s="185" t="s">
        <v>499</v>
      </c>
      <c r="B304" s="197">
        <v>2825.0540000000001</v>
      </c>
      <c r="C304" s="198"/>
      <c r="D304" s="198"/>
      <c r="E304" s="198"/>
      <c r="F304" s="198"/>
      <c r="G304" s="198"/>
      <c r="H304" s="198"/>
      <c r="I304" s="197">
        <v>403593.5</v>
      </c>
      <c r="J304" s="198"/>
      <c r="K304" s="198"/>
      <c r="L304" s="198">
        <v>34604.800000000003</v>
      </c>
      <c r="M304" s="198">
        <v>72002.600000000006</v>
      </c>
      <c r="N304" s="198"/>
      <c r="O304" s="199">
        <v>259149.1</v>
      </c>
      <c r="P304" s="197">
        <v>7244.9409999999998</v>
      </c>
      <c r="Q304" s="198">
        <v>38.840000000000003</v>
      </c>
      <c r="R304" s="198">
        <v>313.42</v>
      </c>
      <c r="S304" s="198">
        <v>431.78</v>
      </c>
      <c r="T304" s="198">
        <v>5202.9539999999997</v>
      </c>
      <c r="U304" s="198"/>
      <c r="V304" s="199">
        <f t="shared" si="42"/>
        <v>1257.9470000000001</v>
      </c>
      <c r="W304" s="197">
        <v>6144.0240000000003</v>
      </c>
      <c r="X304" s="198">
        <v>127.715</v>
      </c>
      <c r="Y304" s="198">
        <v>941.30700000000002</v>
      </c>
      <c r="Z304" s="198">
        <v>237.923</v>
      </c>
      <c r="AA304" s="198">
        <v>3194.011</v>
      </c>
      <c r="AB304" s="198"/>
      <c r="AC304" s="199">
        <f t="shared" si="33"/>
        <v>1643.0680000000007</v>
      </c>
      <c r="AD304" s="198"/>
      <c r="AE304" s="198">
        <v>34.491</v>
      </c>
      <c r="AF304" s="198">
        <v>313.928</v>
      </c>
      <c r="AG304" s="198">
        <v>710.00700000000006</v>
      </c>
      <c r="AH304" s="198">
        <v>420.41399999999999</v>
      </c>
      <c r="AI304" s="198">
        <v>70.948999999999998</v>
      </c>
      <c r="AJ304" s="198"/>
      <c r="AK304" s="197"/>
      <c r="AL304" s="198"/>
      <c r="AM304" s="198"/>
      <c r="AN304" s="198"/>
      <c r="AO304" s="198"/>
      <c r="AP304" s="198"/>
      <c r="AQ304" s="199"/>
      <c r="AR304" s="198">
        <v>2310841</v>
      </c>
      <c r="AS304" s="198">
        <v>513073</v>
      </c>
      <c r="AT304" s="198">
        <v>267502</v>
      </c>
      <c r="AU304" s="198">
        <v>343493</v>
      </c>
      <c r="AV304" s="198">
        <v>805399</v>
      </c>
      <c r="AW304" s="198"/>
      <c r="AX304" s="198">
        <v>381374</v>
      </c>
      <c r="AY304" s="197">
        <v>101230728</v>
      </c>
      <c r="AZ304" s="198"/>
      <c r="BA304" s="198">
        <v>62047369</v>
      </c>
      <c r="BB304" s="198">
        <v>24351022</v>
      </c>
      <c r="BC304" s="198">
        <v>13317083</v>
      </c>
      <c r="BD304" s="198"/>
      <c r="BE304" s="198"/>
      <c r="BF304" s="197">
        <v>244131647.92000002</v>
      </c>
      <c r="BG304" s="198"/>
      <c r="BH304" s="198">
        <v>148331815.39000002</v>
      </c>
      <c r="BI304" s="198">
        <v>18839069.329999998</v>
      </c>
      <c r="BJ304" s="198">
        <v>69904078.070000008</v>
      </c>
      <c r="BK304" s="198">
        <v>7056685.1299999999</v>
      </c>
      <c r="BL304" s="198"/>
      <c r="BM304" s="197">
        <v>11815177.153999999</v>
      </c>
      <c r="BN304" s="198">
        <v>464498.00800000003</v>
      </c>
      <c r="BO304" s="198">
        <v>1192475.3320000002</v>
      </c>
      <c r="BP304" s="198">
        <v>3828688.5889999997</v>
      </c>
      <c r="BQ304" s="198">
        <v>3351608.4750000001</v>
      </c>
      <c r="BR304" s="198"/>
      <c r="BS304" s="198">
        <f t="shared" si="40"/>
        <v>2977906.75</v>
      </c>
      <c r="BT304" s="197"/>
      <c r="BU304" s="198"/>
      <c r="BV304" s="198"/>
      <c r="BW304" s="198"/>
      <c r="BX304" s="198"/>
      <c r="BY304" s="198"/>
      <c r="BZ304" s="198"/>
      <c r="CA304" s="197">
        <v>948.83199999999999</v>
      </c>
      <c r="CB304" s="198"/>
      <c r="CC304" s="198"/>
      <c r="CD304" s="198"/>
      <c r="CE304" s="198"/>
      <c r="CF304" s="198"/>
      <c r="CG304" s="199"/>
      <c r="CH304" s="197">
        <v>22691879.471689999</v>
      </c>
      <c r="CI304" s="198"/>
      <c r="CJ304" s="198">
        <v>9466099.870459998</v>
      </c>
      <c r="CK304" s="198">
        <v>1835444.2872200001</v>
      </c>
      <c r="CL304" s="198">
        <v>8479320.2859900016</v>
      </c>
      <c r="CM304" s="198">
        <v>2911015.0280200001</v>
      </c>
      <c r="CN304" s="198"/>
      <c r="CO304" s="197">
        <v>9146.1617862100011</v>
      </c>
      <c r="CP304" s="198">
        <v>953.61164221000013</v>
      </c>
      <c r="CQ304" s="198">
        <v>1354.7474441200002</v>
      </c>
      <c r="CR304" s="198">
        <v>2175.82016939</v>
      </c>
      <c r="CS304" s="198">
        <v>2734.6535223000001</v>
      </c>
      <c r="CT304" s="198"/>
      <c r="CU304" s="198">
        <v>1927.3290081899995</v>
      </c>
      <c r="CV304" s="197">
        <v>1990.171</v>
      </c>
      <c r="CW304" s="198"/>
      <c r="CX304" s="198"/>
      <c r="CY304" s="198"/>
      <c r="CZ304" s="198"/>
      <c r="DA304" s="198"/>
      <c r="DB304" s="199"/>
      <c r="DC304" s="197">
        <v>107918.31</v>
      </c>
      <c r="DD304" s="198">
        <v>13336.977999999999</v>
      </c>
      <c r="DE304" s="198">
        <v>19927.460999999999</v>
      </c>
      <c r="DF304" s="198"/>
      <c r="DG304" s="198">
        <v>31647.755000000001</v>
      </c>
      <c r="DH304" s="198"/>
      <c r="DI304" s="198">
        <f t="shared" si="41"/>
        <v>43006.115999999995</v>
      </c>
      <c r="DJ304" s="197">
        <f>4105.5+103956.8</f>
        <v>108062.3</v>
      </c>
      <c r="DK304" s="198">
        <f>2590.6+22561.9</f>
        <v>25152.5</v>
      </c>
      <c r="DL304" s="198">
        <f>2804.3+24629.3</f>
        <v>27433.599999999999</v>
      </c>
      <c r="DM304" s="198">
        <v>7057.5</v>
      </c>
      <c r="DN304" s="198">
        <f>24918.5-DM304</f>
        <v>17861</v>
      </c>
      <c r="DO304" s="198"/>
      <c r="DP304" s="198">
        <f t="shared" si="38"/>
        <v>30557.699999999997</v>
      </c>
      <c r="DQ304" s="197"/>
      <c r="DR304" s="198"/>
      <c r="DS304" s="198"/>
      <c r="DT304" s="198"/>
      <c r="DU304" s="198"/>
      <c r="DV304" s="198"/>
      <c r="DW304" s="198"/>
      <c r="DX304" s="197">
        <v>184451.25450518</v>
      </c>
      <c r="DY304" s="198"/>
      <c r="DZ304" s="198">
        <v>118938.77085053999</v>
      </c>
      <c r="EA304" s="198">
        <v>32603.467906949998</v>
      </c>
      <c r="EB304" s="198">
        <v>30857.293967680002</v>
      </c>
      <c r="EC304" s="198">
        <v>2051.7217800100002</v>
      </c>
      <c r="ED304" s="198"/>
      <c r="EE304" s="197">
        <v>310254.84299999999</v>
      </c>
      <c r="EF304" s="198">
        <v>11459.593000000001</v>
      </c>
      <c r="EG304" s="198">
        <v>67951.58600000001</v>
      </c>
      <c r="EH304" s="198">
        <v>21085.226999999999</v>
      </c>
      <c r="EI304" s="198">
        <v>138198.08499999999</v>
      </c>
      <c r="EJ304" s="198"/>
      <c r="EK304" s="198">
        <f t="shared" si="34"/>
        <v>71560.351999999984</v>
      </c>
      <c r="EL304" s="197">
        <v>2715554.9917619997</v>
      </c>
      <c r="EM304" s="198">
        <v>1205786.0332300004</v>
      </c>
      <c r="EN304" s="198">
        <v>81529.702909000014</v>
      </c>
      <c r="EO304" s="198">
        <v>447891.67998500005</v>
      </c>
      <c r="EP304" s="198">
        <v>604051.97887800005</v>
      </c>
      <c r="EQ304" s="198"/>
      <c r="ER304" s="198">
        <v>376295.59675999993</v>
      </c>
      <c r="ES304" s="197">
        <v>67192.166165429997</v>
      </c>
      <c r="ET304" s="198">
        <v>9432.3985297300005</v>
      </c>
      <c r="EU304" s="198">
        <v>23438.700466570001</v>
      </c>
      <c r="EV304" s="198">
        <v>8808.1703153500002</v>
      </c>
      <c r="EW304" s="198">
        <v>15226.59543637</v>
      </c>
      <c r="EX304" s="198"/>
      <c r="EY304" s="198">
        <f t="shared" si="43"/>
        <v>10286.301417409995</v>
      </c>
      <c r="EZ304" s="197">
        <v>33733.133755139999</v>
      </c>
      <c r="FA304" s="198">
        <v>1790.8169507699999</v>
      </c>
      <c r="FB304" s="198">
        <v>10398.031816070001</v>
      </c>
      <c r="FC304" s="198">
        <v>8723.0745956200008</v>
      </c>
      <c r="FD304" s="198">
        <v>6200.73350708</v>
      </c>
      <c r="FE304" s="198">
        <v>0</v>
      </c>
      <c r="FF304" s="198">
        <f t="shared" si="39"/>
        <v>6620.4768855999973</v>
      </c>
      <c r="FG304" s="197">
        <v>41551762.747339994</v>
      </c>
      <c r="FH304" s="198">
        <v>4039877.8631199999</v>
      </c>
      <c r="FI304" s="198">
        <v>9744654.2927909996</v>
      </c>
      <c r="FJ304" s="198"/>
      <c r="FK304" s="198">
        <v>6393382.2394739995</v>
      </c>
      <c r="FL304" s="198"/>
      <c r="FM304" s="198">
        <f t="shared" si="36"/>
        <v>21373848.351954997</v>
      </c>
      <c r="FN304" s="197">
        <v>142666.038245</v>
      </c>
      <c r="FO304" s="198">
        <v>22019.940105000001</v>
      </c>
      <c r="FP304" s="198">
        <v>22103.633528999999</v>
      </c>
      <c r="FQ304" s="198">
        <v>23307.957160999998</v>
      </c>
      <c r="FR304" s="198">
        <v>26105.955763000002</v>
      </c>
      <c r="FS304" s="198"/>
      <c r="FT304" s="199">
        <f t="shared" si="35"/>
        <v>49128.551686999999</v>
      </c>
      <c r="FU304" s="197"/>
      <c r="FV304" s="198"/>
      <c r="FW304" s="198"/>
      <c r="FX304" s="198"/>
      <c r="FY304" s="198"/>
      <c r="FZ304" s="198"/>
      <c r="GA304" s="199"/>
      <c r="GB304" s="197">
        <v>2462.3009999999999</v>
      </c>
      <c r="GC304" s="198"/>
      <c r="GD304" s="198"/>
      <c r="GE304" s="198"/>
      <c r="GF304" s="198"/>
      <c r="GG304" s="198"/>
      <c r="GH304" s="199"/>
      <c r="GI304" s="197">
        <v>1181.4860000000001</v>
      </c>
      <c r="GJ304" s="198"/>
      <c r="GK304" s="198"/>
      <c r="GL304" s="198"/>
      <c r="GM304" s="198"/>
      <c r="GN304" s="198"/>
      <c r="GO304" s="199"/>
      <c r="GP304" s="197">
        <v>4430.0469999999996</v>
      </c>
      <c r="GQ304" s="198"/>
      <c r="GR304" s="198"/>
      <c r="GS304" s="198"/>
      <c r="GT304" s="198"/>
      <c r="GU304" s="198"/>
      <c r="GV304" s="199"/>
      <c r="GW304" s="197">
        <f>[5]sur!P88</f>
        <v>4403</v>
      </c>
      <c r="GX304" s="198">
        <f>[5]sur!Q88</f>
        <v>347.1</v>
      </c>
      <c r="GY304" s="198">
        <f>[5]sur!R88</f>
        <v>1192.5999999999999</v>
      </c>
      <c r="GZ304" s="198">
        <f>[5]sur!S88</f>
        <v>702</v>
      </c>
      <c r="HA304" s="198"/>
      <c r="HB304" s="198"/>
      <c r="HC304" s="199">
        <f>[5]sur!V88</f>
        <v>2161.3000000000002</v>
      </c>
      <c r="HD304" s="197"/>
      <c r="HE304" s="198"/>
      <c r="HF304" s="198"/>
      <c r="HG304" s="198"/>
      <c r="HH304" s="198"/>
      <c r="HI304" s="198"/>
      <c r="HJ304" s="199"/>
      <c r="HK304" s="197">
        <v>12677.588352999999</v>
      </c>
      <c r="HL304" s="198">
        <v>1958.2037760000001</v>
      </c>
      <c r="HM304" s="198">
        <v>1577.5393320000001</v>
      </c>
      <c r="HN304" s="198">
        <v>333.54574400000001</v>
      </c>
      <c r="HO304" s="198">
        <v>4722.2886919999992</v>
      </c>
      <c r="HP304" s="198"/>
      <c r="HQ304" s="198">
        <f t="shared" si="37"/>
        <v>4086.0108089999985</v>
      </c>
      <c r="HR304" s="197">
        <v>396156.33899999998</v>
      </c>
      <c r="HS304" s="198">
        <v>37825.432000000001</v>
      </c>
      <c r="HT304" s="198">
        <v>139189.003</v>
      </c>
      <c r="HU304" s="198">
        <v>45529.432999999997</v>
      </c>
      <c r="HV304" s="198">
        <v>65392.241999999998</v>
      </c>
      <c r="HW304" s="198">
        <v>19153.312999999998</v>
      </c>
      <c r="HX304" s="198">
        <v>70177.441000000006</v>
      </c>
      <c r="HZ304" s="180"/>
    </row>
    <row r="305" spans="1:234">
      <c r="A305" s="202" t="s">
        <v>500</v>
      </c>
      <c r="B305" s="203">
        <v>2808.2950000000001</v>
      </c>
      <c r="C305" s="204">
        <v>44.813000000000002</v>
      </c>
      <c r="D305" s="204">
        <v>527.25099999999998</v>
      </c>
      <c r="E305" s="204">
        <v>812.29399999999998</v>
      </c>
      <c r="F305" s="204">
        <v>502.32</v>
      </c>
      <c r="G305" s="204"/>
      <c r="H305" s="204">
        <f>B305-C305-D305-E305-F305</f>
        <v>921.61699999999996</v>
      </c>
      <c r="I305" s="203">
        <v>424328.8</v>
      </c>
      <c r="J305" s="204"/>
      <c r="K305" s="204"/>
      <c r="L305" s="204">
        <v>36206.5</v>
      </c>
      <c r="M305" s="204">
        <v>72900</v>
      </c>
      <c r="N305" s="204"/>
      <c r="O305" s="205">
        <v>274568</v>
      </c>
      <c r="P305" s="203">
        <v>7105.9759999999997</v>
      </c>
      <c r="Q305" s="204">
        <v>41.744</v>
      </c>
      <c r="R305" s="204">
        <v>345.55499999999995</v>
      </c>
      <c r="S305" s="204">
        <v>422.24</v>
      </c>
      <c r="T305" s="204">
        <v>5205.7259999999997</v>
      </c>
      <c r="U305" s="204"/>
      <c r="V305" s="205">
        <f t="shared" si="42"/>
        <v>1090.7110000000002</v>
      </c>
      <c r="W305" s="203">
        <v>6149.1049999999996</v>
      </c>
      <c r="X305" s="204">
        <v>111.64</v>
      </c>
      <c r="Y305" s="204">
        <v>921.08400000000006</v>
      </c>
      <c r="Z305" s="204">
        <v>250.31200000000001</v>
      </c>
      <c r="AA305" s="204">
        <v>3201.0859999999998</v>
      </c>
      <c r="AB305" s="204"/>
      <c r="AC305" s="205">
        <f t="shared" si="33"/>
        <v>1664.9829999999997</v>
      </c>
      <c r="AD305" s="203">
        <f>[1]datos!$S437</f>
        <v>2275.261</v>
      </c>
      <c r="AE305" s="204">
        <v>32.454000000000001</v>
      </c>
      <c r="AF305" s="204">
        <v>307.58499999999998</v>
      </c>
      <c r="AG305" s="204">
        <v>718.00199999999995</v>
      </c>
      <c r="AH305" s="204">
        <v>425.76</v>
      </c>
      <c r="AI305" s="204">
        <v>69.593999999999994</v>
      </c>
      <c r="AJ305" s="205">
        <f>AD305-AE305-AF305-AG305-AH305-AI305</f>
        <v>721.86599999999976</v>
      </c>
      <c r="AK305" s="203">
        <v>70703.12</v>
      </c>
      <c r="AL305" s="204">
        <v>28705.46672</v>
      </c>
      <c r="AM305" s="204"/>
      <c r="AN305" s="204">
        <v>13574.999040000001</v>
      </c>
      <c r="AO305" s="204">
        <v>8484.3743999999988</v>
      </c>
      <c r="AP305" s="204">
        <v>19938.279839999996</v>
      </c>
      <c r="AQ305" s="205"/>
      <c r="AR305" s="203">
        <v>2368338</v>
      </c>
      <c r="AS305" s="204">
        <v>522308</v>
      </c>
      <c r="AT305" s="204">
        <v>272198</v>
      </c>
      <c r="AU305" s="204">
        <v>351641</v>
      </c>
      <c r="AV305" s="204">
        <v>818631</v>
      </c>
      <c r="AW305" s="204"/>
      <c r="AX305" s="205">
        <v>403560</v>
      </c>
      <c r="AY305" s="203">
        <v>101895688</v>
      </c>
      <c r="AZ305" s="204"/>
      <c r="BA305" s="204">
        <v>62747676</v>
      </c>
      <c r="BB305" s="204">
        <v>24535794</v>
      </c>
      <c r="BC305" s="204">
        <v>13479715</v>
      </c>
      <c r="BD305" s="204"/>
      <c r="BE305" s="204"/>
      <c r="BF305" s="203">
        <v>248092862.63000003</v>
      </c>
      <c r="BG305" s="204"/>
      <c r="BH305" s="204">
        <v>151057456.51000002</v>
      </c>
      <c r="BI305" s="204">
        <v>19267223.280000005</v>
      </c>
      <c r="BJ305" s="204">
        <v>70640373.390000001</v>
      </c>
      <c r="BK305" s="204">
        <v>7127809.4499999993</v>
      </c>
      <c r="BL305" s="204"/>
      <c r="BM305" s="203">
        <v>12124118.960999999</v>
      </c>
      <c r="BN305" s="204">
        <v>494968.71899999998</v>
      </c>
      <c r="BO305" s="204">
        <v>1223760.3560000001</v>
      </c>
      <c r="BP305" s="204">
        <v>3859489.8450000002</v>
      </c>
      <c r="BQ305" s="204">
        <v>3456948.3810000001</v>
      </c>
      <c r="BR305" s="204"/>
      <c r="BS305" s="204">
        <f t="shared" si="40"/>
        <v>3088951.66</v>
      </c>
      <c r="BT305" s="203"/>
      <c r="BU305" s="204"/>
      <c r="BV305" s="204"/>
      <c r="BW305" s="204"/>
      <c r="BX305" s="204"/>
      <c r="BY305" s="204"/>
      <c r="BZ305" s="204"/>
      <c r="CA305" s="203">
        <v>931.94899999999996</v>
      </c>
      <c r="CB305" s="204">
        <v>37.832000000000001</v>
      </c>
      <c r="CC305" s="204">
        <v>153.208</v>
      </c>
      <c r="CD305" s="204">
        <v>268.03300000000002</v>
      </c>
      <c r="CE305" s="204">
        <v>159.81299999999999</v>
      </c>
      <c r="CF305" s="204"/>
      <c r="CG305" s="205">
        <f>CA305-CB305-CC305-CD305-CE305</f>
        <v>313.06299999999999</v>
      </c>
      <c r="CH305" s="203">
        <v>22874869.764800005</v>
      </c>
      <c r="CI305" s="204"/>
      <c r="CJ305" s="204">
        <v>9634782.5106400009</v>
      </c>
      <c r="CK305" s="204">
        <v>1835444.2872200001</v>
      </c>
      <c r="CL305" s="204">
        <v>8494881.5146700013</v>
      </c>
      <c r="CM305" s="204">
        <v>2909761.4522700002</v>
      </c>
      <c r="CN305" s="204"/>
      <c r="CO305" s="203">
        <v>9222.7062821100026</v>
      </c>
      <c r="CP305" s="204">
        <v>1001.7419090800001</v>
      </c>
      <c r="CQ305" s="204">
        <v>1344.7709364200002</v>
      </c>
      <c r="CR305" s="204">
        <v>2180.5439321900003</v>
      </c>
      <c r="CS305" s="204">
        <v>2743.0981477400005</v>
      </c>
      <c r="CT305" s="204"/>
      <c r="CU305" s="204">
        <v>1952.5513566800007</v>
      </c>
      <c r="CV305" s="203">
        <v>1979.0830000000001</v>
      </c>
      <c r="CW305" s="204">
        <v>37.768999999999998</v>
      </c>
      <c r="CX305" s="204">
        <v>333.44099999999997</v>
      </c>
      <c r="CY305" s="204">
        <v>651.577</v>
      </c>
      <c r="CZ305" s="204">
        <v>549.51300000000003</v>
      </c>
      <c r="DA305" s="204"/>
      <c r="DB305" s="205">
        <f>CV305-CW305-CX305-CY305-CZ305</f>
        <v>406.78300000000002</v>
      </c>
      <c r="DC305" s="203">
        <v>111581.44</v>
      </c>
      <c r="DD305" s="204">
        <v>13419.032999999999</v>
      </c>
      <c r="DE305" s="204">
        <v>20635.624</v>
      </c>
      <c r="DF305" s="204"/>
      <c r="DG305" s="204">
        <v>31985.876</v>
      </c>
      <c r="DH305" s="204"/>
      <c r="DI305" s="204">
        <f t="shared" si="41"/>
        <v>45540.907000000007</v>
      </c>
      <c r="DJ305" s="203">
        <f>4597+107848.5</f>
        <v>112445.5</v>
      </c>
      <c r="DK305" s="204">
        <f>2746.1+23511.9</f>
        <v>26258</v>
      </c>
      <c r="DL305" s="204">
        <f>2889.8+26471.9</f>
        <v>29361.7</v>
      </c>
      <c r="DM305" s="204">
        <v>7484.3</v>
      </c>
      <c r="DN305" s="204">
        <f>24906.1-DM305</f>
        <v>17421.8</v>
      </c>
      <c r="DO305" s="204"/>
      <c r="DP305" s="204">
        <f t="shared" si="38"/>
        <v>31919.699999999997</v>
      </c>
      <c r="DQ305" s="203">
        <v>59.027121494999989</v>
      </c>
      <c r="DR305" s="204">
        <v>8.6840272299999981</v>
      </c>
      <c r="DS305" s="204">
        <v>15.05323563</v>
      </c>
      <c r="DT305" s="204">
        <v>4.2096752300000002</v>
      </c>
      <c r="DU305" s="204">
        <v>5.9218779100000001</v>
      </c>
      <c r="DV305" s="204"/>
      <c r="DW305" s="204">
        <v>25.158305494999986</v>
      </c>
      <c r="DX305" s="203">
        <v>186931.04838873996</v>
      </c>
      <c r="DY305" s="204"/>
      <c r="DZ305" s="204">
        <v>121325.78677622999</v>
      </c>
      <c r="EA305" s="204">
        <v>32488.322207480003</v>
      </c>
      <c r="EB305" s="204">
        <v>31057.752747890001</v>
      </c>
      <c r="EC305" s="204">
        <v>2059.1866571399996</v>
      </c>
      <c r="ED305" s="204"/>
      <c r="EE305" s="203">
        <v>307477.93099999998</v>
      </c>
      <c r="EF305" s="204">
        <v>12063.050999999999</v>
      </c>
      <c r="EG305" s="204">
        <v>67522.536999999997</v>
      </c>
      <c r="EH305" s="204">
        <v>21115.449000000001</v>
      </c>
      <c r="EI305" s="204">
        <v>135151.644</v>
      </c>
      <c r="EJ305" s="204"/>
      <c r="EK305" s="204">
        <f t="shared" si="34"/>
        <v>71625.25</v>
      </c>
      <c r="EL305" s="203">
        <v>2758040.2329130005</v>
      </c>
      <c r="EM305" s="204">
        <v>1226120.2907489997</v>
      </c>
      <c r="EN305" s="204">
        <v>83045.448435000013</v>
      </c>
      <c r="EO305" s="204">
        <v>452859.57587599999</v>
      </c>
      <c r="EP305" s="204">
        <v>603627.44280599989</v>
      </c>
      <c r="EQ305" s="204"/>
      <c r="ER305" s="204">
        <v>392387.47504700004</v>
      </c>
      <c r="ES305" s="203">
        <v>69457.164721990004</v>
      </c>
      <c r="ET305" s="204">
        <v>9902.4394748399991</v>
      </c>
      <c r="EU305" s="204">
        <v>24481.257794969999</v>
      </c>
      <c r="EV305" s="204">
        <v>8936.2050671300003</v>
      </c>
      <c r="EW305" s="204">
        <v>15452.59469984</v>
      </c>
      <c r="EX305" s="204"/>
      <c r="EY305" s="204">
        <f t="shared" si="43"/>
        <v>10684.667685210003</v>
      </c>
      <c r="EZ305" s="203">
        <v>33093.913426140003</v>
      </c>
      <c r="FA305" s="204">
        <v>1794.4077895800001</v>
      </c>
      <c r="FB305" s="204">
        <v>9999.9520003199996</v>
      </c>
      <c r="FC305" s="204">
        <v>8839.4900350400003</v>
      </c>
      <c r="FD305" s="204">
        <v>6267.1599635000002</v>
      </c>
      <c r="FE305" s="204">
        <v>0</v>
      </c>
      <c r="FF305" s="204">
        <f t="shared" si="39"/>
        <v>6192.9036377000011</v>
      </c>
      <c r="FG305" s="203">
        <v>41498156.967082001</v>
      </c>
      <c r="FH305" s="204">
        <v>4147692.4463829999</v>
      </c>
      <c r="FI305" s="204">
        <v>9870380.5908159986</v>
      </c>
      <c r="FJ305" s="204"/>
      <c r="FK305" s="204">
        <v>6390104.0975170005</v>
      </c>
      <c r="FL305" s="204"/>
      <c r="FM305" s="204">
        <f t="shared" si="36"/>
        <v>21089979.832366005</v>
      </c>
      <c r="FN305" s="203">
        <v>144165.31144800002</v>
      </c>
      <c r="FO305" s="204">
        <v>21813.333813999998</v>
      </c>
      <c r="FP305" s="204">
        <v>22027.566886999997</v>
      </c>
      <c r="FQ305" s="204">
        <v>23604.704664000001</v>
      </c>
      <c r="FR305" s="204">
        <v>26354.784769000002</v>
      </c>
      <c r="FS305" s="204"/>
      <c r="FT305" s="205">
        <f t="shared" si="35"/>
        <v>50364.921314000021</v>
      </c>
      <c r="FU305" s="203">
        <v>560093.82721725968</v>
      </c>
      <c r="FV305" s="204">
        <v>36369.656972200006</v>
      </c>
      <c r="FW305" s="204">
        <v>81051.566845499925</v>
      </c>
      <c r="FX305" s="204">
        <v>118199.40182690998</v>
      </c>
      <c r="FY305" s="204">
        <v>125881.13767923987</v>
      </c>
      <c r="FZ305" s="204"/>
      <c r="GA305" s="205">
        <f t="shared" ref="GA305" si="44">FU305-FV305-FW305-FX305-FY305</f>
        <v>198592.06389340991</v>
      </c>
      <c r="GB305" s="203">
        <v>2457.049</v>
      </c>
      <c r="GC305" s="204">
        <v>34.314</v>
      </c>
      <c r="GD305" s="204">
        <v>222.857</v>
      </c>
      <c r="GE305" s="204">
        <v>493.05599999999998</v>
      </c>
      <c r="GF305" s="204">
        <v>425.67900000000003</v>
      </c>
      <c r="GG305" s="204"/>
      <c r="GH305" s="205">
        <f>GB305-GC305-GD305-GE305-GF305</f>
        <v>1281.143</v>
      </c>
      <c r="GI305" s="203">
        <v>1180.2370000000001</v>
      </c>
      <c r="GJ305" s="204">
        <v>36.207999999999998</v>
      </c>
      <c r="GK305" s="204">
        <v>167.12700000000001</v>
      </c>
      <c r="GL305" s="204">
        <v>377.65699999999998</v>
      </c>
      <c r="GM305" s="204">
        <v>315.30500000000001</v>
      </c>
      <c r="GN305" s="204"/>
      <c r="GO305" s="205">
        <f>GI305-GJ305-GK305-GL305-GM305</f>
        <v>283.94000000000011</v>
      </c>
      <c r="GP305" s="203">
        <v>4434.3339999999998</v>
      </c>
      <c r="GQ305" s="204">
        <v>107.07899999999999</v>
      </c>
      <c r="GR305" s="204">
        <v>1130.586</v>
      </c>
      <c r="GS305" s="204">
        <v>896.25300000000004</v>
      </c>
      <c r="GT305" s="204">
        <v>660.39099999999996</v>
      </c>
      <c r="GU305" s="204"/>
      <c r="GV305" s="205">
        <f>GP305-GQ305-GR305-GS305-GT305</f>
        <v>1640.0249999999996</v>
      </c>
      <c r="GW305" s="203">
        <f>[5]sur!P89</f>
        <v>4465.2000000000007</v>
      </c>
      <c r="GX305" s="204">
        <f>[5]sur!Q89</f>
        <v>345.8</v>
      </c>
      <c r="GY305" s="204">
        <f>[5]sur!R89</f>
        <v>1200.2</v>
      </c>
      <c r="GZ305" s="204">
        <f>[5]sur!S89</f>
        <v>707.6</v>
      </c>
      <c r="HA305" s="204"/>
      <c r="HB305" s="204"/>
      <c r="HC305" s="205">
        <f>[5]sur!V89</f>
        <v>2211.6</v>
      </c>
      <c r="HD305" s="203">
        <f>'[2]t&amp;t'!W437</f>
        <v>50292.2</v>
      </c>
      <c r="HE305" s="204">
        <f>'[2]t&amp;t'!X437</f>
        <v>3623.2999999999997</v>
      </c>
      <c r="HF305" s="204">
        <f>'[2]t&amp;t'!Y437</f>
        <v>3246</v>
      </c>
      <c r="HG305" s="204">
        <f>'[2]t&amp;t'!Z437</f>
        <v>13263.3</v>
      </c>
      <c r="HH305" s="204">
        <f>'[2]t&amp;t'!AA437</f>
        <v>12393.800000000001</v>
      </c>
      <c r="HI305" s="204"/>
      <c r="HJ305" s="205">
        <f>'[2]t&amp;t'!AC437</f>
        <v>17765.8</v>
      </c>
      <c r="HK305" s="203">
        <v>13346.662742</v>
      </c>
      <c r="HL305" s="204">
        <v>2097.0958040000005</v>
      </c>
      <c r="HM305" s="204">
        <v>1661.4552270000001</v>
      </c>
      <c r="HN305" s="204">
        <v>344.91284899999999</v>
      </c>
      <c r="HO305" s="204">
        <v>4920.8211490000003</v>
      </c>
      <c r="HP305" s="204"/>
      <c r="HQ305" s="204">
        <f t="shared" si="37"/>
        <v>4322.3777129999989</v>
      </c>
      <c r="HR305" s="203">
        <v>410343.10700000002</v>
      </c>
      <c r="HS305" s="204">
        <v>39611.506999999998</v>
      </c>
      <c r="HT305" s="204">
        <v>144659.27900000001</v>
      </c>
      <c r="HU305" s="204">
        <v>47671.646999999997</v>
      </c>
      <c r="HV305" s="204">
        <v>67175.834000000003</v>
      </c>
      <c r="HW305" s="204">
        <v>20555.417000000001</v>
      </c>
      <c r="HX305" s="204">
        <v>71326.070999999996</v>
      </c>
      <c r="HZ305" s="180"/>
    </row>
    <row r="306" spans="1:234">
      <c r="A306" s="185" t="s">
        <v>680</v>
      </c>
      <c r="B306" s="197">
        <v>2791.02</v>
      </c>
      <c r="C306" s="198"/>
      <c r="D306" s="198"/>
      <c r="E306" s="198"/>
      <c r="F306" s="198"/>
      <c r="G306" s="198"/>
      <c r="H306" s="198"/>
      <c r="I306" s="208">
        <v>428561.6</v>
      </c>
      <c r="J306" s="212"/>
      <c r="K306" s="212"/>
      <c r="L306" s="212">
        <v>36673.5</v>
      </c>
      <c r="M306" s="212">
        <v>74744.3</v>
      </c>
      <c r="N306" s="212"/>
      <c r="O306" s="213">
        <v>276428.7</v>
      </c>
      <c r="P306" s="208">
        <v>7118.6229999999996</v>
      </c>
      <c r="Q306" s="212">
        <v>37.139000000000003</v>
      </c>
      <c r="R306" s="212">
        <v>338.63600000000002</v>
      </c>
      <c r="S306" s="212">
        <v>408.67500000000001</v>
      </c>
      <c r="T306" s="212">
        <v>5203.6809999999996</v>
      </c>
      <c r="U306" s="212"/>
      <c r="V306" s="213">
        <v>1130.4919999999993</v>
      </c>
      <c r="W306" s="208">
        <v>6108.8720000000003</v>
      </c>
      <c r="X306" s="212">
        <v>121.131</v>
      </c>
      <c r="Y306" s="212">
        <v>915.87099999999998</v>
      </c>
      <c r="Z306" s="212">
        <v>232.26</v>
      </c>
      <c r="AA306" s="212">
        <v>3217.652</v>
      </c>
      <c r="AB306" s="212"/>
      <c r="AC306" s="213">
        <v>1621.9579999999996</v>
      </c>
      <c r="AD306" s="198"/>
      <c r="AE306" s="198">
        <v>28.169</v>
      </c>
      <c r="AF306" s="198">
        <v>301.50099999999998</v>
      </c>
      <c r="AG306" s="198">
        <v>719.86400000000003</v>
      </c>
      <c r="AH306" s="198">
        <v>422.471</v>
      </c>
      <c r="AI306" s="198">
        <v>62.395000000000003</v>
      </c>
      <c r="AJ306" s="198"/>
      <c r="AK306" s="197"/>
      <c r="AL306" s="198"/>
      <c r="AM306" s="198"/>
      <c r="AN306" s="198"/>
      <c r="AO306" s="198"/>
      <c r="AP306" s="198"/>
      <c r="AQ306" s="199"/>
      <c r="AR306" s="198">
        <v>2366165</v>
      </c>
      <c r="AS306" s="198">
        <v>516083</v>
      </c>
      <c r="AT306" s="198">
        <v>267607</v>
      </c>
      <c r="AU306" s="198">
        <v>357751</v>
      </c>
      <c r="AV306" s="198">
        <v>824302</v>
      </c>
      <c r="AW306" s="198"/>
      <c r="AX306" s="198">
        <v>400422</v>
      </c>
      <c r="AY306" s="197">
        <v>102141834</v>
      </c>
      <c r="AZ306" s="198"/>
      <c r="BA306" s="198">
        <v>62653441</v>
      </c>
      <c r="BB306" s="198">
        <v>24679941</v>
      </c>
      <c r="BC306" s="198">
        <v>13560864</v>
      </c>
      <c r="BD306" s="198"/>
      <c r="BE306" s="198"/>
      <c r="BF306" s="197">
        <v>248162295.06999999</v>
      </c>
      <c r="BG306" s="198"/>
      <c r="BH306" s="198">
        <v>150428864.41999999</v>
      </c>
      <c r="BI306" s="198">
        <v>19569549.929999996</v>
      </c>
      <c r="BJ306" s="198">
        <v>70980055.860000014</v>
      </c>
      <c r="BK306" s="198">
        <v>7183824.8600000031</v>
      </c>
      <c r="BL306" s="198"/>
      <c r="BM306" s="197">
        <v>12108986.426000001</v>
      </c>
      <c r="BN306" s="198">
        <v>484211.701</v>
      </c>
      <c r="BO306" s="198">
        <v>1231510.4890000001</v>
      </c>
      <c r="BP306" s="198">
        <v>3880928.2689999999</v>
      </c>
      <c r="BQ306" s="198">
        <v>3401227.7919999999</v>
      </c>
      <c r="BR306" s="198"/>
      <c r="BS306" s="198">
        <v>3111108.1750000007</v>
      </c>
      <c r="BT306" s="197"/>
      <c r="BU306" s="198"/>
      <c r="BV306" s="198"/>
      <c r="BW306" s="198"/>
      <c r="BX306" s="198"/>
      <c r="BY306" s="198"/>
      <c r="BZ306" s="199"/>
      <c r="CA306" s="198">
        <v>943.35400000000004</v>
      </c>
      <c r="CB306" s="198"/>
      <c r="CC306" s="198"/>
      <c r="CD306" s="198"/>
      <c r="CE306" s="198"/>
      <c r="CF306" s="198"/>
      <c r="CG306" s="199"/>
      <c r="CH306" s="197">
        <v>19725357.094719999</v>
      </c>
      <c r="CI306" s="198"/>
      <c r="CJ306" s="198">
        <v>9491561.8251399975</v>
      </c>
      <c r="CK306" s="198">
        <v>1574641.31648</v>
      </c>
      <c r="CL306" s="198">
        <v>6919332.28957</v>
      </c>
      <c r="CM306" s="198">
        <v>1739821.66353</v>
      </c>
      <c r="CN306" s="198"/>
      <c r="CO306" s="197">
        <v>9239.8305012399996</v>
      </c>
      <c r="CP306" s="198">
        <v>1005.8375590100002</v>
      </c>
      <c r="CQ306" s="198">
        <v>1341.61700666</v>
      </c>
      <c r="CR306" s="198">
        <v>2182.5272080699997</v>
      </c>
      <c r="CS306" s="198">
        <v>2766.9264404800006</v>
      </c>
      <c r="CT306" s="198"/>
      <c r="CU306" s="198">
        <v>1942.9222870199997</v>
      </c>
      <c r="CV306" s="197">
        <v>1970.269</v>
      </c>
      <c r="CW306" s="198"/>
      <c r="CX306" s="198"/>
      <c r="CY306" s="198"/>
      <c r="CZ306" s="198"/>
      <c r="DA306" s="198"/>
      <c r="DB306" s="199"/>
      <c r="DC306" s="197">
        <v>111565.47100000001</v>
      </c>
      <c r="DD306" s="198">
        <v>13344.1</v>
      </c>
      <c r="DE306" s="198">
        <v>20533.803</v>
      </c>
      <c r="DF306" s="198"/>
      <c r="DG306" s="198">
        <v>32341.656999999999</v>
      </c>
      <c r="DH306" s="198"/>
      <c r="DI306" s="198">
        <v>45345.911</v>
      </c>
      <c r="DJ306" s="197">
        <v>110993.8</v>
      </c>
      <c r="DK306" s="198">
        <v>25211.200000000001</v>
      </c>
      <c r="DL306" s="198">
        <v>28862.400000000001</v>
      </c>
      <c r="DM306" s="198">
        <v>7237.4</v>
      </c>
      <c r="DN306" s="198">
        <v>18265.5</v>
      </c>
      <c r="DO306" s="198"/>
      <c r="DP306" s="198">
        <v>31417.300000000003</v>
      </c>
      <c r="DQ306" s="197"/>
      <c r="DR306" s="198"/>
      <c r="DS306" s="198"/>
      <c r="DT306" s="198"/>
      <c r="DU306" s="198"/>
      <c r="DV306" s="198"/>
      <c r="DW306" s="198"/>
      <c r="DX306" s="197">
        <v>188810.92288658</v>
      </c>
      <c r="DY306" s="198"/>
      <c r="DZ306" s="198">
        <v>122986.41822682001</v>
      </c>
      <c r="EA306" s="198">
        <v>32476.590803390001</v>
      </c>
      <c r="EB306" s="198">
        <v>31300.682862579997</v>
      </c>
      <c r="EC306" s="198">
        <v>2047.23099379</v>
      </c>
      <c r="ED306" s="198"/>
      <c r="EE306" s="197">
        <v>311484.174</v>
      </c>
      <c r="EF306" s="198">
        <v>11384.821</v>
      </c>
      <c r="EG306" s="198">
        <v>71077.650999999998</v>
      </c>
      <c r="EH306" s="198">
        <v>21554.308000000001</v>
      </c>
      <c r="EI306" s="198">
        <v>136040.11499999999</v>
      </c>
      <c r="EJ306" s="198"/>
      <c r="EK306" s="198">
        <v>71427.27900000001</v>
      </c>
      <c r="EL306" s="197">
        <v>2754154.9827530007</v>
      </c>
      <c r="EM306" s="198">
        <v>1217109.8895349998</v>
      </c>
      <c r="EN306" s="198">
        <v>83624.448184000008</v>
      </c>
      <c r="EO306" s="198">
        <v>457840.91302299988</v>
      </c>
      <c r="EP306" s="198">
        <v>605759.52671599993</v>
      </c>
      <c r="EQ306" s="198"/>
      <c r="ER306" s="198">
        <v>389820.20529499993</v>
      </c>
      <c r="ES306" s="197">
        <v>70365.12932230001</v>
      </c>
      <c r="ET306" s="198">
        <v>10084.9269558</v>
      </c>
      <c r="EU306" s="198">
        <v>24581.301305360001</v>
      </c>
      <c r="EV306" s="198">
        <v>9090.2597049899996</v>
      </c>
      <c r="EW306" s="198">
        <v>15785.85667374</v>
      </c>
      <c r="EX306" s="198"/>
      <c r="EY306" s="198">
        <v>10822.784682410009</v>
      </c>
      <c r="EZ306" s="197">
        <v>33514.185139900001</v>
      </c>
      <c r="FA306" s="198">
        <v>1809.4422707799999</v>
      </c>
      <c r="FB306" s="198">
        <v>10136.275069490001</v>
      </c>
      <c r="FC306" s="198">
        <v>8891.0025331800007</v>
      </c>
      <c r="FD306" s="198">
        <v>6304.0833560399997</v>
      </c>
      <c r="FE306" s="198">
        <v>0</v>
      </c>
      <c r="FF306" s="198">
        <v>6373.3819104100012</v>
      </c>
      <c r="FG306" s="197">
        <v>40578974.355467007</v>
      </c>
      <c r="FH306" s="198">
        <v>4128827.0409960006</v>
      </c>
      <c r="FI306" s="198">
        <v>9501683.086548999</v>
      </c>
      <c r="FJ306" s="198"/>
      <c r="FK306" s="198">
        <v>6693068.3587580007</v>
      </c>
      <c r="FL306" s="198"/>
      <c r="FM306" s="198">
        <v>20255395.869164005</v>
      </c>
      <c r="FN306" s="197">
        <v>144626.50782199999</v>
      </c>
      <c r="FO306" s="198">
        <v>22119.242990999999</v>
      </c>
      <c r="FP306" s="198">
        <v>21556.425569999999</v>
      </c>
      <c r="FQ306" s="198">
        <v>24040.204684</v>
      </c>
      <c r="FR306" s="198">
        <v>26460.882752000001</v>
      </c>
      <c r="FS306" s="198"/>
      <c r="FT306" s="199">
        <v>50449.751824999985</v>
      </c>
      <c r="FU306" s="197">
        <v>575400.17714735994</v>
      </c>
      <c r="FV306" s="198">
        <v>37661.183125660005</v>
      </c>
      <c r="FW306" s="198">
        <v>77695.195482930067</v>
      </c>
      <c r="FX306" s="198">
        <v>116861.48010592005</v>
      </c>
      <c r="FY306" s="198">
        <v>127011.61853457989</v>
      </c>
      <c r="FZ306" s="198"/>
      <c r="GA306" s="199">
        <v>216170.6998982699</v>
      </c>
      <c r="GB306" s="197">
        <v>2448.4769999999999</v>
      </c>
      <c r="GC306" s="198"/>
      <c r="GD306" s="198"/>
      <c r="GE306" s="198"/>
      <c r="GF306" s="198"/>
      <c r="GG306" s="198"/>
      <c r="GH306" s="199"/>
      <c r="GI306" s="197">
        <v>1185.23</v>
      </c>
      <c r="GJ306" s="198"/>
      <c r="GK306" s="198"/>
      <c r="GL306" s="198"/>
      <c r="GM306" s="198"/>
      <c r="GN306" s="198"/>
      <c r="GO306" s="199"/>
      <c r="GP306" s="197">
        <v>4425.8440000000001</v>
      </c>
      <c r="GQ306" s="198"/>
      <c r="GR306" s="198"/>
      <c r="GS306" s="198"/>
      <c r="GT306" s="198"/>
      <c r="GU306" s="198"/>
      <c r="GV306" s="199"/>
      <c r="GW306" s="197">
        <v>4486.8</v>
      </c>
      <c r="GX306" s="198">
        <v>334.70000000000005</v>
      </c>
      <c r="GY306" s="198">
        <v>1215.9000000000001</v>
      </c>
      <c r="GZ306" s="198">
        <v>712.1</v>
      </c>
      <c r="HA306" s="198"/>
      <c r="HB306" s="198"/>
      <c r="HC306" s="199">
        <v>2224.1000000000004</v>
      </c>
      <c r="HD306" s="197"/>
      <c r="HE306" s="198"/>
      <c r="HF306" s="198"/>
      <c r="HG306" s="198"/>
      <c r="HH306" s="198"/>
      <c r="HI306" s="198"/>
      <c r="HJ306" s="199"/>
      <c r="HK306" s="197">
        <v>13337.247625999998</v>
      </c>
      <c r="HL306" s="198">
        <v>2084.5005449999999</v>
      </c>
      <c r="HM306" s="198">
        <v>1629.5582750000003</v>
      </c>
      <c r="HN306" s="198">
        <v>336.47859399999999</v>
      </c>
      <c r="HO306" s="198">
        <v>4990.2567680000002</v>
      </c>
      <c r="HP306" s="198"/>
      <c r="HQ306" s="198">
        <v>4296.4534439999979</v>
      </c>
      <c r="HR306" s="197">
        <v>410837.35700000002</v>
      </c>
      <c r="HS306" s="198">
        <v>39180.745999999999</v>
      </c>
      <c r="HT306" s="198">
        <v>141756.69</v>
      </c>
      <c r="HU306" s="198">
        <v>48387.775000000001</v>
      </c>
      <c r="HV306" s="198">
        <v>70446.467999999993</v>
      </c>
      <c r="HW306" s="198">
        <v>21085.976999999999</v>
      </c>
      <c r="HX306" s="198">
        <v>70893.328999999998</v>
      </c>
      <c r="HY306" s="198"/>
    </row>
    <row r="307" spans="1:234">
      <c r="A307" s="185" t="s">
        <v>490</v>
      </c>
      <c r="B307" s="197">
        <v>2776.41</v>
      </c>
      <c r="C307" s="198"/>
      <c r="D307" s="198"/>
      <c r="E307" s="198"/>
      <c r="F307" s="198"/>
      <c r="G307" s="198"/>
      <c r="H307" s="198"/>
      <c r="I307" s="197">
        <v>430608</v>
      </c>
      <c r="J307" s="198"/>
      <c r="K307" s="198"/>
      <c r="L307" s="198">
        <v>37090.199999999997</v>
      </c>
      <c r="M307" s="198">
        <v>76493</v>
      </c>
      <c r="N307" s="198"/>
      <c r="O307" s="199">
        <v>277483.10000000003</v>
      </c>
      <c r="P307" s="197">
        <v>7084.2489999999998</v>
      </c>
      <c r="Q307" s="198">
        <v>41.567</v>
      </c>
      <c r="R307" s="198">
        <v>331.75400000000002</v>
      </c>
      <c r="S307" s="198">
        <v>405.166</v>
      </c>
      <c r="T307" s="198">
        <v>5199.509</v>
      </c>
      <c r="U307" s="198"/>
      <c r="V307" s="199">
        <v>1106.2529999999997</v>
      </c>
      <c r="W307" s="197">
        <v>6093.9669999999996</v>
      </c>
      <c r="X307" s="198">
        <v>116.95333000000001</v>
      </c>
      <c r="Y307" s="198">
        <v>920.73194000000012</v>
      </c>
      <c r="Z307" s="198">
        <v>229.31466</v>
      </c>
      <c r="AA307" s="198">
        <v>3216.9846200000002</v>
      </c>
      <c r="AB307" s="198"/>
      <c r="AC307" s="199">
        <v>1609.9824499999986</v>
      </c>
      <c r="AD307" s="198"/>
      <c r="AE307" s="198">
        <v>25.614000000000001</v>
      </c>
      <c r="AF307" s="198">
        <v>293.73099999999999</v>
      </c>
      <c r="AG307" s="198">
        <v>722.69399999999996</v>
      </c>
      <c r="AH307" s="198">
        <v>423.6</v>
      </c>
      <c r="AI307" s="198">
        <v>62.98</v>
      </c>
      <c r="AJ307" s="198"/>
      <c r="AK307" s="197"/>
      <c r="AL307" s="198"/>
      <c r="AM307" s="198"/>
      <c r="AN307" s="198"/>
      <c r="AO307" s="198"/>
      <c r="AP307" s="198"/>
      <c r="AQ307" s="199"/>
      <c r="AR307" s="198">
        <v>2383597</v>
      </c>
      <c r="AS307" s="198">
        <v>525531</v>
      </c>
      <c r="AT307" s="198">
        <v>268952</v>
      </c>
      <c r="AU307" s="198">
        <v>364136</v>
      </c>
      <c r="AV307" s="198">
        <v>824902</v>
      </c>
      <c r="AW307" s="198"/>
      <c r="AX307" s="198">
        <v>400076</v>
      </c>
      <c r="AY307" s="197">
        <v>102869715</v>
      </c>
      <c r="AZ307" s="198"/>
      <c r="BA307" s="198">
        <v>63323542</v>
      </c>
      <c r="BB307" s="198">
        <v>24884809</v>
      </c>
      <c r="BC307" s="198">
        <v>13561419</v>
      </c>
      <c r="BD307" s="198"/>
      <c r="BE307" s="198"/>
      <c r="BF307" s="197">
        <v>250672219.25999996</v>
      </c>
      <c r="BG307" s="198"/>
      <c r="BH307" s="198">
        <v>151942313.47</v>
      </c>
      <c r="BI307" s="198">
        <v>19926565.789999995</v>
      </c>
      <c r="BJ307" s="198">
        <v>71542367.569999978</v>
      </c>
      <c r="BK307" s="198">
        <v>7260972.4299999988</v>
      </c>
      <c r="BL307" s="198"/>
      <c r="BM307" s="197">
        <v>12159170.946</v>
      </c>
      <c r="BN307" s="198">
        <v>465490.951</v>
      </c>
      <c r="BO307" s="198">
        <v>1256606.8529999999</v>
      </c>
      <c r="BP307" s="198">
        <v>3836079.6660000002</v>
      </c>
      <c r="BQ307" s="198">
        <v>3441467.8670000001</v>
      </c>
      <c r="BR307" s="198"/>
      <c r="BS307" s="198">
        <v>3159525.6089999992</v>
      </c>
      <c r="BT307" s="197"/>
      <c r="BU307" s="198"/>
      <c r="BV307" s="198"/>
      <c r="BW307" s="198"/>
      <c r="BX307" s="198"/>
      <c r="BY307" s="198"/>
      <c r="BZ307" s="199"/>
      <c r="CA307" s="198">
        <v>938.33900000000006</v>
      </c>
      <c r="CB307" s="198"/>
      <c r="CC307" s="198"/>
      <c r="CD307" s="198"/>
      <c r="CE307" s="198"/>
      <c r="CF307" s="198"/>
      <c r="CG307" s="199"/>
      <c r="CH307" s="197">
        <v>19644622.30999</v>
      </c>
      <c r="CI307" s="198"/>
      <c r="CJ307" s="198">
        <v>9493602.2605499998</v>
      </c>
      <c r="CK307" s="198">
        <v>1551406.58898</v>
      </c>
      <c r="CL307" s="198">
        <v>6848239.7532399995</v>
      </c>
      <c r="CM307" s="198">
        <v>1751373.7072200002</v>
      </c>
      <c r="CN307" s="198"/>
      <c r="CO307" s="197">
        <v>9252.9019054300006</v>
      </c>
      <c r="CP307" s="198">
        <v>989.26608381999972</v>
      </c>
      <c r="CQ307" s="198">
        <v>1347.0315376899998</v>
      </c>
      <c r="CR307" s="198">
        <v>2188.6551642700001</v>
      </c>
      <c r="CS307" s="198">
        <v>2789.1978789200002</v>
      </c>
      <c r="CT307" s="198"/>
      <c r="CU307" s="198">
        <v>1938.7512407300007</v>
      </c>
      <c r="CV307" s="197">
        <v>1962.568</v>
      </c>
      <c r="CW307" s="198"/>
      <c r="CX307" s="198"/>
      <c r="CY307" s="198"/>
      <c r="CZ307" s="198"/>
      <c r="DA307" s="198"/>
      <c r="DB307" s="199"/>
      <c r="DC307" s="197">
        <v>112115.261</v>
      </c>
      <c r="DD307" s="198">
        <v>13442.806</v>
      </c>
      <c r="DE307" s="198">
        <v>20876.686000000002</v>
      </c>
      <c r="DF307" s="198"/>
      <c r="DG307" s="198">
        <v>32745.958999999999</v>
      </c>
      <c r="DH307" s="198"/>
      <c r="DI307" s="198">
        <v>45049.81</v>
      </c>
      <c r="DJ307" s="197">
        <v>112679.4</v>
      </c>
      <c r="DK307" s="198">
        <v>25806.899999999998</v>
      </c>
      <c r="DL307" s="198">
        <v>29361.7</v>
      </c>
      <c r="DM307" s="198">
        <v>7484.3</v>
      </c>
      <c r="DN307" s="198">
        <v>17873</v>
      </c>
      <c r="DO307" s="198"/>
      <c r="DP307" s="198">
        <v>32153.5</v>
      </c>
      <c r="DQ307" s="197"/>
      <c r="DR307" s="198"/>
      <c r="DS307" s="198"/>
      <c r="DT307" s="198"/>
      <c r="DU307" s="198"/>
      <c r="DV307" s="198"/>
      <c r="DW307" s="198"/>
      <c r="DX307" s="197">
        <v>189942.24604324999</v>
      </c>
      <c r="DY307" s="198"/>
      <c r="DZ307" s="198">
        <v>123624.09514154002</v>
      </c>
      <c r="EA307" s="198">
        <v>32569.225408920003</v>
      </c>
      <c r="EB307" s="198">
        <v>31721.090741099997</v>
      </c>
      <c r="EC307" s="198">
        <v>2027.8347516900001</v>
      </c>
      <c r="ED307" s="198"/>
      <c r="EE307" s="197">
        <v>317715.79700000002</v>
      </c>
      <c r="EF307" s="198">
        <v>11262.232</v>
      </c>
      <c r="EG307" s="198">
        <v>68115.396000000008</v>
      </c>
      <c r="EH307" s="198">
        <v>21802.300999999999</v>
      </c>
      <c r="EI307" s="198">
        <v>141231.465</v>
      </c>
      <c r="EJ307" s="198"/>
      <c r="EK307" s="198">
        <v>75304.402999999991</v>
      </c>
      <c r="EL307" s="197">
        <v>2768496.0892849998</v>
      </c>
      <c r="EM307" s="198">
        <v>1225018.4451060002</v>
      </c>
      <c r="EN307" s="198">
        <v>80824.663128999993</v>
      </c>
      <c r="EO307" s="198">
        <v>460110.92105000024</v>
      </c>
      <c r="EP307" s="198">
        <v>609624.42786400008</v>
      </c>
      <c r="EQ307" s="198"/>
      <c r="ER307" s="198">
        <v>392917.63213600009</v>
      </c>
      <c r="ES307" s="197">
        <v>70496.397835809999</v>
      </c>
      <c r="ET307" s="198">
        <v>9887.5167912399993</v>
      </c>
      <c r="EU307" s="198">
        <v>24717.002966759999</v>
      </c>
      <c r="EV307" s="198">
        <v>9240.4203593000002</v>
      </c>
      <c r="EW307" s="198">
        <v>16088.685873930001</v>
      </c>
      <c r="EX307" s="198"/>
      <c r="EY307" s="198">
        <v>10562.771844580006</v>
      </c>
      <c r="EZ307" s="197">
        <v>33853.339816189997</v>
      </c>
      <c r="FA307" s="198">
        <v>1831.90913819</v>
      </c>
      <c r="FB307" s="198">
        <v>10154.889036480001</v>
      </c>
      <c r="FC307" s="198">
        <v>8960.1285253799997</v>
      </c>
      <c r="FD307" s="198">
        <v>6361.5348252800104</v>
      </c>
      <c r="FE307" s="198">
        <v>0</v>
      </c>
      <c r="FF307" s="198">
        <v>6544.8782908599842</v>
      </c>
      <c r="FG307" s="197">
        <v>40929334.038154006</v>
      </c>
      <c r="FH307" s="198">
        <v>4205754.502053</v>
      </c>
      <c r="FI307" s="198">
        <v>9299155.6601609979</v>
      </c>
      <c r="FJ307" s="198"/>
      <c r="FK307" s="198">
        <v>6775017.0844299998</v>
      </c>
      <c r="FL307" s="198"/>
      <c r="FM307" s="198">
        <v>20649406.791510008</v>
      </c>
      <c r="FN307" s="197">
        <v>145931.593735</v>
      </c>
      <c r="FO307" s="198">
        <v>22506.066423</v>
      </c>
      <c r="FP307" s="198">
        <v>21806.071673999999</v>
      </c>
      <c r="FQ307" s="198">
        <v>24288.310914999998</v>
      </c>
      <c r="FR307" s="198">
        <v>26615.017089000001</v>
      </c>
      <c r="FS307" s="198"/>
      <c r="FT307" s="199">
        <v>50716.127634000019</v>
      </c>
      <c r="FU307" s="197">
        <v>586655.1302305701</v>
      </c>
      <c r="FV307" s="198">
        <v>40518.178997679963</v>
      </c>
      <c r="FW307" s="198">
        <v>78738.811013090046</v>
      </c>
      <c r="FX307" s="198">
        <v>118315.09087746002</v>
      </c>
      <c r="FY307" s="198">
        <v>127858.52042020005</v>
      </c>
      <c r="FZ307" s="198"/>
      <c r="GA307" s="199">
        <v>221224.52892213999</v>
      </c>
      <c r="GB307" s="197">
        <v>2444.0990000000002</v>
      </c>
      <c r="GC307" s="198"/>
      <c r="GD307" s="198"/>
      <c r="GE307" s="198"/>
      <c r="GF307" s="198"/>
      <c r="GG307" s="198"/>
      <c r="GH307" s="199"/>
      <c r="GI307" s="197">
        <v>1179.558</v>
      </c>
      <c r="GJ307" s="198"/>
      <c r="GK307" s="198"/>
      <c r="GL307" s="198"/>
      <c r="GM307" s="198"/>
      <c r="GN307" s="198"/>
      <c r="GO307" s="199"/>
      <c r="GP307" s="197">
        <v>4451.8860000000004</v>
      </c>
      <c r="GQ307" s="198"/>
      <c r="GR307" s="198"/>
      <c r="GS307" s="198"/>
      <c r="GT307" s="198"/>
      <c r="GU307" s="198"/>
      <c r="GV307" s="199"/>
      <c r="GW307" s="197">
        <v>4474.5</v>
      </c>
      <c r="GX307" s="198">
        <v>328</v>
      </c>
      <c r="GY307" s="198">
        <v>1206.0999999999999</v>
      </c>
      <c r="GZ307" s="198">
        <v>718.5</v>
      </c>
      <c r="HA307" s="198"/>
      <c r="HB307" s="198"/>
      <c r="HC307" s="199">
        <v>2221.9000000000005</v>
      </c>
      <c r="HD307" s="197"/>
      <c r="HE307" s="198"/>
      <c r="HF307" s="198"/>
      <c r="HG307" s="198"/>
      <c r="HH307" s="198"/>
      <c r="HI307" s="198"/>
      <c r="HJ307" s="199"/>
      <c r="HK307" s="197">
        <v>13653.463360999998</v>
      </c>
      <c r="HL307" s="198">
        <v>2080.8788220000001</v>
      </c>
      <c r="HM307" s="198">
        <v>1714.9266950000001</v>
      </c>
      <c r="HN307" s="198">
        <v>334.42632200000003</v>
      </c>
      <c r="HO307" s="198">
        <v>5030.8011849999994</v>
      </c>
      <c r="HP307" s="198"/>
      <c r="HQ307" s="198">
        <v>4492.4303369999989</v>
      </c>
      <c r="HR307" s="197">
        <v>415844.31699999998</v>
      </c>
      <c r="HS307" s="198">
        <v>38709.915000000001</v>
      </c>
      <c r="HT307" s="198">
        <v>142263.93799999999</v>
      </c>
      <c r="HU307" s="198">
        <v>48922.911</v>
      </c>
      <c r="HV307" s="198">
        <v>73093.255000000005</v>
      </c>
      <c r="HW307" s="198">
        <v>21755.182000000001</v>
      </c>
      <c r="HX307" s="198">
        <v>72231.313000000009</v>
      </c>
    </row>
    <row r="308" spans="1:234">
      <c r="A308" s="185" t="s">
        <v>491</v>
      </c>
      <c r="B308" s="197">
        <v>2757.2539999999999</v>
      </c>
      <c r="C308" s="198">
        <v>49.298999999999999</v>
      </c>
      <c r="D308" s="198">
        <v>510.10899999999998</v>
      </c>
      <c r="E308" s="198">
        <v>821.88499999999999</v>
      </c>
      <c r="F308" s="198">
        <v>479.66200000000003</v>
      </c>
      <c r="G308" s="198"/>
      <c r="H308" s="198">
        <v>896.29899999999998</v>
      </c>
      <c r="I308" s="197">
        <v>439878.6</v>
      </c>
      <c r="J308" s="198"/>
      <c r="K308" s="198"/>
      <c r="L308" s="198">
        <v>37606.800000000003</v>
      </c>
      <c r="M308" s="198">
        <v>78200.899999999994</v>
      </c>
      <c r="N308" s="198"/>
      <c r="O308" s="199">
        <v>283690.8</v>
      </c>
      <c r="P308" s="197">
        <v>7010.8050000000003</v>
      </c>
      <c r="Q308" s="198">
        <v>42.043999999999997</v>
      </c>
      <c r="R308" s="198">
        <v>331.49799999999999</v>
      </c>
      <c r="S308" s="198">
        <v>405.90899999999999</v>
      </c>
      <c r="T308" s="198">
        <v>5189.2380000000003</v>
      </c>
      <c r="U308" s="198"/>
      <c r="V308" s="199">
        <v>1042.1160000000009</v>
      </c>
      <c r="W308" s="197">
        <v>6064.9309999999996</v>
      </c>
      <c r="X308" s="198">
        <v>112.72582000000001</v>
      </c>
      <c r="Y308" s="198">
        <v>912.01801</v>
      </c>
      <c r="Z308" s="198">
        <v>230.81129000000001</v>
      </c>
      <c r="AA308" s="198">
        <v>3220.34555</v>
      </c>
      <c r="AB308" s="198"/>
      <c r="AC308" s="199">
        <v>1589.0303300000005</v>
      </c>
      <c r="AD308" s="198">
        <v>2558.5679999999998</v>
      </c>
      <c r="AE308" s="198">
        <v>25.300999999999998</v>
      </c>
      <c r="AF308" s="198">
        <v>299.48099999999999</v>
      </c>
      <c r="AG308" s="198">
        <v>728.76900000000001</v>
      </c>
      <c r="AH308" s="198">
        <v>420.75200000000001</v>
      </c>
      <c r="AI308" s="198">
        <v>62.363</v>
      </c>
      <c r="AJ308" s="198">
        <v>1021.902</v>
      </c>
      <c r="AK308" s="197">
        <v>73615.869399999996</v>
      </c>
      <c r="AL308" s="198">
        <v>29225.500151799999</v>
      </c>
      <c r="AM308" s="198"/>
      <c r="AN308" s="198">
        <v>14207.862794199998</v>
      </c>
      <c r="AO308" s="198">
        <v>9054.7519362000003</v>
      </c>
      <c r="AP308" s="198">
        <v>21054.138648399996</v>
      </c>
      <c r="AQ308" s="199"/>
      <c r="AR308" s="198">
        <v>2427062</v>
      </c>
      <c r="AS308" s="198">
        <v>538344</v>
      </c>
      <c r="AT308" s="198">
        <v>274875</v>
      </c>
      <c r="AU308" s="198">
        <v>373888</v>
      </c>
      <c r="AV308" s="198">
        <v>831262</v>
      </c>
      <c r="AW308" s="198"/>
      <c r="AX308" s="198">
        <v>408693</v>
      </c>
      <c r="AY308" s="197">
        <v>103566913</v>
      </c>
      <c r="AZ308" s="198"/>
      <c r="BA308" s="198">
        <v>63377580</v>
      </c>
      <c r="BB308" s="198">
        <v>25124443</v>
      </c>
      <c r="BC308" s="198">
        <v>13749039</v>
      </c>
      <c r="BD308" s="198"/>
      <c r="BE308" s="198"/>
      <c r="BF308" s="197">
        <v>253030299.34999993</v>
      </c>
      <c r="BG308" s="198"/>
      <c r="BH308" s="198">
        <v>153364892.82999992</v>
      </c>
      <c r="BI308" s="198">
        <v>20256175.760000002</v>
      </c>
      <c r="BJ308" s="198">
        <v>72072781.850000009</v>
      </c>
      <c r="BK308" s="198">
        <v>7336448.9099999992</v>
      </c>
      <c r="BL308" s="198"/>
      <c r="BM308" s="197">
        <v>12200251.614</v>
      </c>
      <c r="BN308" s="198">
        <v>453812.29499999998</v>
      </c>
      <c r="BO308" s="198">
        <v>1264338.5279999999</v>
      </c>
      <c r="BP308" s="198">
        <v>3802805.0439999998</v>
      </c>
      <c r="BQ308" s="198">
        <v>3539508.304</v>
      </c>
      <c r="BR308" s="198"/>
      <c r="BS308" s="198">
        <v>3139787.443</v>
      </c>
      <c r="BT308" s="197"/>
      <c r="BU308" s="198"/>
      <c r="BV308" s="198"/>
      <c r="BW308" s="198"/>
      <c r="BX308" s="198"/>
      <c r="BY308" s="198"/>
      <c r="BZ308" s="199"/>
      <c r="CA308" s="198">
        <v>942.15599999999995</v>
      </c>
      <c r="CB308" s="198">
        <v>36.874000000000002</v>
      </c>
      <c r="CC308" s="198">
        <v>156.292</v>
      </c>
      <c r="CD308" s="198">
        <v>266.24900000000002</v>
      </c>
      <c r="CE308" s="198">
        <v>162.64499999999998</v>
      </c>
      <c r="CF308" s="198"/>
      <c r="CG308" s="199">
        <v>320.09599999999989</v>
      </c>
      <c r="CH308" s="197">
        <v>19814627.764210001</v>
      </c>
      <c r="CI308" s="198"/>
      <c r="CJ308" s="198">
        <v>9662802.554299999</v>
      </c>
      <c r="CK308" s="198">
        <v>1558613.4406100002</v>
      </c>
      <c r="CL308" s="198">
        <v>6816604.5900100004</v>
      </c>
      <c r="CM308" s="198">
        <v>1776607.1792900001</v>
      </c>
      <c r="CN308" s="198"/>
      <c r="CO308" s="197">
        <v>9297.2110702999998</v>
      </c>
      <c r="CP308" s="198">
        <v>1032.35834338</v>
      </c>
      <c r="CQ308" s="198">
        <v>1341.2360403199998</v>
      </c>
      <c r="CR308" s="198">
        <v>2209.1540576099997</v>
      </c>
      <c r="CS308" s="198">
        <v>2808.6911977200002</v>
      </c>
      <c r="CT308" s="198"/>
      <c r="CU308" s="198">
        <v>1905.7714312700009</v>
      </c>
      <c r="CV308" s="197">
        <v>1978.1420000000001</v>
      </c>
      <c r="CW308" s="198">
        <v>37.433999999999997</v>
      </c>
      <c r="CX308" s="198">
        <v>352.11900000000003</v>
      </c>
      <c r="CY308" s="198">
        <v>652.67700000000002</v>
      </c>
      <c r="CZ308" s="198">
        <v>550.577</v>
      </c>
      <c r="DA308" s="198"/>
      <c r="DB308" s="199">
        <v>385.33499999999992</v>
      </c>
      <c r="DC308" s="197">
        <v>112806.87699999999</v>
      </c>
      <c r="DD308" s="198">
        <v>14036.045</v>
      </c>
      <c r="DE308" s="198">
        <v>20569.999</v>
      </c>
      <c r="DF308" s="198"/>
      <c r="DG308" s="198">
        <v>33174.974999999999</v>
      </c>
      <c r="DH308" s="198"/>
      <c r="DI308" s="198">
        <v>45025.858</v>
      </c>
      <c r="DJ308" s="197">
        <v>111647</v>
      </c>
      <c r="DK308" s="198">
        <v>26451.7</v>
      </c>
      <c r="DL308" s="198">
        <v>28612.799999999999</v>
      </c>
      <c r="DM308" s="198">
        <v>5066</v>
      </c>
      <c r="DN308" s="198">
        <v>18427.599999999999</v>
      </c>
      <c r="DO308" s="198"/>
      <c r="DP308" s="198">
        <v>33088.899999999994</v>
      </c>
      <c r="DQ308" s="197">
        <v>59.31960929000001</v>
      </c>
      <c r="DR308" s="198">
        <v>9.1961656299999994</v>
      </c>
      <c r="DS308" s="198">
        <v>15.608964729999999</v>
      </c>
      <c r="DT308" s="198">
        <v>4.3389485299999997</v>
      </c>
      <c r="DU308" s="198">
        <v>6.3753224199999998</v>
      </c>
      <c r="DV308" s="198"/>
      <c r="DW308" s="198">
        <v>23.80020798000001</v>
      </c>
      <c r="DX308" s="197">
        <v>192561.08487611002</v>
      </c>
      <c r="DY308" s="198"/>
      <c r="DZ308" s="198">
        <v>125514.98737520001</v>
      </c>
      <c r="EA308" s="198">
        <v>32885.911072540002</v>
      </c>
      <c r="EB308" s="198">
        <v>32156.989652870001</v>
      </c>
      <c r="EC308" s="198">
        <v>2003.1967755000001</v>
      </c>
      <c r="ED308" s="198"/>
      <c r="EE308" s="197">
        <v>322780.527</v>
      </c>
      <c r="EF308" s="198">
        <v>12349.213</v>
      </c>
      <c r="EG308" s="198">
        <v>68861.932000000001</v>
      </c>
      <c r="EH308" s="198">
        <v>22115.827000000001</v>
      </c>
      <c r="EI308" s="198">
        <v>143730.386</v>
      </c>
      <c r="EJ308" s="198"/>
      <c r="EK308" s="198">
        <v>75723.169000000024</v>
      </c>
      <c r="EL308" s="197">
        <v>2782820.8987699999</v>
      </c>
      <c r="EM308" s="198">
        <v>1221761.9166100002</v>
      </c>
      <c r="EN308" s="198">
        <v>86182.396325999973</v>
      </c>
      <c r="EO308" s="198">
        <v>465179.57876899996</v>
      </c>
      <c r="EP308" s="198">
        <v>616424.40959500009</v>
      </c>
      <c r="EQ308" s="198"/>
      <c r="ER308" s="198">
        <v>393272.59746999992</v>
      </c>
      <c r="ES308" s="197">
        <v>72106.634138810012</v>
      </c>
      <c r="ET308" s="198">
        <v>11778.66872944</v>
      </c>
      <c r="EU308" s="198">
        <v>25189.168880060002</v>
      </c>
      <c r="EV308" s="198">
        <v>9398.9727670800003</v>
      </c>
      <c r="EW308" s="198">
        <v>16446.474334469996</v>
      </c>
      <c r="EX308" s="198"/>
      <c r="EY308" s="198">
        <v>9293.3494277600112</v>
      </c>
      <c r="EZ308" s="197">
        <v>34338.736734420003</v>
      </c>
      <c r="FA308" s="198">
        <v>1810.2515722200001</v>
      </c>
      <c r="FB308" s="198">
        <v>10262.181801770001</v>
      </c>
      <c r="FC308" s="198">
        <v>9052.0599177600106</v>
      </c>
      <c r="FD308" s="198">
        <v>6406.3165619800002</v>
      </c>
      <c r="FE308" s="198">
        <v>0</v>
      </c>
      <c r="FF308" s="198">
        <v>6807.926880689989</v>
      </c>
      <c r="FG308" s="197">
        <v>41658895.748147011</v>
      </c>
      <c r="FH308" s="198">
        <v>4269068.1525650006</v>
      </c>
      <c r="FI308" s="198">
        <v>9430654.4317979999</v>
      </c>
      <c r="FJ308" s="198"/>
      <c r="FK308" s="198">
        <v>6798906.8559079999</v>
      </c>
      <c r="FL308" s="198"/>
      <c r="FM308" s="198">
        <v>21160266.307876009</v>
      </c>
      <c r="FN308" s="197">
        <v>147795.390636</v>
      </c>
      <c r="FO308" s="198">
        <v>22745.438806999999</v>
      </c>
      <c r="FP308" s="198">
        <v>22278.883814000001</v>
      </c>
      <c r="FQ308" s="198">
        <v>24679.532163</v>
      </c>
      <c r="FR308" s="198">
        <v>26574.835221000001</v>
      </c>
      <c r="FS308" s="198"/>
      <c r="FT308" s="199">
        <v>51516.700631</v>
      </c>
      <c r="FU308" s="197">
        <v>587707.76044824987</v>
      </c>
      <c r="FV308" s="198">
        <v>39516.205337720035</v>
      </c>
      <c r="FW308" s="198">
        <v>78499.406257510069</v>
      </c>
      <c r="FX308" s="198">
        <v>120150.46019706996</v>
      </c>
      <c r="FY308" s="198">
        <v>128721.93326259988</v>
      </c>
      <c r="FZ308" s="198"/>
      <c r="GA308" s="199">
        <v>220819.75539334997</v>
      </c>
      <c r="GB308" s="197">
        <v>2442.4430000000002</v>
      </c>
      <c r="GC308" s="198">
        <v>33.256999999999998</v>
      </c>
      <c r="GD308" s="198">
        <v>224.214</v>
      </c>
      <c r="GE308" s="198">
        <v>490.86099999999999</v>
      </c>
      <c r="GF308" s="198">
        <v>420.79499999999996</v>
      </c>
      <c r="GG308" s="198"/>
      <c r="GH308" s="199">
        <v>1273.3160000000003</v>
      </c>
      <c r="GI308" s="197">
        <v>1167.8579999999999</v>
      </c>
      <c r="GJ308" s="198">
        <v>34.932000000000002</v>
      </c>
      <c r="GK308" s="198">
        <v>168.642</v>
      </c>
      <c r="GL308" s="198">
        <v>385.68099999999998</v>
      </c>
      <c r="GM308" s="198">
        <v>307.00799999999998</v>
      </c>
      <c r="GN308" s="198"/>
      <c r="GO308" s="199">
        <v>271.59499999999986</v>
      </c>
      <c r="GP308" s="197">
        <v>4410.7160000000003</v>
      </c>
      <c r="GQ308" s="198">
        <v>101.393</v>
      </c>
      <c r="GR308" s="198">
        <v>1113.626</v>
      </c>
      <c r="GS308" s="198">
        <v>898.48500000000001</v>
      </c>
      <c r="GT308" s="198">
        <v>655.26300000000003</v>
      </c>
      <c r="GU308" s="198"/>
      <c r="GV308" s="199">
        <v>1641.9490000000001</v>
      </c>
      <c r="GW308" s="197">
        <v>4640</v>
      </c>
      <c r="GX308" s="198">
        <v>339</v>
      </c>
      <c r="GY308" s="198">
        <v>1229.1999999999998</v>
      </c>
      <c r="GZ308" s="198">
        <v>726.69999999999993</v>
      </c>
      <c r="HA308" s="198"/>
      <c r="HB308" s="198"/>
      <c r="HC308" s="199">
        <v>2345.1000000000004</v>
      </c>
      <c r="HD308" s="197">
        <v>51127.7</v>
      </c>
      <c r="HE308" s="198">
        <v>3594.2</v>
      </c>
      <c r="HF308" s="198">
        <v>3290.9</v>
      </c>
      <c r="HG308" s="198">
        <v>13227.6</v>
      </c>
      <c r="HH308" s="198">
        <v>12764.599999999999</v>
      </c>
      <c r="HI308" s="198"/>
      <c r="HJ308" s="199">
        <v>18250.400000000001</v>
      </c>
      <c r="HK308" s="197">
        <v>13722.063304000001</v>
      </c>
      <c r="HL308" s="198">
        <v>2083.21837</v>
      </c>
      <c r="HM308" s="198">
        <v>1717.3234580000001</v>
      </c>
      <c r="HN308" s="198">
        <v>340.62466699999999</v>
      </c>
      <c r="HO308" s="198">
        <v>5182.1106770000006</v>
      </c>
      <c r="HP308" s="198"/>
      <c r="HQ308" s="198">
        <v>4398.7861319999993</v>
      </c>
      <c r="HR308" s="197">
        <v>433828.783</v>
      </c>
      <c r="HS308" s="198">
        <v>39971.656999999999</v>
      </c>
      <c r="HT308" s="198">
        <v>150249.00599999999</v>
      </c>
      <c r="HU308" s="198">
        <v>50229.677000000003</v>
      </c>
      <c r="HV308" s="198">
        <v>75558.895999999993</v>
      </c>
      <c r="HW308" s="198">
        <v>22756.833999999999</v>
      </c>
      <c r="HX308" s="198">
        <v>76163.095000000001</v>
      </c>
    </row>
    <row r="309" spans="1:234">
      <c r="A309" s="185" t="s">
        <v>492</v>
      </c>
      <c r="B309" s="197">
        <v>2757.232</v>
      </c>
      <c r="C309" s="198"/>
      <c r="D309" s="198"/>
      <c r="E309" s="198"/>
      <c r="F309" s="198"/>
      <c r="G309" s="198"/>
      <c r="H309" s="198"/>
      <c r="I309" s="197">
        <v>449258.2</v>
      </c>
      <c r="J309" s="198"/>
      <c r="K309" s="198"/>
      <c r="L309" s="198">
        <v>38074.1</v>
      </c>
      <c r="M309" s="198">
        <v>80370.600000000006</v>
      </c>
      <c r="N309" s="198"/>
      <c r="O309" s="199">
        <v>289387.3</v>
      </c>
      <c r="P309" s="197">
        <v>6976.5190000000002</v>
      </c>
      <c r="Q309" s="198">
        <v>41.688000000000002</v>
      </c>
      <c r="R309" s="198">
        <v>334.28</v>
      </c>
      <c r="S309" s="198">
        <v>413.09899999999999</v>
      </c>
      <c r="T309" s="198">
        <v>5192.6310000000003</v>
      </c>
      <c r="U309" s="198"/>
      <c r="V309" s="199">
        <v>994.82099999999991</v>
      </c>
      <c r="W309" s="197">
        <v>6044.5450000000001</v>
      </c>
      <c r="X309" s="198">
        <v>106.33989</v>
      </c>
      <c r="Y309" s="198">
        <v>906.78928000000019</v>
      </c>
      <c r="Z309" s="198">
        <v>230.37085000000002</v>
      </c>
      <c r="AA309" s="198">
        <v>3215.6739500000003</v>
      </c>
      <c r="AB309" s="198"/>
      <c r="AC309" s="199">
        <v>1585.3710299999993</v>
      </c>
      <c r="AD309" s="198"/>
      <c r="AE309" s="198">
        <v>25.885999999999999</v>
      </c>
      <c r="AF309" s="198">
        <v>295.59899999999999</v>
      </c>
      <c r="AG309" s="198">
        <v>750.70600000000002</v>
      </c>
      <c r="AH309" s="198">
        <v>417.34100000000001</v>
      </c>
      <c r="AI309" s="198">
        <v>63.536999999999999</v>
      </c>
      <c r="AJ309" s="198"/>
      <c r="AK309" s="197"/>
      <c r="AL309" s="198"/>
      <c r="AM309" s="198"/>
      <c r="AN309" s="198"/>
      <c r="AO309" s="198"/>
      <c r="AP309" s="198"/>
      <c r="AQ309" s="199"/>
      <c r="AR309" s="198">
        <v>2449147</v>
      </c>
      <c r="AS309" s="198">
        <v>540435</v>
      </c>
      <c r="AT309" s="198">
        <v>275178</v>
      </c>
      <c r="AU309" s="198">
        <v>382246</v>
      </c>
      <c r="AV309" s="198">
        <v>840536</v>
      </c>
      <c r="AW309" s="198"/>
      <c r="AX309" s="198">
        <v>410752</v>
      </c>
      <c r="AY309" s="197">
        <v>104432842</v>
      </c>
      <c r="AZ309" s="198"/>
      <c r="BA309" s="198">
        <v>63748130</v>
      </c>
      <c r="BB309" s="198">
        <v>25367915</v>
      </c>
      <c r="BC309" s="198">
        <v>13935586</v>
      </c>
      <c r="BD309" s="198"/>
      <c r="BE309" s="198"/>
      <c r="BF309" s="197">
        <v>256108551.43000001</v>
      </c>
      <c r="BG309" s="198"/>
      <c r="BH309" s="198">
        <v>155189070.34999999</v>
      </c>
      <c r="BI309" s="198">
        <v>20641023.68</v>
      </c>
      <c r="BJ309" s="198">
        <v>72814558.800000012</v>
      </c>
      <c r="BK309" s="198">
        <v>7463898.6000000015</v>
      </c>
      <c r="BL309" s="198"/>
      <c r="BM309" s="197">
        <v>12303114.84</v>
      </c>
      <c r="BN309" s="198">
        <v>460032.67199999996</v>
      </c>
      <c r="BO309" s="198">
        <v>1250799.3290000001</v>
      </c>
      <c r="BP309" s="198">
        <v>3849696.0020000003</v>
      </c>
      <c r="BQ309" s="198">
        <v>3576538.2519999999</v>
      </c>
      <c r="BR309" s="198"/>
      <c r="BS309" s="198">
        <v>3166048.584999999</v>
      </c>
      <c r="BT309" s="197"/>
      <c r="BU309" s="198"/>
      <c r="BV309" s="198"/>
      <c r="BW309" s="198"/>
      <c r="BX309" s="198"/>
      <c r="BY309" s="198"/>
      <c r="BZ309" s="199"/>
      <c r="CA309" s="198">
        <v>942.32899999999995</v>
      </c>
      <c r="CB309" s="198"/>
      <c r="CC309" s="198"/>
      <c r="CD309" s="198"/>
      <c r="CE309" s="198"/>
      <c r="CF309" s="198"/>
      <c r="CG309" s="199"/>
      <c r="CH309" s="197">
        <v>20131948.146130003</v>
      </c>
      <c r="CI309" s="198"/>
      <c r="CJ309" s="198">
        <v>9869801.0743199997</v>
      </c>
      <c r="CK309" s="198">
        <v>1563479.4710000001</v>
      </c>
      <c r="CL309" s="198">
        <v>6899844.9841000009</v>
      </c>
      <c r="CM309" s="198">
        <v>1798822.6167099997</v>
      </c>
      <c r="CN309" s="198"/>
      <c r="CO309" s="197">
        <v>9325.1833237600003</v>
      </c>
      <c r="CP309" s="198">
        <v>1018.0761648399999</v>
      </c>
      <c r="CQ309" s="198">
        <v>1351.72790001</v>
      </c>
      <c r="CR309" s="198">
        <v>2210.8981855500001</v>
      </c>
      <c r="CS309" s="198">
        <v>2841.6001110199995</v>
      </c>
      <c r="CT309" s="198"/>
      <c r="CU309" s="198">
        <v>1902.880962340002</v>
      </c>
      <c r="CV309" s="197">
        <v>1976.6959999999999</v>
      </c>
      <c r="CW309" s="198"/>
      <c r="CX309" s="198"/>
      <c r="CY309" s="198"/>
      <c r="CZ309" s="198"/>
      <c r="DA309" s="198"/>
      <c r="DB309" s="199"/>
      <c r="DC309" s="197">
        <v>114162.433</v>
      </c>
      <c r="DD309" s="198">
        <v>14148.383</v>
      </c>
      <c r="DE309" s="198">
        <v>20996.01</v>
      </c>
      <c r="DF309" s="198"/>
      <c r="DG309" s="198">
        <v>33709.004000000001</v>
      </c>
      <c r="DH309" s="198"/>
      <c r="DI309" s="198">
        <v>45309.036000000007</v>
      </c>
      <c r="DJ309" s="197">
        <v>113668.5</v>
      </c>
      <c r="DK309" s="198">
        <v>26928.6</v>
      </c>
      <c r="DL309" s="198">
        <v>29958</v>
      </c>
      <c r="DM309" s="198">
        <v>5172.3999999999996</v>
      </c>
      <c r="DN309" s="198">
        <v>18006.099999999999</v>
      </c>
      <c r="DO309" s="198"/>
      <c r="DP309" s="198">
        <v>33603.399999999994</v>
      </c>
      <c r="DQ309" s="197"/>
      <c r="DR309" s="198"/>
      <c r="DS309" s="198"/>
      <c r="DT309" s="198"/>
      <c r="DU309" s="198"/>
      <c r="DV309" s="198"/>
      <c r="DW309" s="198"/>
      <c r="DX309" s="197">
        <v>192161.71134431</v>
      </c>
      <c r="DY309" s="198"/>
      <c r="DZ309" s="198">
        <v>124632.27184995</v>
      </c>
      <c r="EA309" s="198">
        <v>32942.597695420001</v>
      </c>
      <c r="EB309" s="198">
        <v>32572.84647547</v>
      </c>
      <c r="EC309" s="198">
        <v>2013.9953234700001</v>
      </c>
      <c r="ED309" s="198"/>
      <c r="EE309" s="197">
        <v>326538.36599999998</v>
      </c>
      <c r="EF309" s="198">
        <v>11765.982</v>
      </c>
      <c r="EG309" s="198">
        <v>69107.481</v>
      </c>
      <c r="EH309" s="198">
        <v>22648.080000000002</v>
      </c>
      <c r="EI309" s="198">
        <v>145962.42600000001</v>
      </c>
      <c r="EJ309" s="198"/>
      <c r="EK309" s="198">
        <v>77054.396999999968</v>
      </c>
      <c r="EL309" s="197">
        <v>2796605.8412549999</v>
      </c>
      <c r="EM309" s="198">
        <v>1236324.329617</v>
      </c>
      <c r="EN309" s="198">
        <v>79978.654230999993</v>
      </c>
      <c r="EO309" s="198">
        <v>467688.88472500001</v>
      </c>
      <c r="EP309" s="198">
        <v>622222.36744900001</v>
      </c>
      <c r="EQ309" s="198"/>
      <c r="ER309" s="198">
        <v>390391.60523300007</v>
      </c>
      <c r="ES309" s="197">
        <v>72796.169788420011</v>
      </c>
      <c r="ET309" s="198">
        <v>11306.78006295</v>
      </c>
      <c r="EU309" s="198">
        <v>25887.871465750002</v>
      </c>
      <c r="EV309" s="198">
        <v>9574.1603368600008</v>
      </c>
      <c r="EW309" s="198">
        <v>16808.16064622</v>
      </c>
      <c r="EX309" s="198"/>
      <c r="EY309" s="198">
        <v>9219.1972766400104</v>
      </c>
      <c r="EZ309" s="197">
        <v>34390.982733069999</v>
      </c>
      <c r="FA309" s="198">
        <v>1855.41731435</v>
      </c>
      <c r="FB309" s="198">
        <v>10419.57216896</v>
      </c>
      <c r="FC309" s="198">
        <v>9224.6215836600004</v>
      </c>
      <c r="FD309" s="198">
        <v>6498.3242094000097</v>
      </c>
      <c r="FE309" s="198">
        <v>0</v>
      </c>
      <c r="FF309" s="198">
        <v>6393.0474566999883</v>
      </c>
      <c r="FG309" s="197">
        <v>41965848.475212999</v>
      </c>
      <c r="FH309" s="198">
        <v>4259269.9152340014</v>
      </c>
      <c r="FI309" s="198">
        <v>9517461.6911230013</v>
      </c>
      <c r="FJ309" s="198"/>
      <c r="FK309" s="198">
        <v>6865917.7806560006</v>
      </c>
      <c r="FL309" s="198"/>
      <c r="FM309" s="198">
        <v>21323199.088199995</v>
      </c>
      <c r="FN309" s="197">
        <v>150209.61429300002</v>
      </c>
      <c r="FO309" s="198">
        <v>22864.429437999999</v>
      </c>
      <c r="FP309" s="198">
        <v>22352.890947</v>
      </c>
      <c r="FQ309" s="198">
        <v>25348.977943000002</v>
      </c>
      <c r="FR309" s="198">
        <v>26862.060410999999</v>
      </c>
      <c r="FS309" s="198"/>
      <c r="FT309" s="199">
        <v>52781.255554000018</v>
      </c>
      <c r="FU309" s="197">
        <v>590511.12122885045</v>
      </c>
      <c r="FV309" s="198">
        <v>39421.054819720033</v>
      </c>
      <c r="FW309" s="198">
        <v>79607.243833170112</v>
      </c>
      <c r="FX309" s="198">
        <v>121123.45905824007</v>
      </c>
      <c r="FY309" s="198">
        <v>129310.40640617015</v>
      </c>
      <c r="FZ309" s="198"/>
      <c r="GA309" s="199">
        <v>221048.95711155015</v>
      </c>
      <c r="GB309" s="197">
        <v>2385.056</v>
      </c>
      <c r="GC309" s="198"/>
      <c r="GD309" s="198"/>
      <c r="GE309" s="198"/>
      <c r="GF309" s="198"/>
      <c r="GG309" s="198"/>
      <c r="GH309" s="199"/>
      <c r="GI309" s="197">
        <v>1176.54</v>
      </c>
      <c r="GJ309" s="198"/>
      <c r="GK309" s="198"/>
      <c r="GL309" s="198"/>
      <c r="GM309" s="198"/>
      <c r="GN309" s="198"/>
      <c r="GO309" s="199"/>
      <c r="GP309" s="197">
        <v>4396.0910000000003</v>
      </c>
      <c r="GQ309" s="198"/>
      <c r="GR309" s="198"/>
      <c r="GS309" s="198"/>
      <c r="GT309" s="198"/>
      <c r="GU309" s="198"/>
      <c r="GV309" s="199"/>
      <c r="GW309" s="197">
        <v>4751.8</v>
      </c>
      <c r="GX309" s="198">
        <v>353.4</v>
      </c>
      <c r="GY309" s="198">
        <v>1276.9000000000001</v>
      </c>
      <c r="GZ309" s="198">
        <v>731.9</v>
      </c>
      <c r="HA309" s="198"/>
      <c r="HB309" s="198"/>
      <c r="HC309" s="199">
        <v>2389.6000000000004</v>
      </c>
      <c r="HD309" s="197"/>
      <c r="HE309" s="198"/>
      <c r="HF309" s="198"/>
      <c r="HG309" s="198"/>
      <c r="HH309" s="198"/>
      <c r="HI309" s="198"/>
      <c r="HJ309" s="199"/>
      <c r="HK309" s="197">
        <v>14069.202534000002</v>
      </c>
      <c r="HL309" s="198">
        <v>2123.7327369999998</v>
      </c>
      <c r="HM309" s="198">
        <v>1763.3044179999999</v>
      </c>
      <c r="HN309" s="198">
        <v>351.74664400000006</v>
      </c>
      <c r="HO309" s="198">
        <v>5289.7172289999999</v>
      </c>
      <c r="HP309" s="198"/>
      <c r="HQ309" s="198">
        <v>4540.7015060000012</v>
      </c>
      <c r="HR309" s="197">
        <v>446558.28899999999</v>
      </c>
      <c r="HS309" s="198">
        <v>40536.862000000001</v>
      </c>
      <c r="HT309" s="198">
        <v>153440.408</v>
      </c>
      <c r="HU309" s="198">
        <v>51421.402000000002</v>
      </c>
      <c r="HV309" s="198">
        <v>78724.921000000002</v>
      </c>
      <c r="HW309" s="198">
        <v>23687.249</v>
      </c>
      <c r="HX309" s="198">
        <v>79590.161000000007</v>
      </c>
    </row>
    <row r="310" spans="1:234">
      <c r="A310" s="185" t="s">
        <v>493</v>
      </c>
      <c r="B310" s="197">
        <v>2753.8519999999999</v>
      </c>
      <c r="C310" s="198"/>
      <c r="D310" s="198"/>
      <c r="E310" s="198"/>
      <c r="F310" s="198"/>
      <c r="G310" s="198"/>
      <c r="H310" s="198"/>
      <c r="I310" s="197">
        <v>458162.1</v>
      </c>
      <c r="J310" s="198"/>
      <c r="K310" s="198"/>
      <c r="L310" s="198">
        <v>38820.699999999997</v>
      </c>
      <c r="M310" s="198">
        <v>82626.899999999994</v>
      </c>
      <c r="N310" s="198"/>
      <c r="O310" s="199">
        <v>294407.2</v>
      </c>
      <c r="P310" s="197">
        <v>7000.4120000000003</v>
      </c>
      <c r="Q310" s="198">
        <v>45.11</v>
      </c>
      <c r="R310" s="198">
        <v>328.709</v>
      </c>
      <c r="S310" s="198">
        <v>409.51799999999997</v>
      </c>
      <c r="T310" s="198">
        <v>5197.0069999999996</v>
      </c>
      <c r="U310" s="198"/>
      <c r="V310" s="199">
        <v>1020.0680000000011</v>
      </c>
      <c r="W310" s="197">
        <v>6030.4690000000001</v>
      </c>
      <c r="X310" s="198">
        <v>109.61611000000001</v>
      </c>
      <c r="Y310" s="198">
        <v>904.82402000000002</v>
      </c>
      <c r="Z310" s="198">
        <v>228.71376000000001</v>
      </c>
      <c r="AA310" s="198">
        <v>3215.7454500000003</v>
      </c>
      <c r="AB310" s="198"/>
      <c r="AC310" s="199">
        <v>1571.5696600000001</v>
      </c>
      <c r="AD310" s="198"/>
      <c r="AE310" s="198">
        <v>26.507000000000001</v>
      </c>
      <c r="AF310" s="198">
        <v>293.17700000000002</v>
      </c>
      <c r="AG310" s="198">
        <v>753.52599999999995</v>
      </c>
      <c r="AH310" s="198">
        <v>418.738</v>
      </c>
      <c r="AI310" s="198">
        <v>64.356999999999999</v>
      </c>
      <c r="AJ310" s="198"/>
      <c r="AK310" s="197"/>
      <c r="AL310" s="198"/>
      <c r="AM310" s="198"/>
      <c r="AN310" s="198"/>
      <c r="AO310" s="198"/>
      <c r="AP310" s="198"/>
      <c r="AQ310" s="199"/>
      <c r="AR310" s="198">
        <v>2487294</v>
      </c>
      <c r="AS310" s="198">
        <v>545426</v>
      </c>
      <c r="AT310" s="198">
        <v>277488</v>
      </c>
      <c r="AU310" s="198">
        <v>392539</v>
      </c>
      <c r="AV310" s="198">
        <v>851245</v>
      </c>
      <c r="AW310" s="198"/>
      <c r="AX310" s="198">
        <v>420596</v>
      </c>
      <c r="AY310" s="197">
        <v>105989115</v>
      </c>
      <c r="AZ310" s="198"/>
      <c r="BA310" s="198">
        <v>65004595</v>
      </c>
      <c r="BB310" s="198">
        <v>25484370</v>
      </c>
      <c r="BC310" s="198">
        <v>13951396</v>
      </c>
      <c r="BD310" s="198"/>
      <c r="BE310" s="198"/>
      <c r="BF310" s="197">
        <v>260142042.91</v>
      </c>
      <c r="BG310" s="198"/>
      <c r="BH310" s="198">
        <v>158200475.99000001</v>
      </c>
      <c r="BI310" s="198">
        <v>20801726.02</v>
      </c>
      <c r="BJ310" s="198">
        <v>73539410.429999992</v>
      </c>
      <c r="BK310" s="198">
        <v>7600430.4700000016</v>
      </c>
      <c r="BL310" s="198"/>
      <c r="BM310" s="197">
        <v>12395107.404999999</v>
      </c>
      <c r="BN310" s="198">
        <v>454982.342</v>
      </c>
      <c r="BO310" s="198">
        <v>1247002.899</v>
      </c>
      <c r="BP310" s="198">
        <v>3880115.7630000003</v>
      </c>
      <c r="BQ310" s="198">
        <v>3642050.648</v>
      </c>
      <c r="BR310" s="198"/>
      <c r="BS310" s="198">
        <v>3170955.7529999986</v>
      </c>
      <c r="BT310" s="197"/>
      <c r="BU310" s="198"/>
      <c r="BV310" s="198"/>
      <c r="BW310" s="198"/>
      <c r="BX310" s="198"/>
      <c r="BY310" s="198"/>
      <c r="BZ310" s="199"/>
      <c r="CA310" s="198">
        <v>944.35699999999997</v>
      </c>
      <c r="CB310" s="198"/>
      <c r="CC310" s="198"/>
      <c r="CD310" s="198"/>
      <c r="CE310" s="198"/>
      <c r="CF310" s="198"/>
      <c r="CG310" s="199"/>
      <c r="CH310" s="197">
        <v>20246426.278910004</v>
      </c>
      <c r="CI310" s="198"/>
      <c r="CJ310" s="198">
        <v>9853454.0779599994</v>
      </c>
      <c r="CK310" s="198">
        <v>1573010.91625</v>
      </c>
      <c r="CL310" s="198">
        <v>6977312.4217300015</v>
      </c>
      <c r="CM310" s="198">
        <v>1842648.8629700001</v>
      </c>
      <c r="CN310" s="198"/>
      <c r="CO310" s="197">
        <v>9324.5929624699984</v>
      </c>
      <c r="CP310" s="198">
        <v>980.97815051999987</v>
      </c>
      <c r="CQ310" s="198">
        <v>1355.82760209</v>
      </c>
      <c r="CR310" s="198">
        <v>2218.8745642900003</v>
      </c>
      <c r="CS310" s="198">
        <v>2873.8775120299993</v>
      </c>
      <c r="CT310" s="198"/>
      <c r="CU310" s="198">
        <v>1895.0351335399994</v>
      </c>
      <c r="CV310" s="197">
        <v>1965.1010000000001</v>
      </c>
      <c r="CW310" s="198"/>
      <c r="CX310" s="198"/>
      <c r="CY310" s="198"/>
      <c r="CZ310" s="198"/>
      <c r="DA310" s="198"/>
      <c r="DB310" s="199"/>
      <c r="DC310" s="197">
        <v>114779</v>
      </c>
      <c r="DD310" s="198">
        <v>14120.758</v>
      </c>
      <c r="DE310" s="198">
        <v>21032.647000000001</v>
      </c>
      <c r="DF310" s="198"/>
      <c r="DG310" s="198">
        <v>34210.785000000003</v>
      </c>
      <c r="DH310" s="198"/>
      <c r="DI310" s="198">
        <v>45414.81</v>
      </c>
      <c r="DJ310" s="197">
        <v>113128.2</v>
      </c>
      <c r="DK310" s="198">
        <v>27237</v>
      </c>
      <c r="DL310" s="198">
        <v>30364.5</v>
      </c>
      <c r="DM310" s="198">
        <v>5333.1</v>
      </c>
      <c r="DN310" s="198">
        <v>17956.099999999999</v>
      </c>
      <c r="DO310" s="198"/>
      <c r="DP310" s="198">
        <v>32237.5</v>
      </c>
      <c r="DQ310" s="197"/>
      <c r="DR310" s="198"/>
      <c r="DS310" s="198"/>
      <c r="DT310" s="198"/>
      <c r="DU310" s="198"/>
      <c r="DV310" s="198"/>
      <c r="DW310" s="198"/>
      <c r="DX310" s="197">
        <v>192919.18730562998</v>
      </c>
      <c r="DY310" s="198"/>
      <c r="DZ310" s="198">
        <v>124649.24380928</v>
      </c>
      <c r="EA310" s="198">
        <v>32957.86548013</v>
      </c>
      <c r="EB310" s="198">
        <v>33268.190243329998</v>
      </c>
      <c r="EC310" s="198">
        <v>2043.8877728900002</v>
      </c>
      <c r="ED310" s="198"/>
      <c r="EE310" s="197">
        <v>330216.53200000001</v>
      </c>
      <c r="EF310" s="198">
        <v>10918.992</v>
      </c>
      <c r="EG310" s="198">
        <v>71373.888999999996</v>
      </c>
      <c r="EH310" s="198">
        <v>22711.492999999999</v>
      </c>
      <c r="EI310" s="198">
        <v>147543.77299999999</v>
      </c>
      <c r="EJ310" s="198"/>
      <c r="EK310" s="198">
        <v>77668.385000000009</v>
      </c>
      <c r="EL310" s="197">
        <v>2835037.4655810003</v>
      </c>
      <c r="EM310" s="198">
        <v>1259002.1936579996</v>
      </c>
      <c r="EN310" s="198">
        <v>85521.410525999992</v>
      </c>
      <c r="EO310" s="198">
        <v>473794.83171499998</v>
      </c>
      <c r="EP310" s="198">
        <v>628473.45932899986</v>
      </c>
      <c r="EQ310" s="198"/>
      <c r="ER310" s="198">
        <v>388245.57035300002</v>
      </c>
      <c r="ES310" s="197">
        <v>73570.810441380003</v>
      </c>
      <c r="ET310" s="198">
        <v>11507.930042619999</v>
      </c>
      <c r="EU310" s="198">
        <v>25747.633235519999</v>
      </c>
      <c r="EV310" s="198">
        <v>9778.2159763999989</v>
      </c>
      <c r="EW310" s="198">
        <v>17279.757440289999</v>
      </c>
      <c r="EX310" s="198"/>
      <c r="EY310" s="198">
        <v>9257.2737465500068</v>
      </c>
      <c r="EZ310" s="197">
        <v>34790.226844370001</v>
      </c>
      <c r="FA310" s="198">
        <v>1863.9565437199999</v>
      </c>
      <c r="FB310" s="198">
        <v>10493.012950300001</v>
      </c>
      <c r="FC310" s="198">
        <v>9354.2009978099904</v>
      </c>
      <c r="FD310" s="198">
        <v>6567.4821497799903</v>
      </c>
      <c r="FE310" s="198">
        <v>0</v>
      </c>
      <c r="FF310" s="198">
        <v>6511.5742027600218</v>
      </c>
      <c r="FG310" s="197">
        <v>42886675.972038001</v>
      </c>
      <c r="FH310" s="198">
        <v>4552475.7318369998</v>
      </c>
      <c r="FI310" s="198">
        <v>9878091.1087170001</v>
      </c>
      <c r="FJ310" s="198"/>
      <c r="FK310" s="198">
        <v>6929296.2559599997</v>
      </c>
      <c r="FL310" s="198"/>
      <c r="FM310" s="198">
        <v>21526812.875524003</v>
      </c>
      <c r="FN310" s="197">
        <v>153684.03533399999</v>
      </c>
      <c r="FO310" s="198">
        <v>23465.179086</v>
      </c>
      <c r="FP310" s="198">
        <v>22894.784699</v>
      </c>
      <c r="FQ310" s="198">
        <v>26138.249162</v>
      </c>
      <c r="FR310" s="198">
        <v>27349.785760999999</v>
      </c>
      <c r="FS310" s="198"/>
      <c r="FT310" s="199">
        <v>53836.036625999994</v>
      </c>
      <c r="FU310" s="197">
        <v>603631.10939530993</v>
      </c>
      <c r="FV310" s="198">
        <v>41963.918239169914</v>
      </c>
      <c r="FW310" s="198">
        <v>82237.642859360436</v>
      </c>
      <c r="FX310" s="198">
        <v>121160.54208786998</v>
      </c>
      <c r="FY310" s="198">
        <v>131783.75685730955</v>
      </c>
      <c r="FZ310" s="198"/>
      <c r="GA310" s="199">
        <v>226485.24935160013</v>
      </c>
      <c r="GB310" s="197">
        <v>2384.636</v>
      </c>
      <c r="GC310" s="198"/>
      <c r="GD310" s="198"/>
      <c r="GE310" s="198"/>
      <c r="GF310" s="198"/>
      <c r="GG310" s="198"/>
      <c r="GH310" s="199"/>
      <c r="GI310" s="197">
        <v>1158.42</v>
      </c>
      <c r="GJ310" s="198"/>
      <c r="GK310" s="198"/>
      <c r="GL310" s="198"/>
      <c r="GM310" s="198"/>
      <c r="GN310" s="198"/>
      <c r="GO310" s="199"/>
      <c r="GP310" s="197">
        <v>4393.5889999999999</v>
      </c>
      <c r="GQ310" s="198"/>
      <c r="GR310" s="198"/>
      <c r="GS310" s="198"/>
      <c r="GT310" s="198"/>
      <c r="GU310" s="198"/>
      <c r="GV310" s="199"/>
      <c r="GW310" s="197">
        <v>4830.7</v>
      </c>
      <c r="GX310" s="198">
        <v>355.6</v>
      </c>
      <c r="GY310" s="198">
        <v>1290</v>
      </c>
      <c r="GZ310" s="198">
        <v>740</v>
      </c>
      <c r="HA310" s="198"/>
      <c r="HB310" s="198"/>
      <c r="HC310" s="199">
        <v>2445.1</v>
      </c>
      <c r="HD310" s="197"/>
      <c r="HE310" s="198"/>
      <c r="HF310" s="198"/>
      <c r="HG310" s="198"/>
      <c r="HH310" s="198"/>
      <c r="HI310" s="198"/>
      <c r="HJ310" s="199"/>
      <c r="HK310" s="197">
        <v>13862.258017</v>
      </c>
      <c r="HL310" s="198">
        <v>2153.2848879999997</v>
      </c>
      <c r="HM310" s="198">
        <v>1837.1896679999998</v>
      </c>
      <c r="HN310" s="198">
        <v>357.07808999999997</v>
      </c>
      <c r="HO310" s="198">
        <v>5038.9288889999998</v>
      </c>
      <c r="HP310" s="198"/>
      <c r="HQ310" s="198">
        <v>4475.7764820000002</v>
      </c>
      <c r="HR310" s="197">
        <v>466276.31199999998</v>
      </c>
      <c r="HS310" s="198">
        <v>42455.951999999997</v>
      </c>
      <c r="HT310" s="198">
        <v>159435.549</v>
      </c>
      <c r="HU310" s="198">
        <v>52695.991000000002</v>
      </c>
      <c r="HV310" s="198">
        <v>83070.960000000006</v>
      </c>
      <c r="HW310" s="198">
        <v>25120.99</v>
      </c>
      <c r="HX310" s="198">
        <v>83973.762999999992</v>
      </c>
    </row>
    <row r="311" spans="1:234">
      <c r="A311" s="185" t="s">
        <v>494</v>
      </c>
      <c r="B311" s="197">
        <v>2740.0549999999998</v>
      </c>
      <c r="C311" s="198">
        <v>47.758000000000003</v>
      </c>
      <c r="D311" s="198">
        <v>524.80200000000002</v>
      </c>
      <c r="E311" s="198">
        <v>819.66899999999998</v>
      </c>
      <c r="F311" s="198">
        <v>465.72699999999998</v>
      </c>
      <c r="G311" s="198"/>
      <c r="H311" s="198">
        <v>882.09900000000005</v>
      </c>
      <c r="I311" s="197">
        <v>472054.9</v>
      </c>
      <c r="J311" s="198"/>
      <c r="K311" s="198"/>
      <c r="L311" s="198">
        <v>39902.6</v>
      </c>
      <c r="M311" s="198">
        <v>83703</v>
      </c>
      <c r="N311" s="198"/>
      <c r="O311" s="199">
        <v>305614.3</v>
      </c>
      <c r="P311" s="197">
        <v>7021.2569999999996</v>
      </c>
      <c r="Q311" s="198">
        <v>48.56</v>
      </c>
      <c r="R311" s="198">
        <v>333.30399999999997</v>
      </c>
      <c r="S311" s="198">
        <v>409.29399999999998</v>
      </c>
      <c r="T311" s="198">
        <v>5180.1030000000001</v>
      </c>
      <c r="U311" s="198"/>
      <c r="V311" s="199">
        <v>1049.9959999999992</v>
      </c>
      <c r="W311" s="197">
        <v>5992.192</v>
      </c>
      <c r="X311" s="198">
        <v>105.908</v>
      </c>
      <c r="Y311" s="198">
        <v>912.17599999999993</v>
      </c>
      <c r="Z311" s="198">
        <v>225.92599999999999</v>
      </c>
      <c r="AA311" s="198">
        <v>3226.9009999999998</v>
      </c>
      <c r="AB311" s="198"/>
      <c r="AC311" s="199">
        <v>1521.2809999999999</v>
      </c>
      <c r="AD311" s="198">
        <v>2594.9430000000002</v>
      </c>
      <c r="AE311" s="198">
        <v>25.917999999999999</v>
      </c>
      <c r="AF311" s="198">
        <v>293.43799999999999</v>
      </c>
      <c r="AG311" s="198">
        <v>755.12</v>
      </c>
      <c r="AH311" s="198">
        <v>423.82100000000003</v>
      </c>
      <c r="AI311" s="198">
        <v>66.733000000000004</v>
      </c>
      <c r="AJ311" s="198">
        <v>1029.9130000000002</v>
      </c>
      <c r="AK311" s="197">
        <v>77398.91</v>
      </c>
      <c r="AL311" s="198">
        <v>35371.301870000003</v>
      </c>
      <c r="AM311" s="198"/>
      <c r="AN311" s="198">
        <v>14705.7929</v>
      </c>
      <c r="AO311" s="198">
        <v>9365.2681099999991</v>
      </c>
      <c r="AP311" s="198">
        <v>22136.08826</v>
      </c>
      <c r="AQ311" s="199"/>
      <c r="AR311" s="198">
        <v>2531576</v>
      </c>
      <c r="AS311" s="198">
        <v>559175</v>
      </c>
      <c r="AT311" s="198">
        <v>284156</v>
      </c>
      <c r="AU311" s="198">
        <v>402289</v>
      </c>
      <c r="AV311" s="198">
        <v>858453</v>
      </c>
      <c r="AW311" s="198"/>
      <c r="AX311" s="198">
        <v>427503</v>
      </c>
      <c r="AY311" s="197">
        <v>107071884</v>
      </c>
      <c r="AZ311" s="198"/>
      <c r="BA311" s="198">
        <v>65874961</v>
      </c>
      <c r="BB311" s="198">
        <v>25657888</v>
      </c>
      <c r="BC311" s="198">
        <v>13992055</v>
      </c>
      <c r="BD311" s="198"/>
      <c r="BE311" s="198"/>
      <c r="BF311" s="197">
        <v>265016308.07000002</v>
      </c>
      <c r="BG311" s="198"/>
      <c r="BH311" s="198">
        <v>161847869.94999999</v>
      </c>
      <c r="BI311" s="198">
        <v>21335134.350000016</v>
      </c>
      <c r="BJ311" s="198">
        <v>74128541.580000013</v>
      </c>
      <c r="BK311" s="198">
        <v>7704762.1900000013</v>
      </c>
      <c r="BL311" s="198"/>
      <c r="BM311" s="197">
        <v>12505066.548</v>
      </c>
      <c r="BN311" s="198">
        <v>466007.54300000001</v>
      </c>
      <c r="BO311" s="198">
        <v>1231629.6540000001</v>
      </c>
      <c r="BP311" s="198">
        <v>3908237.7119999998</v>
      </c>
      <c r="BQ311" s="198">
        <v>3701321.611</v>
      </c>
      <c r="BR311" s="198"/>
      <c r="BS311" s="198">
        <v>3197870.0280000009</v>
      </c>
      <c r="BT311" s="197"/>
      <c r="BU311" s="198"/>
      <c r="BV311" s="198"/>
      <c r="BW311" s="198"/>
      <c r="BX311" s="198"/>
      <c r="BY311" s="198"/>
      <c r="BZ311" s="199"/>
      <c r="CA311" s="198">
        <v>942.52099999999996</v>
      </c>
      <c r="CB311" s="198">
        <v>36.326999999999998</v>
      </c>
      <c r="CC311" s="198">
        <v>155.26599999999999</v>
      </c>
      <c r="CD311" s="198">
        <v>270.74099999999999</v>
      </c>
      <c r="CE311" s="198">
        <v>166.45100000000002</v>
      </c>
      <c r="CF311" s="198"/>
      <c r="CG311" s="199">
        <v>313.73599999999999</v>
      </c>
      <c r="CH311" s="197">
        <v>20490461.067500003</v>
      </c>
      <c r="CI311" s="198"/>
      <c r="CJ311" s="198">
        <v>9974659.3001000006</v>
      </c>
      <c r="CK311" s="198">
        <v>1584232.5707799997</v>
      </c>
      <c r="CL311" s="198">
        <v>7068295.5772699993</v>
      </c>
      <c r="CM311" s="198">
        <v>1863273.6193500003</v>
      </c>
      <c r="CN311" s="198"/>
      <c r="CO311" s="197">
        <v>9464.3444793500003</v>
      </c>
      <c r="CP311" s="198">
        <v>978.22189773000014</v>
      </c>
      <c r="CQ311" s="198">
        <v>1369.1432037200002</v>
      </c>
      <c r="CR311" s="198">
        <v>2226.0276493699998</v>
      </c>
      <c r="CS311" s="198">
        <v>2897.4311467399998</v>
      </c>
      <c r="CT311" s="198"/>
      <c r="CU311" s="198">
        <v>1993.5205817900012</v>
      </c>
      <c r="CV311" s="197">
        <v>1970.9</v>
      </c>
      <c r="CW311" s="198">
        <v>37.36</v>
      </c>
      <c r="CX311" s="198">
        <v>352.28700000000003</v>
      </c>
      <c r="CY311" s="198">
        <v>648.42899999999997</v>
      </c>
      <c r="CZ311" s="198">
        <v>550.86299999999994</v>
      </c>
      <c r="DA311" s="198"/>
      <c r="DB311" s="199">
        <v>381.96100000000024</v>
      </c>
      <c r="DC311" s="197">
        <v>116274.022</v>
      </c>
      <c r="DD311" s="198">
        <v>14090.315000000001</v>
      </c>
      <c r="DE311" s="198">
        <v>21170.588</v>
      </c>
      <c r="DF311" s="198"/>
      <c r="DG311" s="198">
        <v>34638.917000000001</v>
      </c>
      <c r="DH311" s="198"/>
      <c r="DI311" s="198">
        <v>46374.20199999999</v>
      </c>
      <c r="DJ311" s="197">
        <v>115206.29999999999</v>
      </c>
      <c r="DK311" s="198">
        <v>27632.5</v>
      </c>
      <c r="DL311" s="198">
        <v>30572.800000000003</v>
      </c>
      <c r="DM311" s="198">
        <v>5429.4</v>
      </c>
      <c r="DN311" s="198">
        <v>18628.199999999997</v>
      </c>
      <c r="DO311" s="198"/>
      <c r="DP311" s="198">
        <v>32943.399999999994</v>
      </c>
      <c r="DQ311" s="197">
        <v>63.514955247000024</v>
      </c>
      <c r="DR311" s="198">
        <v>9.66714786</v>
      </c>
      <c r="DS311" s="198">
        <v>14.678885780000002</v>
      </c>
      <c r="DT311" s="198">
        <v>4.6426892899999999</v>
      </c>
      <c r="DU311" s="198">
        <v>7.0806202100000002</v>
      </c>
      <c r="DV311" s="198"/>
      <c r="DW311" s="198">
        <v>27.445612107000024</v>
      </c>
      <c r="DX311" s="197">
        <v>193567.53040758002</v>
      </c>
      <c r="DY311" s="198"/>
      <c r="DZ311" s="198">
        <v>126537.45256594999</v>
      </c>
      <c r="EA311" s="198">
        <v>32860.684619170002</v>
      </c>
      <c r="EB311" s="198">
        <v>32110.010232019999</v>
      </c>
      <c r="EC311" s="198">
        <v>2059.38299044</v>
      </c>
      <c r="ED311" s="198"/>
      <c r="EE311" s="197">
        <v>333891.03600000002</v>
      </c>
      <c r="EF311" s="198">
        <v>10965.433000000001</v>
      </c>
      <c r="EG311" s="198">
        <v>72212.884000000005</v>
      </c>
      <c r="EH311" s="198">
        <v>22490.073</v>
      </c>
      <c r="EI311" s="198">
        <v>149264.93</v>
      </c>
      <c r="EJ311" s="198"/>
      <c r="EK311" s="198">
        <v>78957.715999999986</v>
      </c>
      <c r="EL311" s="197">
        <v>2860752.4072499997</v>
      </c>
      <c r="EM311" s="198">
        <v>1269889.5398580001</v>
      </c>
      <c r="EN311" s="198">
        <v>92178.842066000012</v>
      </c>
      <c r="EO311" s="198">
        <v>473545.33438499994</v>
      </c>
      <c r="EP311" s="198">
        <v>636729.07663300005</v>
      </c>
      <c r="EQ311" s="198"/>
      <c r="ER311" s="198">
        <v>388409.61430799984</v>
      </c>
      <c r="ES311" s="197">
        <v>74294.768154214005</v>
      </c>
      <c r="ET311" s="198">
        <v>11305.75633301</v>
      </c>
      <c r="EU311" s="198">
        <v>25879.252976169999</v>
      </c>
      <c r="EV311" s="198">
        <v>9940.6424750000006</v>
      </c>
      <c r="EW311" s="198">
        <v>17621.447360999999</v>
      </c>
      <c r="EX311" s="198"/>
      <c r="EY311" s="198">
        <v>9547.6690090340053</v>
      </c>
      <c r="EZ311" s="197">
        <v>35245.549944840001</v>
      </c>
      <c r="FA311" s="198">
        <v>1910.6080977199999</v>
      </c>
      <c r="FB311" s="198">
        <v>10286.42077889</v>
      </c>
      <c r="FC311" s="198">
        <v>9542.0162962199902</v>
      </c>
      <c r="FD311" s="198">
        <v>6642.1016089599998</v>
      </c>
      <c r="FE311" s="198">
        <v>0</v>
      </c>
      <c r="FF311" s="198">
        <v>6864.4031630500122</v>
      </c>
      <c r="FG311" s="197">
        <v>44350595.674995996</v>
      </c>
      <c r="FH311" s="198">
        <v>4785787.5420809994</v>
      </c>
      <c r="FI311" s="198">
        <v>10178124.875262002</v>
      </c>
      <c r="FJ311" s="198"/>
      <c r="FK311" s="198">
        <v>7043824.0077480003</v>
      </c>
      <c r="FL311" s="198"/>
      <c r="FM311" s="198">
        <v>22342859.249904998</v>
      </c>
      <c r="FN311" s="197">
        <v>155233.731665</v>
      </c>
      <c r="FO311" s="198">
        <v>24184.582176</v>
      </c>
      <c r="FP311" s="198">
        <v>23297.309377000001</v>
      </c>
      <c r="FQ311" s="198">
        <v>26725.292087000002</v>
      </c>
      <c r="FR311" s="198">
        <v>27743.563114</v>
      </c>
      <c r="FS311" s="198"/>
      <c r="FT311" s="199">
        <v>53282.984910999992</v>
      </c>
      <c r="FU311" s="197">
        <v>613840.9405462197</v>
      </c>
      <c r="FV311" s="198">
        <v>44247.248726609978</v>
      </c>
      <c r="FW311" s="198">
        <v>84074.951338299972</v>
      </c>
      <c r="FX311" s="198">
        <v>123327.33415344004</v>
      </c>
      <c r="FY311" s="198">
        <v>134198.72056624974</v>
      </c>
      <c r="FZ311" s="198"/>
      <c r="GA311" s="199">
        <v>227992.68576162</v>
      </c>
      <c r="GB311" s="197">
        <v>2378.7020000000002</v>
      </c>
      <c r="GC311" s="198">
        <v>32.948999999999998</v>
      </c>
      <c r="GD311" s="198">
        <v>214.88900000000001</v>
      </c>
      <c r="GE311" s="198">
        <v>496.99099999999999</v>
      </c>
      <c r="GF311" s="198">
        <v>423.9</v>
      </c>
      <c r="GG311" s="198"/>
      <c r="GH311" s="199">
        <v>1209.973</v>
      </c>
      <c r="GI311" s="197">
        <v>1182.04</v>
      </c>
      <c r="GJ311" s="198">
        <v>33.67</v>
      </c>
      <c r="GK311" s="198">
        <v>170.88800000000001</v>
      </c>
      <c r="GL311" s="198">
        <v>395.03199999999998</v>
      </c>
      <c r="GM311" s="198">
        <v>302.69300000000004</v>
      </c>
      <c r="GN311" s="198"/>
      <c r="GO311" s="199">
        <v>279.75699999999978</v>
      </c>
      <c r="GP311" s="197">
        <v>4384.2969999999996</v>
      </c>
      <c r="GQ311" s="198">
        <v>99.072999999999993</v>
      </c>
      <c r="GR311" s="198">
        <v>1114.982</v>
      </c>
      <c r="GS311" s="198">
        <v>903.18399999999997</v>
      </c>
      <c r="GT311" s="198">
        <v>651.34400000000005</v>
      </c>
      <c r="GU311" s="198"/>
      <c r="GV311" s="199">
        <v>1615.713999999999</v>
      </c>
      <c r="GW311" s="197">
        <v>4877</v>
      </c>
      <c r="GX311" s="198">
        <v>355.6</v>
      </c>
      <c r="GY311" s="198">
        <v>1303.9000000000001</v>
      </c>
      <c r="GZ311" s="198">
        <v>753.4</v>
      </c>
      <c r="HA311" s="198"/>
      <c r="HB311" s="198"/>
      <c r="HC311" s="199">
        <v>2464.1000000000004</v>
      </c>
      <c r="HD311" s="197">
        <v>51711.600000000006</v>
      </c>
      <c r="HE311" s="198">
        <v>3477.2000000000003</v>
      </c>
      <c r="HF311" s="198">
        <v>3258.6</v>
      </c>
      <c r="HG311" s="198">
        <v>13654.7</v>
      </c>
      <c r="HH311" s="198">
        <v>12765.8</v>
      </c>
      <c r="HI311" s="198"/>
      <c r="HJ311" s="199">
        <v>18555.300000000003</v>
      </c>
      <c r="HK311" s="197">
        <v>14136.965294</v>
      </c>
      <c r="HL311" s="198">
        <v>2283.1018089999998</v>
      </c>
      <c r="HM311" s="198">
        <v>1941.5379899999998</v>
      </c>
      <c r="HN311" s="198">
        <v>371.921696</v>
      </c>
      <c r="HO311" s="198">
        <v>4971.8721710000009</v>
      </c>
      <c r="HP311" s="198"/>
      <c r="HQ311" s="198">
        <v>4568.5316280000006</v>
      </c>
      <c r="HR311" s="197">
        <v>494093.51699999999</v>
      </c>
      <c r="HS311" s="198">
        <v>46806.803</v>
      </c>
      <c r="HT311" s="198">
        <v>171594.69399999999</v>
      </c>
      <c r="HU311" s="198">
        <v>53245.625999999997</v>
      </c>
      <c r="HV311" s="198">
        <v>87748.141000000003</v>
      </c>
      <c r="HW311" s="198">
        <v>27028.807000000001</v>
      </c>
      <c r="HX311" s="198">
        <v>87788.044999999998</v>
      </c>
    </row>
    <row r="312" spans="1:234">
      <c r="A312" s="185" t="s">
        <v>495</v>
      </c>
      <c r="B312" s="197">
        <v>2782.681</v>
      </c>
      <c r="C312" s="198"/>
      <c r="D312" s="198"/>
      <c r="E312" s="198"/>
      <c r="F312" s="198"/>
      <c r="G312" s="198"/>
      <c r="H312" s="198"/>
      <c r="I312" s="197">
        <v>476553.5</v>
      </c>
      <c r="J312" s="198"/>
      <c r="K312" s="198"/>
      <c r="L312" s="198">
        <v>40515.800000000003</v>
      </c>
      <c r="M312" s="198">
        <v>85065.3</v>
      </c>
      <c r="N312" s="198"/>
      <c r="O312" s="199">
        <v>309938.69999999995</v>
      </c>
      <c r="P312" s="197">
        <v>7050.9</v>
      </c>
      <c r="Q312" s="198">
        <v>45.281999999999996</v>
      </c>
      <c r="R312" s="198">
        <v>331.572</v>
      </c>
      <c r="S312" s="198">
        <v>408.22800000000001</v>
      </c>
      <c r="T312" s="198">
        <v>5191.3959999999997</v>
      </c>
      <c r="U312" s="198"/>
      <c r="V312" s="199">
        <v>1074.4219999999996</v>
      </c>
      <c r="W312" s="197">
        <v>5990.491</v>
      </c>
      <c r="X312" s="198">
        <v>121.75421</v>
      </c>
      <c r="Y312" s="198">
        <v>903.74663999999996</v>
      </c>
      <c r="Z312" s="198">
        <v>213.71030999999999</v>
      </c>
      <c r="AA312" s="198">
        <v>3255.7026099999998</v>
      </c>
      <c r="AB312" s="198"/>
      <c r="AC312" s="199">
        <v>1495.5772299999994</v>
      </c>
      <c r="AD312" s="198"/>
      <c r="AE312" s="198">
        <v>25.106000000000002</v>
      </c>
      <c r="AF312" s="198">
        <v>289.56699999999995</v>
      </c>
      <c r="AG312" s="198">
        <v>754.66699999999992</v>
      </c>
      <c r="AH312" s="198">
        <v>423.50400000000002</v>
      </c>
      <c r="AI312" s="198">
        <v>68.340999999999994</v>
      </c>
      <c r="AJ312" s="198"/>
      <c r="AK312" s="197"/>
      <c r="AL312" s="198"/>
      <c r="AM312" s="198"/>
      <c r="AN312" s="198"/>
      <c r="AO312" s="198"/>
      <c r="AP312" s="198"/>
      <c r="AQ312" s="199"/>
      <c r="AR312" s="198">
        <v>2545127</v>
      </c>
      <c r="AS312" s="198">
        <v>557900</v>
      </c>
      <c r="AT312" s="198">
        <v>281080</v>
      </c>
      <c r="AU312" s="198">
        <v>410678</v>
      </c>
      <c r="AV312" s="198">
        <v>864191</v>
      </c>
      <c r="AW312" s="198"/>
      <c r="AX312" s="198">
        <v>431278</v>
      </c>
      <c r="AY312" s="197">
        <v>107939609</v>
      </c>
      <c r="AZ312" s="198"/>
      <c r="BA312" s="198">
        <v>66582193</v>
      </c>
      <c r="BB312" s="198">
        <v>25930406</v>
      </c>
      <c r="BC312" s="198">
        <v>14134423</v>
      </c>
      <c r="BD312" s="198"/>
      <c r="BE312" s="198"/>
      <c r="BF312" s="197">
        <v>266872799.95999998</v>
      </c>
      <c r="BG312" s="198"/>
      <c r="BH312" s="198">
        <v>162155299.78999996</v>
      </c>
      <c r="BI312" s="198">
        <v>21916589.589999992</v>
      </c>
      <c r="BJ312" s="198">
        <v>74948656.000000015</v>
      </c>
      <c r="BK312" s="198">
        <v>7852254.5799999991</v>
      </c>
      <c r="BL312" s="198"/>
      <c r="BM312" s="197">
        <v>12635066.461999999</v>
      </c>
      <c r="BN312" s="198">
        <v>475933.42000000004</v>
      </c>
      <c r="BO312" s="198">
        <v>1257834.706</v>
      </c>
      <c r="BP312" s="198">
        <v>3963742.3000000003</v>
      </c>
      <c r="BQ312" s="198">
        <v>3665260.0690000001</v>
      </c>
      <c r="BR312" s="198"/>
      <c r="BS312" s="198">
        <v>3272295.9669999983</v>
      </c>
      <c r="BT312" s="197"/>
      <c r="BU312" s="198"/>
      <c r="BV312" s="198"/>
      <c r="BW312" s="198"/>
      <c r="BX312" s="198"/>
      <c r="BY312" s="198"/>
      <c r="BZ312" s="199"/>
      <c r="CA312" s="198">
        <v>942.303</v>
      </c>
      <c r="CB312" s="198"/>
      <c r="CC312" s="198"/>
      <c r="CD312" s="198"/>
      <c r="CE312" s="198"/>
      <c r="CF312" s="198"/>
      <c r="CG312" s="199"/>
      <c r="CH312" s="197">
        <v>20742555.041159999</v>
      </c>
      <c r="CI312" s="198"/>
      <c r="CJ312" s="198">
        <v>10065183.48137</v>
      </c>
      <c r="CK312" s="198">
        <v>1590001.6876600001</v>
      </c>
      <c r="CL312" s="198">
        <v>7193361.7439999999</v>
      </c>
      <c r="CM312" s="198">
        <v>1894008.1281299999</v>
      </c>
      <c r="CN312" s="198"/>
      <c r="CO312" s="197">
        <v>9527.6456377699997</v>
      </c>
      <c r="CP312" s="198">
        <v>950.18471691000002</v>
      </c>
      <c r="CQ312" s="198">
        <v>1372.9582808399998</v>
      </c>
      <c r="CR312" s="198">
        <v>2234.5200710000004</v>
      </c>
      <c r="CS312" s="198">
        <v>2933.2630343299998</v>
      </c>
      <c r="CT312" s="198"/>
      <c r="CU312" s="198">
        <v>2036.7195346899978</v>
      </c>
      <c r="CV312" s="197">
        <v>1966.6489999999999</v>
      </c>
      <c r="CW312" s="198"/>
      <c r="CX312" s="198"/>
      <c r="CY312" s="198"/>
      <c r="CZ312" s="198"/>
      <c r="DA312" s="198"/>
      <c r="DB312" s="199"/>
      <c r="DC312" s="197">
        <v>119184.16499999999</v>
      </c>
      <c r="DD312" s="198">
        <v>14597.880999999999</v>
      </c>
      <c r="DE312" s="198">
        <v>21689.842000000001</v>
      </c>
      <c r="DF312" s="198"/>
      <c r="DG312" s="198">
        <v>34967.68</v>
      </c>
      <c r="DH312" s="198"/>
      <c r="DI312" s="198">
        <v>47928.761999999995</v>
      </c>
      <c r="DJ312" s="197">
        <v>115074.29999999999</v>
      </c>
      <c r="DK312" s="198">
        <v>28846.5</v>
      </c>
      <c r="DL312" s="198">
        <v>28718.1</v>
      </c>
      <c r="DM312" s="198">
        <v>5599.6</v>
      </c>
      <c r="DN312" s="198">
        <v>19306.199999999997</v>
      </c>
      <c r="DO312" s="198"/>
      <c r="DP312" s="198">
        <v>32603.899999999994</v>
      </c>
      <c r="DQ312" s="197"/>
      <c r="DR312" s="198"/>
      <c r="DS312" s="198"/>
      <c r="DT312" s="198"/>
      <c r="DU312" s="198"/>
      <c r="DV312" s="198"/>
      <c r="DW312" s="198"/>
      <c r="DX312" s="197">
        <v>194860.85876819</v>
      </c>
      <c r="DY312" s="198"/>
      <c r="DZ312" s="198">
        <v>127300.23946498</v>
      </c>
      <c r="EA312" s="198">
        <v>32958.356576129998</v>
      </c>
      <c r="EB312" s="198">
        <v>32520.386389660001</v>
      </c>
      <c r="EC312" s="198">
        <v>2081.8763374199998</v>
      </c>
      <c r="ED312" s="198"/>
      <c r="EE312" s="197">
        <v>337289.24</v>
      </c>
      <c r="EF312" s="198">
        <v>10766.781000000001</v>
      </c>
      <c r="EG312" s="198">
        <v>74730.904999999999</v>
      </c>
      <c r="EH312" s="198">
        <v>22535.458999999999</v>
      </c>
      <c r="EI312" s="198">
        <v>150471</v>
      </c>
      <c r="EJ312" s="198"/>
      <c r="EK312" s="198">
        <v>78785.094999999972</v>
      </c>
      <c r="EL312" s="197">
        <v>2876722.1884980006</v>
      </c>
      <c r="EM312" s="198">
        <v>1283490.3959839996</v>
      </c>
      <c r="EN312" s="198">
        <v>84322.429112000013</v>
      </c>
      <c r="EO312" s="198">
        <v>478366.19745199993</v>
      </c>
      <c r="EP312" s="198">
        <v>646171.97510100005</v>
      </c>
      <c r="EQ312" s="198"/>
      <c r="ER312" s="198">
        <v>384371.19084899995</v>
      </c>
      <c r="ES312" s="197">
        <v>74942.871341409991</v>
      </c>
      <c r="ET312" s="198">
        <v>10781.263803170001</v>
      </c>
      <c r="EU312" s="198">
        <v>25917.536440619999</v>
      </c>
      <c r="EV312" s="198">
        <v>10120.778941459999</v>
      </c>
      <c r="EW312" s="198">
        <v>18075.615889829998</v>
      </c>
      <c r="EX312" s="198"/>
      <c r="EY312" s="198">
        <v>10047.676266329996</v>
      </c>
      <c r="EZ312" s="197">
        <v>35918.611407739998</v>
      </c>
      <c r="FA312" s="198">
        <v>1919.3379234700001</v>
      </c>
      <c r="FB312" s="198">
        <v>10466.50835885</v>
      </c>
      <c r="FC312" s="198">
        <v>9548.6030640499903</v>
      </c>
      <c r="FD312" s="198">
        <v>6706.4438405800101</v>
      </c>
      <c r="FE312" s="198">
        <v>0</v>
      </c>
      <c r="FF312" s="198">
        <v>7277.7182207900023</v>
      </c>
      <c r="FG312" s="197">
        <v>44728225.949680999</v>
      </c>
      <c r="FH312" s="198">
        <v>4894942.5549090002</v>
      </c>
      <c r="FI312" s="198">
        <v>9913312.036045</v>
      </c>
      <c r="FJ312" s="198"/>
      <c r="FK312" s="198">
        <v>7171255.0685090004</v>
      </c>
      <c r="FL312" s="198"/>
      <c r="FM312" s="198">
        <v>22748716.290217999</v>
      </c>
      <c r="FN312" s="197">
        <v>157978.286655</v>
      </c>
      <c r="FO312" s="198">
        <v>24337.945581</v>
      </c>
      <c r="FP312" s="198">
        <v>23170.098011999999</v>
      </c>
      <c r="FQ312" s="198">
        <v>27035.925258000003</v>
      </c>
      <c r="FR312" s="198">
        <v>27757.817833999998</v>
      </c>
      <c r="FS312" s="198"/>
      <c r="FT312" s="199">
        <v>55676.49996999999</v>
      </c>
      <c r="FU312" s="197">
        <v>612907.15866954997</v>
      </c>
      <c r="FV312" s="198">
        <v>41588.096790680007</v>
      </c>
      <c r="FW312" s="198">
        <v>88911.586374099905</v>
      </c>
      <c r="FX312" s="198">
        <v>125635.14757085012</v>
      </c>
      <c r="FY312" s="198">
        <v>133074.51820685997</v>
      </c>
      <c r="FZ312" s="198"/>
      <c r="GA312" s="199">
        <v>223697.80972706</v>
      </c>
      <c r="GB312" s="197">
        <v>1817.1880000000001</v>
      </c>
      <c r="GC312" s="198"/>
      <c r="GD312" s="198"/>
      <c r="GE312" s="198"/>
      <c r="GF312" s="198"/>
      <c r="GG312" s="198"/>
      <c r="GH312" s="199"/>
      <c r="GI312" s="197">
        <v>1178.9849999999999</v>
      </c>
      <c r="GJ312" s="198"/>
      <c r="GK312" s="198"/>
      <c r="GL312" s="198"/>
      <c r="GM312" s="198"/>
      <c r="GN312" s="198"/>
      <c r="GO312" s="199"/>
      <c r="GP312" s="197">
        <v>4496.1989999999996</v>
      </c>
      <c r="GQ312" s="198"/>
      <c r="GR312" s="198"/>
      <c r="GS312" s="198"/>
      <c r="GT312" s="198"/>
      <c r="GU312" s="198"/>
      <c r="GV312" s="199"/>
      <c r="GW312" s="197">
        <v>4985.8999999999996</v>
      </c>
      <c r="GX312" s="198">
        <v>343.79999999999995</v>
      </c>
      <c r="GY312" s="198">
        <v>1310.4000000000001</v>
      </c>
      <c r="GZ312" s="198">
        <v>767.9</v>
      </c>
      <c r="HA312" s="198"/>
      <c r="HB312" s="198"/>
      <c r="HC312" s="199">
        <v>2563.8000000000002</v>
      </c>
      <c r="HD312" s="197"/>
      <c r="HE312" s="198"/>
      <c r="HF312" s="198"/>
      <c r="HG312" s="198"/>
      <c r="HH312" s="198"/>
      <c r="HI312" s="198"/>
      <c r="HJ312" s="199"/>
      <c r="HK312" s="197">
        <v>13641.023289999999</v>
      </c>
      <c r="HL312" s="198">
        <v>2231.9347210000001</v>
      </c>
      <c r="HM312" s="198">
        <v>1859.1941299999999</v>
      </c>
      <c r="HN312" s="198">
        <v>374.06268700000004</v>
      </c>
      <c r="HO312" s="198">
        <v>4815.2582659999998</v>
      </c>
      <c r="HP312" s="198"/>
      <c r="HQ312" s="198">
        <v>4360.5734860000002</v>
      </c>
      <c r="HR312" s="197">
        <v>518232.69099999999</v>
      </c>
      <c r="HS312" s="198">
        <v>48694.417000000001</v>
      </c>
      <c r="HT312" s="198">
        <v>180568.65100000001</v>
      </c>
      <c r="HU312" s="198">
        <v>54302.927000000003</v>
      </c>
      <c r="HV312" s="198">
        <v>92468.043000000005</v>
      </c>
      <c r="HW312" s="198">
        <v>28681.698</v>
      </c>
      <c r="HX312" s="198">
        <v>93215.498999999996</v>
      </c>
    </row>
    <row r="313" spans="1:234">
      <c r="A313" s="185" t="s">
        <v>496</v>
      </c>
      <c r="B313" s="197">
        <v>2776.0360000000001</v>
      </c>
      <c r="C313" s="198"/>
      <c r="D313" s="198"/>
      <c r="E313" s="198"/>
      <c r="F313" s="198"/>
      <c r="G313" s="198"/>
      <c r="H313" s="198"/>
      <c r="I313" s="197">
        <v>488831.2</v>
      </c>
      <c r="J313" s="198"/>
      <c r="K313" s="198"/>
      <c r="L313" s="198">
        <v>41182.199999999997</v>
      </c>
      <c r="M313" s="198">
        <v>87265.600000000006</v>
      </c>
      <c r="N313" s="198"/>
      <c r="O313" s="199">
        <v>318981.30000000005</v>
      </c>
      <c r="P313" s="197">
        <v>7090.8829999999998</v>
      </c>
      <c r="Q313" s="198">
        <v>54.712000000000003</v>
      </c>
      <c r="R313" s="198">
        <v>317.51499999999999</v>
      </c>
      <c r="S313" s="198">
        <v>402.56799999999998</v>
      </c>
      <c r="T313" s="198">
        <v>5198.6710000000003</v>
      </c>
      <c r="U313" s="198"/>
      <c r="V313" s="199">
        <v>1117.4169999999986</v>
      </c>
      <c r="W313" s="197">
        <v>5984.2020000000002</v>
      </c>
      <c r="X313" s="198">
        <v>116.95135999999999</v>
      </c>
      <c r="Y313" s="198">
        <v>905.85472000000004</v>
      </c>
      <c r="Z313" s="198">
        <v>210.74408</v>
      </c>
      <c r="AA313" s="198">
        <v>3263.4679100000003</v>
      </c>
      <c r="AB313" s="198"/>
      <c r="AC313" s="199">
        <v>1487.1839299999992</v>
      </c>
      <c r="AD313" s="198"/>
      <c r="AE313" s="198">
        <v>24.856999999999999</v>
      </c>
      <c r="AF313" s="198">
        <v>292.38900000000001</v>
      </c>
      <c r="AG313" s="198">
        <v>756.10500000000002</v>
      </c>
      <c r="AH313" s="198">
        <v>427.78699999999998</v>
      </c>
      <c r="AI313" s="198">
        <v>69.632999999999996</v>
      </c>
      <c r="AJ313" s="198"/>
      <c r="AK313" s="197"/>
      <c r="AL313" s="198"/>
      <c r="AM313" s="198"/>
      <c r="AN313" s="198"/>
      <c r="AO313" s="198"/>
      <c r="AP313" s="198"/>
      <c r="AQ313" s="199"/>
      <c r="AR313" s="198">
        <v>2577874</v>
      </c>
      <c r="AS313" s="198">
        <v>564046</v>
      </c>
      <c r="AT313" s="198">
        <v>284078</v>
      </c>
      <c r="AU313" s="198">
        <v>419881</v>
      </c>
      <c r="AV313" s="198">
        <v>872128</v>
      </c>
      <c r="AW313" s="198"/>
      <c r="AX313" s="198">
        <v>437741</v>
      </c>
      <c r="AY313" s="197">
        <v>112204128</v>
      </c>
      <c r="AZ313" s="198"/>
      <c r="BA313" s="198">
        <v>69586893</v>
      </c>
      <c r="BB313" s="198">
        <v>26438630</v>
      </c>
      <c r="BC313" s="198">
        <v>14674461</v>
      </c>
      <c r="BD313" s="198"/>
      <c r="BE313" s="198"/>
      <c r="BF313" s="197">
        <v>270177513.03000003</v>
      </c>
      <c r="BG313" s="198"/>
      <c r="BH313" s="198">
        <v>164012881.32000002</v>
      </c>
      <c r="BI313" s="198">
        <v>22439662.139999997</v>
      </c>
      <c r="BJ313" s="198">
        <v>75757158.510000005</v>
      </c>
      <c r="BK313" s="198">
        <v>7967811.0600000015</v>
      </c>
      <c r="BL313" s="198"/>
      <c r="BM313" s="197">
        <v>12824969.255999999</v>
      </c>
      <c r="BN313" s="198">
        <v>479773.43099999998</v>
      </c>
      <c r="BO313" s="198">
        <v>1270919.513</v>
      </c>
      <c r="BP313" s="198">
        <v>4019802.5109999999</v>
      </c>
      <c r="BQ313" s="198">
        <v>3731215.6830000002</v>
      </c>
      <c r="BR313" s="198"/>
      <c r="BS313" s="198">
        <v>3323258.1179999989</v>
      </c>
      <c r="BT313" s="197"/>
      <c r="BU313" s="198"/>
      <c r="BV313" s="198"/>
      <c r="BW313" s="198"/>
      <c r="BX313" s="198"/>
      <c r="BY313" s="198"/>
      <c r="BZ313" s="199"/>
      <c r="CA313" s="198">
        <v>945.91700000000003</v>
      </c>
      <c r="CB313" s="198"/>
      <c r="CC313" s="198"/>
      <c r="CD313" s="198"/>
      <c r="CE313" s="198"/>
      <c r="CF313" s="198"/>
      <c r="CG313" s="199"/>
      <c r="CH313" s="197">
        <v>21012787.480880003</v>
      </c>
      <c r="CI313" s="198"/>
      <c r="CJ313" s="198">
        <v>10193277.40188</v>
      </c>
      <c r="CK313" s="198">
        <v>1599373.2335099999</v>
      </c>
      <c r="CL313" s="198">
        <v>7296893.1357400008</v>
      </c>
      <c r="CM313" s="198">
        <v>1923243.7097500002</v>
      </c>
      <c r="CN313" s="198"/>
      <c r="CO313" s="197">
        <v>9565.5987059899999</v>
      </c>
      <c r="CP313" s="198">
        <v>926.60465510999995</v>
      </c>
      <c r="CQ313" s="198">
        <v>1371.87546628</v>
      </c>
      <c r="CR313" s="198">
        <v>2240.1743980500005</v>
      </c>
      <c r="CS313" s="198">
        <v>2968.5511380300004</v>
      </c>
      <c r="CT313" s="198"/>
      <c r="CU313" s="198">
        <v>2058.393048519998</v>
      </c>
      <c r="CV313" s="197">
        <v>1916.5219999999999</v>
      </c>
      <c r="CW313" s="198"/>
      <c r="CX313" s="198"/>
      <c r="CY313" s="198"/>
      <c r="CZ313" s="198"/>
      <c r="DA313" s="198"/>
      <c r="DB313" s="199"/>
      <c r="DC313" s="197">
        <v>121271.349</v>
      </c>
      <c r="DD313" s="198">
        <v>15176.48</v>
      </c>
      <c r="DE313" s="198">
        <v>22087.422999999999</v>
      </c>
      <c r="DF313" s="198"/>
      <c r="DG313" s="198">
        <v>35543.271000000001</v>
      </c>
      <c r="DH313" s="198"/>
      <c r="DI313" s="198">
        <v>48464.17500000001</v>
      </c>
      <c r="DJ313" s="197">
        <v>113943.59999999999</v>
      </c>
      <c r="DK313" s="198">
        <v>28645.4</v>
      </c>
      <c r="DL313" s="198">
        <v>28982.5</v>
      </c>
      <c r="DM313" s="198">
        <v>5685.6</v>
      </c>
      <c r="DN313" s="198">
        <v>18903.900000000001</v>
      </c>
      <c r="DO313" s="198"/>
      <c r="DP313" s="198">
        <v>31726.199999999997</v>
      </c>
      <c r="DQ313" s="197"/>
      <c r="DR313" s="198"/>
      <c r="DS313" s="198"/>
      <c r="DT313" s="198"/>
      <c r="DU313" s="198"/>
      <c r="DV313" s="198"/>
      <c r="DW313" s="198"/>
      <c r="DX313" s="197">
        <v>197679.71729503997</v>
      </c>
      <c r="DY313" s="198"/>
      <c r="DZ313" s="198">
        <v>129234.86376892001</v>
      </c>
      <c r="EA313" s="198">
        <v>33147.076794659995</v>
      </c>
      <c r="EB313" s="198">
        <v>33178.08347551</v>
      </c>
      <c r="EC313" s="198">
        <v>2119.6932559500001</v>
      </c>
      <c r="ED313" s="198"/>
      <c r="EE313" s="197">
        <v>348392.86900000001</v>
      </c>
      <c r="EF313" s="198">
        <v>10738.877</v>
      </c>
      <c r="EG313" s="198">
        <v>73249.123999999996</v>
      </c>
      <c r="EH313" s="198">
        <v>22531.951000000001</v>
      </c>
      <c r="EI313" s="198">
        <v>160257.02899999998</v>
      </c>
      <c r="EJ313" s="198"/>
      <c r="EK313" s="198">
        <v>81615.888000000035</v>
      </c>
      <c r="EL313" s="197">
        <v>2925819.7092579994</v>
      </c>
      <c r="EM313" s="198">
        <v>1302085.6473999999</v>
      </c>
      <c r="EN313" s="198">
        <v>92122.192375999992</v>
      </c>
      <c r="EO313" s="198">
        <v>483388.359811</v>
      </c>
      <c r="EP313" s="198">
        <v>656253.447667</v>
      </c>
      <c r="EQ313" s="198"/>
      <c r="ER313" s="198">
        <v>391970.06200399995</v>
      </c>
      <c r="ES313" s="197">
        <v>75990.18186117</v>
      </c>
      <c r="ET313" s="198">
        <v>10898.56513137</v>
      </c>
      <c r="EU313" s="198">
        <v>25917.536440619999</v>
      </c>
      <c r="EV313" s="198">
        <v>10285.52983782</v>
      </c>
      <c r="EW313" s="198">
        <v>18572.85699755</v>
      </c>
      <c r="EX313" s="198"/>
      <c r="EY313" s="198">
        <v>10315.693453809996</v>
      </c>
      <c r="EZ313" s="197">
        <v>36345.81216519</v>
      </c>
      <c r="FA313" s="198">
        <v>1956.57453556</v>
      </c>
      <c r="FB313" s="198">
        <v>10490.57202299</v>
      </c>
      <c r="FC313" s="198">
        <v>9676.2661233700001</v>
      </c>
      <c r="FD313" s="198">
        <v>6768.1567418500099</v>
      </c>
      <c r="FE313" s="198">
        <v>0</v>
      </c>
      <c r="FF313" s="198">
        <v>7454.2427414199892</v>
      </c>
      <c r="FG313" s="197">
        <v>45855963.703176998</v>
      </c>
      <c r="FH313" s="198">
        <v>4865331.1139670005</v>
      </c>
      <c r="FI313" s="198">
        <v>10457587.177219</v>
      </c>
      <c r="FJ313" s="198"/>
      <c r="FK313" s="198">
        <v>7241816.7955990015</v>
      </c>
      <c r="FL313" s="198"/>
      <c r="FM313" s="198">
        <v>23291228.616391994</v>
      </c>
      <c r="FN313" s="197">
        <v>161330.26011599999</v>
      </c>
      <c r="FO313" s="198">
        <v>24874.873489999998</v>
      </c>
      <c r="FP313" s="198">
        <v>24058.382715999996</v>
      </c>
      <c r="FQ313" s="198">
        <v>27441.199868</v>
      </c>
      <c r="FR313" s="198">
        <v>28059.963802000002</v>
      </c>
      <c r="FS313" s="198"/>
      <c r="FT313" s="199">
        <v>56895.840240000005</v>
      </c>
      <c r="FU313" s="197">
        <v>620387.45231811027</v>
      </c>
      <c r="FV313" s="198">
        <v>42185.819149290015</v>
      </c>
      <c r="FW313" s="198">
        <v>94457.910007150072</v>
      </c>
      <c r="FX313" s="198">
        <v>129567.44152372993</v>
      </c>
      <c r="FY313" s="198">
        <v>135547.63194782022</v>
      </c>
      <c r="FZ313" s="198"/>
      <c r="GA313" s="199">
        <v>218628.64969012004</v>
      </c>
      <c r="GB313" s="197">
        <v>1807.4970000000001</v>
      </c>
      <c r="GC313" s="198"/>
      <c r="GD313" s="198"/>
      <c r="GE313" s="198"/>
      <c r="GF313" s="198"/>
      <c r="GG313" s="198"/>
      <c r="GH313" s="199"/>
      <c r="GI313" s="197">
        <v>1192.7449999999999</v>
      </c>
      <c r="GJ313" s="198"/>
      <c r="GK313" s="198"/>
      <c r="GL313" s="198"/>
      <c r="GM313" s="198"/>
      <c r="GN313" s="198"/>
      <c r="GO313" s="199"/>
      <c r="GP313" s="197">
        <v>4463.7150000000001</v>
      </c>
      <c r="GQ313" s="198"/>
      <c r="GR313" s="198"/>
      <c r="GS313" s="198"/>
      <c r="GT313" s="198"/>
      <c r="GU313" s="198"/>
      <c r="GV313" s="199"/>
      <c r="GW313" s="197">
        <v>5122.7</v>
      </c>
      <c r="GX313" s="198">
        <v>341.20000000000005</v>
      </c>
      <c r="GY313" s="198">
        <v>1348.6999999999998</v>
      </c>
      <c r="GZ313" s="198">
        <v>789.5</v>
      </c>
      <c r="HA313" s="198"/>
      <c r="HB313" s="198"/>
      <c r="HC313" s="199">
        <v>2643.2999999999997</v>
      </c>
      <c r="HD313" s="197"/>
      <c r="HE313" s="198"/>
      <c r="HF313" s="198"/>
      <c r="HG313" s="198"/>
      <c r="HH313" s="198"/>
      <c r="HI313" s="198"/>
      <c r="HJ313" s="199"/>
      <c r="HK313" s="197">
        <v>13462.547219</v>
      </c>
      <c r="HL313" s="198">
        <v>2232.961241</v>
      </c>
      <c r="HM313" s="198">
        <v>1807.785018</v>
      </c>
      <c r="HN313" s="198">
        <v>361.73635200000001</v>
      </c>
      <c r="HO313" s="198">
        <v>4649.2472730000009</v>
      </c>
      <c r="HP313" s="198"/>
      <c r="HQ313" s="198">
        <v>4410.8173349999979</v>
      </c>
      <c r="HR313" s="197">
        <v>540715.09499999997</v>
      </c>
      <c r="HS313" s="198">
        <v>50759.360999999997</v>
      </c>
      <c r="HT313" s="198">
        <v>190758.71</v>
      </c>
      <c r="HU313" s="198">
        <v>55150.769</v>
      </c>
      <c r="HV313" s="198">
        <v>97594.407000000007</v>
      </c>
      <c r="HW313" s="198">
        <v>30402.281999999999</v>
      </c>
      <c r="HX313" s="198">
        <v>95151.847999999998</v>
      </c>
    </row>
    <row r="314" spans="1:234">
      <c r="A314" s="185" t="s">
        <v>497</v>
      </c>
      <c r="B314" s="197">
        <v>2769.4450000000002</v>
      </c>
      <c r="C314" s="198">
        <v>44.347999999999999</v>
      </c>
      <c r="D314" s="198">
        <v>520.38</v>
      </c>
      <c r="E314" s="198">
        <v>818.88300000000004</v>
      </c>
      <c r="F314" s="198">
        <v>459.25</v>
      </c>
      <c r="G314" s="198"/>
      <c r="H314" s="198">
        <v>926.58400000000006</v>
      </c>
      <c r="I314" s="197">
        <v>503113.4</v>
      </c>
      <c r="J314" s="198"/>
      <c r="K314" s="198"/>
      <c r="L314" s="198">
        <v>41732.300000000003</v>
      </c>
      <c r="M314" s="198">
        <v>89826</v>
      </c>
      <c r="N314" s="198"/>
      <c r="O314" s="199">
        <v>329392.3</v>
      </c>
      <c r="P314" s="197">
        <v>7073.741</v>
      </c>
      <c r="Q314" s="198">
        <v>52.094000000000001</v>
      </c>
      <c r="R314" s="198">
        <v>348.76400000000001</v>
      </c>
      <c r="S314" s="198">
        <v>420.20400000000001</v>
      </c>
      <c r="T314" s="198">
        <v>5179.4740000000002</v>
      </c>
      <c r="U314" s="198"/>
      <c r="V314" s="199">
        <v>1073.2049999999999</v>
      </c>
      <c r="W314" s="197">
        <v>6012.72</v>
      </c>
      <c r="X314" s="198">
        <v>116.35599999999999</v>
      </c>
      <c r="Y314" s="198">
        <v>938.39199999999994</v>
      </c>
      <c r="Z314" s="198">
        <v>213.80099999999999</v>
      </c>
      <c r="AA314" s="198">
        <v>3278.895</v>
      </c>
      <c r="AB314" s="198"/>
      <c r="AC314" s="199">
        <v>1465.2760000000003</v>
      </c>
      <c r="AD314" s="198">
        <v>2325.2150000000001</v>
      </c>
      <c r="AE314" s="198">
        <v>23.37</v>
      </c>
      <c r="AF314" s="198">
        <v>293.05599999999998</v>
      </c>
      <c r="AG314" s="198">
        <v>754.74299999999994</v>
      </c>
      <c r="AH314" s="198">
        <v>424.55799999999999</v>
      </c>
      <c r="AI314" s="198">
        <v>69.14</v>
      </c>
      <c r="AJ314" s="198">
        <v>760.3480000000003</v>
      </c>
      <c r="AK314" s="197">
        <v>80612.06</v>
      </c>
      <c r="AL314" s="198">
        <v>31761.151640000004</v>
      </c>
      <c r="AM314" s="198"/>
      <c r="AN314" s="198">
        <v>15558.12758</v>
      </c>
      <c r="AO314" s="198">
        <v>9915.2833799999989</v>
      </c>
      <c r="AP314" s="198">
        <v>23377.4974</v>
      </c>
      <c r="AQ314" s="199"/>
      <c r="AR314" s="198">
        <v>2597168</v>
      </c>
      <c r="AS314" s="198">
        <v>563126</v>
      </c>
      <c r="AT314" s="198">
        <v>288676</v>
      </c>
      <c r="AU314" s="198">
        <v>425536</v>
      </c>
      <c r="AV314" s="198">
        <v>879647</v>
      </c>
      <c r="AW314" s="198"/>
      <c r="AX314" s="198">
        <v>440183</v>
      </c>
      <c r="AY314" s="197">
        <v>112163339</v>
      </c>
      <c r="AZ314" s="198"/>
      <c r="BA314" s="198">
        <v>69284916</v>
      </c>
      <c r="BB314" s="198">
        <v>26690090</v>
      </c>
      <c r="BC314" s="198">
        <v>14759102</v>
      </c>
      <c r="BD314" s="198"/>
      <c r="BE314" s="198"/>
      <c r="BF314" s="197">
        <v>273802206.33000004</v>
      </c>
      <c r="BG314" s="198"/>
      <c r="BH314" s="198">
        <v>166087909.64000002</v>
      </c>
      <c r="BI314" s="198">
        <v>22990252.739999998</v>
      </c>
      <c r="BJ314" s="198">
        <v>76621907.269999981</v>
      </c>
      <c r="BK314" s="198">
        <v>8102136.6799999988</v>
      </c>
      <c r="BL314" s="198"/>
      <c r="BM314" s="197">
        <v>12987113.5</v>
      </c>
      <c r="BN314" s="198">
        <v>517002.46100000001</v>
      </c>
      <c r="BO314" s="198">
        <v>1266455.6460000002</v>
      </c>
      <c r="BP314" s="198">
        <v>4028428.3190000001</v>
      </c>
      <c r="BQ314" s="198">
        <v>3787125.2620000001</v>
      </c>
      <c r="BR314" s="198"/>
      <c r="BS314" s="198">
        <v>3388101.811999999</v>
      </c>
      <c r="BT314" s="197"/>
      <c r="BU314" s="198"/>
      <c r="BV314" s="198"/>
      <c r="BW314" s="198"/>
      <c r="BX314" s="198"/>
      <c r="BY314" s="198"/>
      <c r="BZ314" s="199"/>
      <c r="CA314" s="198">
        <v>947.09500000000003</v>
      </c>
      <c r="CB314" s="198">
        <v>37.072000000000003</v>
      </c>
      <c r="CC314" s="198">
        <v>154.07499999999999</v>
      </c>
      <c r="CD314" s="198">
        <v>273.702</v>
      </c>
      <c r="CE314" s="198">
        <v>168.839</v>
      </c>
      <c r="CF314" s="198"/>
      <c r="CG314" s="199">
        <v>313.4070000000001</v>
      </c>
      <c r="CH314" s="197">
        <v>21146480.99182</v>
      </c>
      <c r="CI314" s="198"/>
      <c r="CJ314" s="198">
        <v>10229044.569940001</v>
      </c>
      <c r="CK314" s="198">
        <v>1617242.2304100001</v>
      </c>
      <c r="CL314" s="198">
        <v>7348435.7283799993</v>
      </c>
      <c r="CM314" s="198">
        <v>1951758.4630900002</v>
      </c>
      <c r="CN314" s="198"/>
      <c r="CO314" s="197">
        <v>9582.0740100699986</v>
      </c>
      <c r="CP314" s="198">
        <v>917.30974492999997</v>
      </c>
      <c r="CQ314" s="198">
        <v>1380.8110496499999</v>
      </c>
      <c r="CR314" s="198">
        <v>2249.5007666499996</v>
      </c>
      <c r="CS314" s="198">
        <v>2998.9141613599995</v>
      </c>
      <c r="CT314" s="198"/>
      <c r="CU314" s="198">
        <v>2035.5382874799998</v>
      </c>
      <c r="CV314" s="197">
        <v>1899.48</v>
      </c>
      <c r="CW314" s="198">
        <v>35.731000000000002</v>
      </c>
      <c r="CX314" s="198">
        <v>355.89499999999998</v>
      </c>
      <c r="CY314" s="198">
        <v>653.101</v>
      </c>
      <c r="CZ314" s="198">
        <v>543.77</v>
      </c>
      <c r="DA314" s="198"/>
      <c r="DB314" s="199">
        <v>310.98300000000006</v>
      </c>
      <c r="DC314" s="197">
        <v>122411.352</v>
      </c>
      <c r="DD314" s="198">
        <v>15773.68</v>
      </c>
      <c r="DE314" s="198">
        <v>22210.998</v>
      </c>
      <c r="DF314" s="198"/>
      <c r="DG314" s="198">
        <v>36038.006000000001</v>
      </c>
      <c r="DH314" s="198"/>
      <c r="DI314" s="198">
        <v>48388.667999999998</v>
      </c>
      <c r="DJ314" s="197">
        <v>117353.7</v>
      </c>
      <c r="DK314" s="198">
        <v>27993</v>
      </c>
      <c r="DL314" s="198">
        <v>31199.600000000002</v>
      </c>
      <c r="DM314" s="198">
        <v>5757.4</v>
      </c>
      <c r="DN314" s="198">
        <v>19878.800000000003</v>
      </c>
      <c r="DO314" s="198"/>
      <c r="DP314" s="198">
        <v>32524.89999999998</v>
      </c>
      <c r="DQ314" s="197">
        <v>66.458194289999994</v>
      </c>
      <c r="DR314" s="198">
        <v>9.7994259100000018</v>
      </c>
      <c r="DS314" s="198">
        <v>15.965841960000001</v>
      </c>
      <c r="DT314" s="198">
        <v>4.8724809000000002</v>
      </c>
      <c r="DU314" s="198">
        <v>7.0631693300000009</v>
      </c>
      <c r="DV314" s="198"/>
      <c r="DW314" s="198">
        <v>28.757276189999992</v>
      </c>
      <c r="DX314" s="197">
        <v>200765.18367830003</v>
      </c>
      <c r="DY314" s="198"/>
      <c r="DZ314" s="198">
        <v>131532.18175808998</v>
      </c>
      <c r="EA314" s="198">
        <v>33391.843723500002</v>
      </c>
      <c r="EB314" s="198">
        <v>33715.66774664</v>
      </c>
      <c r="EC314" s="198">
        <v>2125.4904500700004</v>
      </c>
      <c r="ED314" s="198"/>
      <c r="EE314" s="197">
        <v>355766.17</v>
      </c>
      <c r="EF314" s="198">
        <v>10761.993</v>
      </c>
      <c r="EG314" s="198">
        <v>74350.099999999991</v>
      </c>
      <c r="EH314" s="198">
        <v>23031.699000000001</v>
      </c>
      <c r="EI314" s="198">
        <v>161815.32399999999</v>
      </c>
      <c r="EJ314" s="198"/>
      <c r="EK314" s="198">
        <v>85807.054000000004</v>
      </c>
      <c r="EL314" s="197">
        <v>2927601.9308199999</v>
      </c>
      <c r="EM314" s="198">
        <v>1296219.6115689999</v>
      </c>
      <c r="EN314" s="198">
        <v>92261.658287999991</v>
      </c>
      <c r="EO314" s="198">
        <v>487875.34593199997</v>
      </c>
      <c r="EP314" s="198">
        <v>661383.0869639999</v>
      </c>
      <c r="EQ314" s="198"/>
      <c r="ER314" s="198">
        <v>389862.22806699999</v>
      </c>
      <c r="ES314" s="197">
        <v>77552.937329075212</v>
      </c>
      <c r="ET314" s="198">
        <v>11016.01141302</v>
      </c>
      <c r="EU314" s="198">
        <v>26300.453663600005</v>
      </c>
      <c r="EV314" s="198">
        <v>10442.884747069998</v>
      </c>
      <c r="EW314" s="198">
        <v>18963.381668510003</v>
      </c>
      <c r="EX314" s="198"/>
      <c r="EY314" s="198">
        <v>10830.205836875211</v>
      </c>
      <c r="EZ314" s="197">
        <v>34660.00809445</v>
      </c>
      <c r="FA314" s="198">
        <v>1725.11196655</v>
      </c>
      <c r="FB314" s="198">
        <v>9964.0063993899894</v>
      </c>
      <c r="FC314" s="198">
        <v>9101.9439909299999</v>
      </c>
      <c r="FD314" s="198">
        <v>6763.3508732700102</v>
      </c>
      <c r="FE314" s="198">
        <v>0</v>
      </c>
      <c r="FF314" s="198">
        <v>7105.59486431</v>
      </c>
      <c r="FG314" s="197">
        <v>47262615.244089998</v>
      </c>
      <c r="FH314" s="198">
        <v>5062545.2266849987</v>
      </c>
      <c r="FI314" s="198">
        <v>10208713.670425</v>
      </c>
      <c r="FJ314" s="198"/>
      <c r="FK314" s="198">
        <v>7481208.8270970006</v>
      </c>
      <c r="FL314" s="198"/>
      <c r="FM314" s="198">
        <v>24510147.519883007</v>
      </c>
      <c r="FN314" s="197">
        <v>162274.460081</v>
      </c>
      <c r="FO314" s="198">
        <v>25272.679188999999</v>
      </c>
      <c r="FP314" s="198">
        <v>24992.706598000001</v>
      </c>
      <c r="FQ314" s="198">
        <v>27674.474096999998</v>
      </c>
      <c r="FR314" s="198">
        <v>28315.286042</v>
      </c>
      <c r="FS314" s="198"/>
      <c r="FT314" s="199">
        <v>56019.314155000007</v>
      </c>
      <c r="FU314" s="197">
        <v>619687.01527240989</v>
      </c>
      <c r="FV314" s="198">
        <v>39790.373929260008</v>
      </c>
      <c r="FW314" s="198">
        <v>97727.185801089916</v>
      </c>
      <c r="FX314" s="198">
        <v>134429.13787517007</v>
      </c>
      <c r="FY314" s="198">
        <v>136139.14298856998</v>
      </c>
      <c r="FZ314" s="198"/>
      <c r="GA314" s="199">
        <v>211601.17467831989</v>
      </c>
      <c r="GB314" s="197">
        <v>1810.2529999999999</v>
      </c>
      <c r="GC314" s="198">
        <v>31.49</v>
      </c>
      <c r="GD314" s="198">
        <v>211.22900000000001</v>
      </c>
      <c r="GE314" s="198">
        <v>483.83800000000002</v>
      </c>
      <c r="GF314" s="198">
        <v>428.39699999999999</v>
      </c>
      <c r="GG314" s="198"/>
      <c r="GH314" s="199">
        <v>655.29899999999998</v>
      </c>
      <c r="GI314" s="197">
        <v>1192.6590000000001</v>
      </c>
      <c r="GJ314" s="198">
        <v>32.039000000000001</v>
      </c>
      <c r="GK314" s="198">
        <v>169.761</v>
      </c>
      <c r="GL314" s="198">
        <v>424.779</v>
      </c>
      <c r="GM314" s="198">
        <v>338.22</v>
      </c>
      <c r="GN314" s="198"/>
      <c r="GO314" s="199">
        <v>227.86000000000013</v>
      </c>
      <c r="GP314" s="197">
        <v>4429.518</v>
      </c>
      <c r="GQ314" s="198">
        <v>97.02</v>
      </c>
      <c r="GR314" s="198">
        <v>1065.453</v>
      </c>
      <c r="GS314" s="198">
        <v>911.73500000000001</v>
      </c>
      <c r="GT314" s="198">
        <v>667.97099999999989</v>
      </c>
      <c r="GU314" s="198"/>
      <c r="GV314" s="199">
        <v>1687.3389999999995</v>
      </c>
      <c r="GW314" s="197">
        <v>5156.6000000000004</v>
      </c>
      <c r="GX314" s="198">
        <v>356.3</v>
      </c>
      <c r="GY314" s="198">
        <v>1347.4</v>
      </c>
      <c r="GZ314" s="198">
        <v>798.5</v>
      </c>
      <c r="HA314" s="198"/>
      <c r="HB314" s="198"/>
      <c r="HC314" s="199">
        <v>2654.4</v>
      </c>
      <c r="HD314" s="197">
        <v>52155.1</v>
      </c>
      <c r="HE314" s="198">
        <v>3508.2999999999997</v>
      </c>
      <c r="HF314" s="198">
        <v>3904.5</v>
      </c>
      <c r="HG314" s="198">
        <v>14074.7</v>
      </c>
      <c r="HH314" s="198">
        <v>12798</v>
      </c>
      <c r="HI314" s="198"/>
      <c r="HJ314" s="199">
        <v>17869.599999999999</v>
      </c>
      <c r="HK314" s="197">
        <v>13563.995954</v>
      </c>
      <c r="HL314" s="198">
        <v>2183.4442089999998</v>
      </c>
      <c r="HM314" s="198">
        <v>1746.0982970000002</v>
      </c>
      <c r="HN314" s="198">
        <v>387.38089599999995</v>
      </c>
      <c r="HO314" s="198">
        <v>4818.632888000001</v>
      </c>
      <c r="HP314" s="198"/>
      <c r="HQ314" s="198">
        <v>4428.4396639999986</v>
      </c>
      <c r="HR314" s="197">
        <v>569611.86</v>
      </c>
      <c r="HS314" s="198">
        <v>53324.783000000003</v>
      </c>
      <c r="HT314" s="198">
        <v>206002.951</v>
      </c>
      <c r="HU314" s="198">
        <v>55856.963000000003</v>
      </c>
      <c r="HV314" s="198">
        <v>104000.011</v>
      </c>
      <c r="HW314" s="198">
        <v>31834.934000000001</v>
      </c>
      <c r="HX314" s="198">
        <v>97257.892000000007</v>
      </c>
    </row>
    <row r="315" spans="1:234">
      <c r="A315" s="185" t="s">
        <v>498</v>
      </c>
      <c r="B315" s="197">
        <v>2759.6759999999999</v>
      </c>
      <c r="C315" s="198"/>
      <c r="D315" s="198"/>
      <c r="E315" s="198"/>
      <c r="F315" s="198"/>
      <c r="G315" s="198"/>
      <c r="H315" s="198"/>
      <c r="I315" s="197">
        <v>512807.4</v>
      </c>
      <c r="J315" s="198"/>
      <c r="K315" s="198"/>
      <c r="L315" s="198">
        <v>42396.9</v>
      </c>
      <c r="M315" s="198">
        <v>92026.4</v>
      </c>
      <c r="N315" s="198"/>
      <c r="O315" s="199">
        <v>336194.3</v>
      </c>
      <c r="P315" s="197">
        <v>7052.335</v>
      </c>
      <c r="Q315" s="198">
        <v>51.070999999999998</v>
      </c>
      <c r="R315" s="198">
        <v>349.08000000000004</v>
      </c>
      <c r="S315" s="198">
        <v>406.23500000000001</v>
      </c>
      <c r="T315" s="198">
        <v>5179.7439999999997</v>
      </c>
      <c r="U315" s="198"/>
      <c r="V315" s="199">
        <v>1066.2050000000008</v>
      </c>
      <c r="W315" s="197">
        <v>6032.72</v>
      </c>
      <c r="X315" s="198">
        <v>114.79</v>
      </c>
      <c r="Y315" s="198">
        <v>949.07999999999993</v>
      </c>
      <c r="Z315" s="198">
        <v>211.33699999999999</v>
      </c>
      <c r="AA315" s="198">
        <v>3291.2860000000001</v>
      </c>
      <c r="AB315" s="198"/>
      <c r="AC315" s="199">
        <v>1466.2270000000008</v>
      </c>
      <c r="AD315" s="198"/>
      <c r="AE315" s="198">
        <v>21.814</v>
      </c>
      <c r="AF315" s="198">
        <v>295.33699999999999</v>
      </c>
      <c r="AG315" s="198">
        <v>759.93000000000006</v>
      </c>
      <c r="AH315" s="198">
        <v>426.834</v>
      </c>
      <c r="AI315" s="198">
        <v>70.763000000000005</v>
      </c>
      <c r="AJ315" s="198"/>
      <c r="AK315" s="197"/>
      <c r="AL315" s="198"/>
      <c r="AM315" s="198"/>
      <c r="AN315" s="198"/>
      <c r="AO315" s="198"/>
      <c r="AP315" s="198"/>
      <c r="AQ315" s="199"/>
      <c r="AR315" s="198">
        <v>2604241</v>
      </c>
      <c r="AS315" s="198">
        <v>561346</v>
      </c>
      <c r="AT315" s="198">
        <v>291187</v>
      </c>
      <c r="AU315" s="198">
        <v>429415</v>
      </c>
      <c r="AV315" s="198">
        <v>886854</v>
      </c>
      <c r="AW315" s="198"/>
      <c r="AX315" s="198">
        <v>435439</v>
      </c>
      <c r="AY315" s="197">
        <v>112654856</v>
      </c>
      <c r="AZ315" s="198"/>
      <c r="BA315" s="198">
        <v>69308554</v>
      </c>
      <c r="BB315" s="198">
        <v>27008863</v>
      </c>
      <c r="BC315" s="198">
        <v>14947296</v>
      </c>
      <c r="BD315" s="198"/>
      <c r="BE315" s="198"/>
      <c r="BF315" s="197">
        <v>275835849.34000003</v>
      </c>
      <c r="BG315" s="198"/>
      <c r="BH315" s="198">
        <v>166642140.12</v>
      </c>
      <c r="BI315" s="198">
        <v>23579839.77999999</v>
      </c>
      <c r="BJ315" s="198">
        <v>77495861.870000005</v>
      </c>
      <c r="BK315" s="198">
        <v>8118007.5700000003</v>
      </c>
      <c r="BL315" s="198"/>
      <c r="BM315" s="197">
        <v>13186940.970000001</v>
      </c>
      <c r="BN315" s="198">
        <v>523234.30499999999</v>
      </c>
      <c r="BO315" s="198">
        <v>1294667.827</v>
      </c>
      <c r="BP315" s="198">
        <v>4013012.5979999998</v>
      </c>
      <c r="BQ315" s="198">
        <v>3855694.4419999998</v>
      </c>
      <c r="BR315" s="198"/>
      <c r="BS315" s="199">
        <v>3500331.7980000023</v>
      </c>
      <c r="BT315" s="198"/>
      <c r="BU315" s="198"/>
      <c r="BV315" s="198"/>
      <c r="BW315" s="198"/>
      <c r="BX315" s="198"/>
      <c r="BY315" s="198"/>
      <c r="BZ315" s="199"/>
      <c r="CA315" s="198">
        <v>938.79</v>
      </c>
      <c r="CB315" s="198"/>
      <c r="CC315" s="198"/>
      <c r="CD315" s="198"/>
      <c r="CE315" s="198"/>
      <c r="CF315" s="198"/>
      <c r="CG315" s="199"/>
      <c r="CH315" s="197">
        <v>21189464.922109999</v>
      </c>
      <c r="CI315" s="198"/>
      <c r="CJ315" s="198">
        <v>10236109.45194</v>
      </c>
      <c r="CK315" s="198">
        <v>1626342.9661699999</v>
      </c>
      <c r="CL315" s="198">
        <v>7378342.1495299991</v>
      </c>
      <c r="CM315" s="198">
        <v>1948670.3544700001</v>
      </c>
      <c r="CN315" s="198"/>
      <c r="CO315" s="197">
        <v>9755.710195220001</v>
      </c>
      <c r="CP315" s="198">
        <v>947.60776879000002</v>
      </c>
      <c r="CQ315" s="198">
        <v>1417.0063578099998</v>
      </c>
      <c r="CR315" s="198">
        <v>2255.2478797200001</v>
      </c>
      <c r="CS315" s="198">
        <v>3040.2395155800004</v>
      </c>
      <c r="CT315" s="198"/>
      <c r="CU315" s="198">
        <v>2095.6086733200009</v>
      </c>
      <c r="CV315" s="197">
        <v>1895.546</v>
      </c>
      <c r="CW315" s="198"/>
      <c r="CX315" s="198"/>
      <c r="CY315" s="198"/>
      <c r="CZ315" s="198"/>
      <c r="DA315" s="198"/>
      <c r="DB315" s="199"/>
      <c r="DC315" s="197">
        <v>124252.784</v>
      </c>
      <c r="DD315" s="198">
        <v>16168.718000000001</v>
      </c>
      <c r="DE315" s="198">
        <v>22391.398000000001</v>
      </c>
      <c r="DF315" s="198"/>
      <c r="DG315" s="198">
        <v>36574.775000000001</v>
      </c>
      <c r="DH315" s="198"/>
      <c r="DI315" s="198">
        <v>49117.892999999989</v>
      </c>
      <c r="DJ315" s="197">
        <v>119504</v>
      </c>
      <c r="DK315" s="198">
        <v>28458.7</v>
      </c>
      <c r="DL315" s="198">
        <v>30729.5</v>
      </c>
      <c r="DM315" s="198">
        <v>5781.8</v>
      </c>
      <c r="DN315" s="198">
        <v>20259.100000000002</v>
      </c>
      <c r="DO315" s="198"/>
      <c r="DP315" s="198">
        <v>34274.899999999994</v>
      </c>
      <c r="DQ315" s="197"/>
      <c r="DR315" s="198"/>
      <c r="DS315" s="198"/>
      <c r="DT315" s="198"/>
      <c r="DU315" s="198"/>
      <c r="DV315" s="198"/>
      <c r="DW315" s="198"/>
      <c r="DX315" s="197">
        <v>203020.89253736002</v>
      </c>
      <c r="DY315" s="198"/>
      <c r="DZ315" s="198">
        <v>133207.02167139002</v>
      </c>
      <c r="EA315" s="198">
        <v>33439.268727709998</v>
      </c>
      <c r="EB315" s="198">
        <v>34254.434776440001</v>
      </c>
      <c r="EC315" s="198">
        <v>2120.1673618200002</v>
      </c>
      <c r="ED315" s="198"/>
      <c r="EE315" s="197">
        <v>355394.17099999997</v>
      </c>
      <c r="EF315" s="198">
        <v>11039.004999999999</v>
      </c>
      <c r="EG315" s="198">
        <v>75132.073999999993</v>
      </c>
      <c r="EH315" s="198">
        <v>22872.030999999999</v>
      </c>
      <c r="EI315" s="198">
        <v>162784.02499999999</v>
      </c>
      <c r="EJ315" s="198"/>
      <c r="EK315" s="198">
        <v>83567.035999999964</v>
      </c>
      <c r="EL315" s="197">
        <v>2968236.8876789995</v>
      </c>
      <c r="EM315" s="198">
        <v>1312765.1186450003</v>
      </c>
      <c r="EN315" s="198">
        <v>95755.515163000004</v>
      </c>
      <c r="EO315" s="198">
        <v>490456.37771999993</v>
      </c>
      <c r="EP315" s="198">
        <v>667954.91468299995</v>
      </c>
      <c r="EQ315" s="198"/>
      <c r="ER315" s="198">
        <v>401304.96146800002</v>
      </c>
      <c r="ES315" s="197">
        <v>80317.356287612798</v>
      </c>
      <c r="ET315" s="198">
        <v>11397.98147961</v>
      </c>
      <c r="EU315" s="198">
        <v>27473.839895020003</v>
      </c>
      <c r="EV315" s="198">
        <v>10681.05889063</v>
      </c>
      <c r="EW315" s="198">
        <v>19461.546443520001</v>
      </c>
      <c r="EX315" s="198"/>
      <c r="EY315" s="198">
        <v>11302.929578832795</v>
      </c>
      <c r="EZ315" s="197">
        <v>37161.746530429999</v>
      </c>
      <c r="FA315" s="198">
        <v>1970.00574613</v>
      </c>
      <c r="FB315" s="198">
        <v>10603.205528369999</v>
      </c>
      <c r="FC315" s="198">
        <v>9852.3960411600001</v>
      </c>
      <c r="FD315" s="198">
        <v>6942.2588858099998</v>
      </c>
      <c r="FE315" s="198">
        <v>0</v>
      </c>
      <c r="FF315" s="198">
        <v>7793.8803289599973</v>
      </c>
      <c r="FG315" s="197">
        <v>48313897.442281999</v>
      </c>
      <c r="FH315" s="198">
        <v>5172469.0540349996</v>
      </c>
      <c r="FI315" s="198">
        <v>10532831.433518</v>
      </c>
      <c r="FJ315" s="198"/>
      <c r="FK315" s="198">
        <v>7639658.7966000009</v>
      </c>
      <c r="FL315" s="198"/>
      <c r="FM315" s="198">
        <v>24968938.158128999</v>
      </c>
      <c r="FN315" s="197">
        <v>164046.79262999998</v>
      </c>
      <c r="FO315" s="198">
        <v>25393.766912999999</v>
      </c>
      <c r="FP315" s="198">
        <v>25653.815232000001</v>
      </c>
      <c r="FQ315" s="198">
        <v>27901.513256000002</v>
      </c>
      <c r="FR315" s="198">
        <v>28684.788951000002</v>
      </c>
      <c r="FS315" s="198"/>
      <c r="FT315" s="199">
        <v>56412.908277999981</v>
      </c>
      <c r="FU315" s="197">
        <v>620570.13898836973</v>
      </c>
      <c r="FV315" s="198">
        <v>41775.45421539004</v>
      </c>
      <c r="FW315" s="198">
        <v>93526.335042140025</v>
      </c>
      <c r="FX315" s="198">
        <v>137078.69893653993</v>
      </c>
      <c r="FY315" s="198">
        <v>136438.87473536981</v>
      </c>
      <c r="FZ315" s="198"/>
      <c r="GA315" s="199">
        <v>211750.77605892991</v>
      </c>
      <c r="GB315" s="197">
        <v>1815.3510000000001</v>
      </c>
      <c r="GC315" s="198"/>
      <c r="GD315" s="198"/>
      <c r="GE315" s="198"/>
      <c r="GF315" s="198"/>
      <c r="GG315" s="198"/>
      <c r="GH315" s="199"/>
      <c r="GI315" s="197">
        <v>1215.1410000000001</v>
      </c>
      <c r="GJ315" s="198"/>
      <c r="GK315" s="198"/>
      <c r="GL315" s="198"/>
      <c r="GM315" s="198"/>
      <c r="GN315" s="198"/>
      <c r="GO315" s="199"/>
      <c r="GP315" s="197">
        <v>4415.6549999999997</v>
      </c>
      <c r="GQ315" s="198"/>
      <c r="GR315" s="198"/>
      <c r="GS315" s="198"/>
      <c r="GT315" s="198"/>
      <c r="GU315" s="198"/>
      <c r="GV315" s="199"/>
      <c r="GW315" s="197">
        <v>5269.1</v>
      </c>
      <c r="GX315" s="198">
        <v>361.2</v>
      </c>
      <c r="GY315" s="198">
        <v>1391.1999999999998</v>
      </c>
      <c r="GZ315" s="198">
        <v>812.4</v>
      </c>
      <c r="HA315" s="198"/>
      <c r="HB315" s="198"/>
      <c r="HC315" s="199">
        <v>2704.3</v>
      </c>
      <c r="HD315" s="197"/>
      <c r="HE315" s="198"/>
      <c r="HF315" s="198"/>
      <c r="HG315" s="198"/>
      <c r="HH315" s="198"/>
      <c r="HI315" s="198"/>
      <c r="HJ315" s="199"/>
      <c r="HK315" s="197">
        <v>14016.905593000001</v>
      </c>
      <c r="HL315" s="198">
        <v>2171.0372120000002</v>
      </c>
      <c r="HM315" s="198">
        <v>1789.1097629999999</v>
      </c>
      <c r="HN315" s="198">
        <v>388.75018500000004</v>
      </c>
      <c r="HO315" s="198">
        <v>5025.4479449999999</v>
      </c>
      <c r="HP315" s="198"/>
      <c r="HQ315" s="198">
        <v>4642.5604879999992</v>
      </c>
      <c r="HR315" s="197">
        <v>608990.38199999998</v>
      </c>
      <c r="HS315" s="198">
        <v>56961.733</v>
      </c>
      <c r="HT315" s="198">
        <v>226442.36</v>
      </c>
      <c r="HU315" s="198">
        <v>57111.749000000003</v>
      </c>
      <c r="HV315" s="198">
        <v>111256.868</v>
      </c>
      <c r="HW315" s="198">
        <v>33892.025000000001</v>
      </c>
      <c r="HX315" s="198">
        <v>101478.23</v>
      </c>
    </row>
    <row r="316" spans="1:234">
      <c r="A316" s="185" t="s">
        <v>499</v>
      </c>
      <c r="B316" s="197">
        <v>2747.6909999999998</v>
      </c>
      <c r="C316" s="198"/>
      <c r="D316" s="198"/>
      <c r="E316" s="198"/>
      <c r="F316" s="198"/>
      <c r="G316" s="198"/>
      <c r="H316" s="198"/>
      <c r="I316" s="197">
        <v>527213.6</v>
      </c>
      <c r="J316" s="198"/>
      <c r="K316" s="198"/>
      <c r="L316" s="198">
        <v>43201.9</v>
      </c>
      <c r="M316" s="198">
        <v>94186.3</v>
      </c>
      <c r="N316" s="198"/>
      <c r="O316" s="199">
        <v>344408.2</v>
      </c>
      <c r="P316" s="197">
        <v>7102.7610000000004</v>
      </c>
      <c r="Q316" s="198">
        <v>51.704000000000001</v>
      </c>
      <c r="R316" s="198">
        <v>347.94799999999998</v>
      </c>
      <c r="S316" s="198">
        <v>403.55599999999998</v>
      </c>
      <c r="T316" s="198">
        <v>5191.0730000000003</v>
      </c>
      <c r="U316" s="198"/>
      <c r="V316" s="199">
        <v>1108.4800000000005</v>
      </c>
      <c r="W316" s="197">
        <v>6042.81</v>
      </c>
      <c r="X316" s="198">
        <v>119.392</v>
      </c>
      <c r="Y316" s="198">
        <v>931.45900000000006</v>
      </c>
      <c r="Z316" s="198">
        <v>206.59299999999999</v>
      </c>
      <c r="AA316" s="198">
        <v>3312.2190000000001</v>
      </c>
      <c r="AB316" s="198"/>
      <c r="AC316" s="199">
        <v>1473.1470000000008</v>
      </c>
      <c r="AD316" s="198"/>
      <c r="AE316" s="198">
        <v>24.14</v>
      </c>
      <c r="AF316" s="198">
        <v>291.61199999999997</v>
      </c>
      <c r="AG316" s="198">
        <v>764.53499999999997</v>
      </c>
      <c r="AH316" s="198">
        <v>433.53800000000001</v>
      </c>
      <c r="AI316" s="198">
        <v>70.924000000000007</v>
      </c>
      <c r="AJ316" s="198"/>
      <c r="AK316" s="197"/>
      <c r="AL316" s="198"/>
      <c r="AM316" s="198"/>
      <c r="AN316" s="198"/>
      <c r="AO316" s="198"/>
      <c r="AP316" s="198"/>
      <c r="AQ316" s="199"/>
      <c r="AR316" s="198">
        <v>2646873</v>
      </c>
      <c r="AS316" s="198">
        <v>570342</v>
      </c>
      <c r="AT316" s="198">
        <v>296091</v>
      </c>
      <c r="AU316" s="198">
        <v>438884</v>
      </c>
      <c r="AV316" s="198">
        <v>894779</v>
      </c>
      <c r="AW316" s="198"/>
      <c r="AX316" s="198">
        <v>446777</v>
      </c>
      <c r="AY316" s="197">
        <v>114762285</v>
      </c>
      <c r="AZ316" s="198"/>
      <c r="BA316" s="198">
        <v>70729216</v>
      </c>
      <c r="BB316" s="198">
        <v>27255117</v>
      </c>
      <c r="BC316" s="198">
        <v>15202355</v>
      </c>
      <c r="BD316" s="198"/>
      <c r="BE316" s="198"/>
      <c r="BF316" s="197">
        <v>279400354.19999987</v>
      </c>
      <c r="BG316" s="198"/>
      <c r="BH316" s="198">
        <v>168657975.66999993</v>
      </c>
      <c r="BI316" s="198">
        <v>24160972.999999996</v>
      </c>
      <c r="BJ316" s="198">
        <v>78339421.119999975</v>
      </c>
      <c r="BK316" s="198">
        <v>8241984.4100000011</v>
      </c>
      <c r="BL316" s="198"/>
      <c r="BM316" s="197">
        <v>13401083.597999999</v>
      </c>
      <c r="BN316" s="198">
        <v>525229.62900000007</v>
      </c>
      <c r="BO316" s="198">
        <v>1294471.3960000002</v>
      </c>
      <c r="BP316" s="198">
        <v>4142493.0039999997</v>
      </c>
      <c r="BQ316" s="198">
        <v>3948450.9389999998</v>
      </c>
      <c r="BR316" s="198"/>
      <c r="BS316" s="199">
        <v>3490438.629999999</v>
      </c>
      <c r="BT316" s="197"/>
      <c r="BU316" s="198"/>
      <c r="BV316" s="198"/>
      <c r="BW316" s="198"/>
      <c r="BX316" s="198"/>
      <c r="BY316" s="198"/>
      <c r="BZ316" s="198"/>
      <c r="CA316" s="197">
        <v>946.95799999999997</v>
      </c>
      <c r="CB316" s="198"/>
      <c r="CC316" s="198"/>
      <c r="CD316" s="198"/>
      <c r="CE316" s="198"/>
      <c r="CF316" s="198"/>
      <c r="CG316" s="199"/>
      <c r="CH316" s="197">
        <v>21520818.578560002</v>
      </c>
      <c r="CI316" s="198"/>
      <c r="CJ316" s="198">
        <v>10456776.426440002</v>
      </c>
      <c r="CK316" s="198">
        <v>1642535.6582300002</v>
      </c>
      <c r="CL316" s="198">
        <v>7440171.4347400004</v>
      </c>
      <c r="CM316" s="198">
        <v>1981335.0591500001</v>
      </c>
      <c r="CN316" s="198"/>
      <c r="CO316" s="197">
        <v>9904.3042388800004</v>
      </c>
      <c r="CP316" s="198">
        <v>991.94565918999967</v>
      </c>
      <c r="CQ316" s="198">
        <v>1442.3794356799999</v>
      </c>
      <c r="CR316" s="198">
        <v>2261.5342774099995</v>
      </c>
      <c r="CS316" s="198">
        <v>3088.6180035900002</v>
      </c>
      <c r="CT316" s="198"/>
      <c r="CU316" s="198">
        <v>2119.8268630100006</v>
      </c>
      <c r="CV316" s="197">
        <v>1878.78</v>
      </c>
      <c r="CW316" s="198"/>
      <c r="CX316" s="198"/>
      <c r="CY316" s="198"/>
      <c r="CZ316" s="198"/>
      <c r="DA316" s="198"/>
      <c r="DB316" s="199"/>
      <c r="DC316" s="197">
        <v>125599.18700000001</v>
      </c>
      <c r="DD316" s="198">
        <v>15923.983</v>
      </c>
      <c r="DE316" s="198">
        <v>22907.606</v>
      </c>
      <c r="DF316" s="198"/>
      <c r="DG316" s="198">
        <v>37139.959000000003</v>
      </c>
      <c r="DH316" s="198"/>
      <c r="DI316" s="198">
        <v>49627.638999999996</v>
      </c>
      <c r="DJ316" s="197">
        <v>122582.70000000001</v>
      </c>
      <c r="DK316" s="198">
        <v>29241.300000000003</v>
      </c>
      <c r="DL316" s="198">
        <v>31247.3</v>
      </c>
      <c r="DM316" s="198">
        <v>5884.3</v>
      </c>
      <c r="DN316" s="198">
        <v>20950.5</v>
      </c>
      <c r="DO316" s="198"/>
      <c r="DP316" s="198">
        <v>35259.300000000003</v>
      </c>
      <c r="DQ316" s="197"/>
      <c r="DR316" s="198"/>
      <c r="DS316" s="198"/>
      <c r="DT316" s="198"/>
      <c r="DU316" s="198"/>
      <c r="DV316" s="198"/>
      <c r="DW316" s="198"/>
      <c r="DX316" s="197">
        <v>207368.25860855999</v>
      </c>
      <c r="DY316" s="198"/>
      <c r="DZ316" s="198">
        <v>136720.98394471998</v>
      </c>
      <c r="EA316" s="198">
        <v>33559.866078569998</v>
      </c>
      <c r="EB316" s="198">
        <v>34916.129550099999</v>
      </c>
      <c r="EC316" s="198">
        <v>2171.27903517</v>
      </c>
      <c r="ED316" s="198"/>
      <c r="EE316" s="197">
        <v>361552.48599999998</v>
      </c>
      <c r="EF316" s="198">
        <v>11151.815000000001</v>
      </c>
      <c r="EG316" s="198">
        <v>75436.509999999995</v>
      </c>
      <c r="EH316" s="198">
        <v>23223.225999999999</v>
      </c>
      <c r="EI316" s="198">
        <v>165444.33299999998</v>
      </c>
      <c r="EJ316" s="198"/>
      <c r="EK316" s="198">
        <v>86296.601999999984</v>
      </c>
      <c r="EL316" s="197">
        <v>3013182.8618860007</v>
      </c>
      <c r="EM316" s="198">
        <v>1330268.396156</v>
      </c>
      <c r="EN316" s="198">
        <v>105071.916291</v>
      </c>
      <c r="EO316" s="198">
        <v>497661.37567000004</v>
      </c>
      <c r="EP316" s="198">
        <v>681116.07692099991</v>
      </c>
      <c r="EQ316" s="198"/>
      <c r="ER316" s="198">
        <v>399065.09684800002</v>
      </c>
      <c r="ES316" s="197">
        <v>82445.2899937935</v>
      </c>
      <c r="ET316" s="198">
        <v>11139.957830610001</v>
      </c>
      <c r="EU316" s="198">
        <v>28741.5178127</v>
      </c>
      <c r="EV316" s="198">
        <v>10916.80197769</v>
      </c>
      <c r="EW316" s="198">
        <v>19982.889657299998</v>
      </c>
      <c r="EX316" s="198"/>
      <c r="EY316" s="198">
        <v>11664.122715493504</v>
      </c>
      <c r="EZ316" s="197">
        <v>37359.965576089999</v>
      </c>
      <c r="FA316" s="198">
        <v>1721.11659257</v>
      </c>
      <c r="FB316" s="198">
        <v>10694.942105149999</v>
      </c>
      <c r="FC316" s="198">
        <v>9937.73338186</v>
      </c>
      <c r="FD316" s="198">
        <v>7049.2107660900001</v>
      </c>
      <c r="FE316" s="198">
        <v>0</v>
      </c>
      <c r="FF316" s="198">
        <v>7956.9627304200021</v>
      </c>
      <c r="FG316" s="197">
        <v>48685320</v>
      </c>
      <c r="FH316" s="198">
        <v>5243062</v>
      </c>
      <c r="FI316" s="198">
        <v>10699731</v>
      </c>
      <c r="FJ316" s="198"/>
      <c r="FK316" s="198">
        <v>7666493</v>
      </c>
      <c r="FL316" s="198"/>
      <c r="FM316" s="198">
        <v>25076034</v>
      </c>
      <c r="FN316" s="197">
        <v>168392.253513</v>
      </c>
      <c r="FO316" s="198">
        <v>26242.078277000001</v>
      </c>
      <c r="FP316" s="198">
        <v>26394.585662000001</v>
      </c>
      <c r="FQ316" s="198">
        <v>28444.878707</v>
      </c>
      <c r="FR316" s="198">
        <v>29116.625731</v>
      </c>
      <c r="FS316" s="198"/>
      <c r="FT316" s="199">
        <v>58194.085136000016</v>
      </c>
      <c r="FU316" s="197">
        <v>642304.76817656006</v>
      </c>
      <c r="FV316" s="198">
        <v>42507.272454879996</v>
      </c>
      <c r="FW316" s="198">
        <v>95327.765903820036</v>
      </c>
      <c r="FX316" s="198">
        <v>138268.80395909009</v>
      </c>
      <c r="FY316" s="198">
        <v>139943.42412434987</v>
      </c>
      <c r="FZ316" s="198"/>
      <c r="GA316" s="199">
        <v>226257.5017344201</v>
      </c>
      <c r="GB316" s="197">
        <v>1812.6869999999999</v>
      </c>
      <c r="GC316" s="198"/>
      <c r="GD316" s="198"/>
      <c r="GE316" s="198"/>
      <c r="GF316" s="198"/>
      <c r="GG316" s="198"/>
      <c r="GH316" s="199"/>
      <c r="GI316" s="197">
        <v>1179.8109999999999</v>
      </c>
      <c r="GJ316" s="198"/>
      <c r="GK316" s="198"/>
      <c r="GL316" s="198"/>
      <c r="GM316" s="198"/>
      <c r="GN316" s="198"/>
      <c r="GO316" s="199"/>
      <c r="GP316" s="197">
        <v>4409.2</v>
      </c>
      <c r="GQ316" s="198"/>
      <c r="GR316" s="198"/>
      <c r="GS316" s="198"/>
      <c r="GT316" s="198"/>
      <c r="GU316" s="198"/>
      <c r="GV316" s="199"/>
      <c r="GW316" s="197">
        <v>5310.2</v>
      </c>
      <c r="GX316" s="198">
        <v>380.2</v>
      </c>
      <c r="GY316" s="198">
        <v>1411.3</v>
      </c>
      <c r="GZ316" s="198">
        <v>818.69999999999993</v>
      </c>
      <c r="HA316" s="198"/>
      <c r="HB316" s="198"/>
      <c r="HC316" s="199">
        <v>2700</v>
      </c>
      <c r="HD316" s="197"/>
      <c r="HE316" s="198"/>
      <c r="HF316" s="198"/>
      <c r="HG316" s="198"/>
      <c r="HH316" s="198"/>
      <c r="HI316" s="198"/>
      <c r="HJ316" s="199"/>
      <c r="HK316" s="197">
        <v>14389.384834</v>
      </c>
      <c r="HL316" s="198">
        <v>2207.9483519999999</v>
      </c>
      <c r="HM316" s="198">
        <v>1821.727885</v>
      </c>
      <c r="HN316" s="198">
        <v>400.93339699999996</v>
      </c>
      <c r="HO316" s="198">
        <v>5196.1542630000004</v>
      </c>
      <c r="HP316" s="198"/>
      <c r="HQ316" s="198">
        <v>4762.6209369999997</v>
      </c>
      <c r="HR316" s="197">
        <v>641536.81900000002</v>
      </c>
      <c r="HS316" s="198">
        <v>60092.540999999997</v>
      </c>
      <c r="HT316" s="198">
        <v>240153.859</v>
      </c>
      <c r="HU316" s="198">
        <v>58698.307000000001</v>
      </c>
      <c r="HV316" s="198">
        <v>118116.427</v>
      </c>
      <c r="HW316" s="198">
        <v>35500.934999999998</v>
      </c>
      <c r="HX316" s="198">
        <v>106925.855</v>
      </c>
    </row>
    <row r="317" spans="1:234">
      <c r="A317" s="202" t="s">
        <v>500</v>
      </c>
      <c r="B317" s="203">
        <v>2740.6819999999998</v>
      </c>
      <c r="C317" s="204">
        <v>43.548999999999999</v>
      </c>
      <c r="D317" s="204">
        <v>507.69299999999998</v>
      </c>
      <c r="E317" s="204">
        <v>816.18600000000004</v>
      </c>
      <c r="F317" s="204">
        <v>457.80799999999999</v>
      </c>
      <c r="G317" s="204"/>
      <c r="H317" s="204">
        <v>915.44599999999946</v>
      </c>
      <c r="I317" s="203">
        <v>550222.9</v>
      </c>
      <c r="J317" s="204"/>
      <c r="K317" s="204"/>
      <c r="L317" s="204">
        <v>44841.7</v>
      </c>
      <c r="M317" s="204">
        <v>95559.1</v>
      </c>
      <c r="N317" s="204"/>
      <c r="O317" s="205">
        <v>361452.4</v>
      </c>
      <c r="P317" s="203">
        <v>7118.7529999999997</v>
      </c>
      <c r="Q317" s="204">
        <v>52.457000000000001</v>
      </c>
      <c r="R317" s="204">
        <v>341.709</v>
      </c>
      <c r="S317" s="204">
        <v>450.60199999999998</v>
      </c>
      <c r="T317" s="204">
        <v>5244.6059999999998</v>
      </c>
      <c r="U317" s="204"/>
      <c r="V317" s="205">
        <v>1029.3789999999999</v>
      </c>
      <c r="W317" s="203">
        <v>5990.8440000000001</v>
      </c>
      <c r="X317" s="204">
        <v>117.27303999999999</v>
      </c>
      <c r="Y317" s="204">
        <v>860.68972000000008</v>
      </c>
      <c r="Z317" s="204">
        <v>208.29219000000001</v>
      </c>
      <c r="AA317" s="204">
        <v>3332.7320499999996</v>
      </c>
      <c r="AB317" s="204"/>
      <c r="AC317" s="205">
        <v>1471.857</v>
      </c>
      <c r="AD317" s="203">
        <v>2388.748</v>
      </c>
      <c r="AE317" s="204">
        <v>23.606000000000002</v>
      </c>
      <c r="AF317" s="204">
        <v>284.17399999999998</v>
      </c>
      <c r="AG317" s="204">
        <v>770.67700000000002</v>
      </c>
      <c r="AH317" s="204">
        <v>439.928</v>
      </c>
      <c r="AI317" s="204">
        <v>71.545000000000002</v>
      </c>
      <c r="AJ317" s="205">
        <v>798.81799999999976</v>
      </c>
      <c r="AK317" s="203">
        <v>84288.180000000008</v>
      </c>
      <c r="AL317" s="204">
        <v>32872.390200000002</v>
      </c>
      <c r="AM317" s="204"/>
      <c r="AN317" s="204">
        <v>16436.195100000001</v>
      </c>
      <c r="AO317" s="204">
        <v>10704.59886</v>
      </c>
      <c r="AP317" s="204">
        <v>24359.284019999999</v>
      </c>
      <c r="AQ317" s="205"/>
      <c r="AR317" s="203">
        <v>2711371</v>
      </c>
      <c r="AS317" s="204">
        <v>595080</v>
      </c>
      <c r="AT317" s="204">
        <v>300963</v>
      </c>
      <c r="AU317" s="204">
        <v>447509</v>
      </c>
      <c r="AV317" s="204">
        <v>908484</v>
      </c>
      <c r="AW317" s="204"/>
      <c r="AX317" s="205">
        <v>459335</v>
      </c>
      <c r="AY317" s="203">
        <v>115441996</v>
      </c>
      <c r="AZ317" s="204"/>
      <c r="BA317" s="204">
        <v>70770873</v>
      </c>
      <c r="BB317" s="204">
        <v>27592200</v>
      </c>
      <c r="BC317" s="204">
        <v>15833583</v>
      </c>
      <c r="BD317" s="204"/>
      <c r="BE317" s="205"/>
      <c r="BF317" s="203">
        <v>281782859.89000005</v>
      </c>
      <c r="BG317" s="204"/>
      <c r="BH317" s="204">
        <v>169649650.22</v>
      </c>
      <c r="BI317" s="204">
        <v>24695393.330000002</v>
      </c>
      <c r="BJ317" s="204">
        <v>79073668.530000001</v>
      </c>
      <c r="BK317" s="204">
        <v>8364147.8099999987</v>
      </c>
      <c r="BL317" s="205"/>
      <c r="BM317" s="203">
        <v>13633888.101</v>
      </c>
      <c r="BN317" s="204">
        <v>562643.59700000007</v>
      </c>
      <c r="BO317" s="204">
        <v>1317111.6400000001</v>
      </c>
      <c r="BP317" s="204">
        <v>4184008.111</v>
      </c>
      <c r="BQ317" s="204">
        <v>4000211.8330000001</v>
      </c>
      <c r="BR317" s="204"/>
      <c r="BS317" s="205">
        <v>3569912.92</v>
      </c>
      <c r="BT317" s="203"/>
      <c r="BU317" s="204"/>
      <c r="BV317" s="204"/>
      <c r="BW317" s="204"/>
      <c r="BX317" s="204"/>
      <c r="BY317" s="204"/>
      <c r="BZ317" s="205"/>
      <c r="CA317" s="203">
        <v>934.221</v>
      </c>
      <c r="CB317" s="204">
        <v>36.085000000000001</v>
      </c>
      <c r="CC317" s="204">
        <v>151.88999999999999</v>
      </c>
      <c r="CD317" s="204">
        <v>274.40300000000002</v>
      </c>
      <c r="CE317" s="204">
        <v>169.274</v>
      </c>
      <c r="CF317" s="204"/>
      <c r="CG317" s="205">
        <v>302.56899999999996</v>
      </c>
      <c r="CH317" s="203">
        <v>21705183.391730003</v>
      </c>
      <c r="CI317" s="204"/>
      <c r="CJ317" s="204">
        <v>10592192.89711</v>
      </c>
      <c r="CK317" s="204">
        <v>1655066.8221999998</v>
      </c>
      <c r="CL317" s="204">
        <v>7471219.4392700009</v>
      </c>
      <c r="CM317" s="204">
        <v>1986704.23315</v>
      </c>
      <c r="CN317" s="205"/>
      <c r="CO317" s="203">
        <v>9918.149960210003</v>
      </c>
      <c r="CP317" s="204">
        <v>1038.3537988300002</v>
      </c>
      <c r="CQ317" s="204">
        <v>1416.7943379400003</v>
      </c>
      <c r="CR317" s="204">
        <v>2265.6185527500006</v>
      </c>
      <c r="CS317" s="204">
        <v>3106.1071148900005</v>
      </c>
      <c r="CT317" s="204"/>
      <c r="CU317" s="205">
        <v>2091.2761558000025</v>
      </c>
      <c r="CV317" s="203">
        <v>1864.646</v>
      </c>
      <c r="CW317" s="204">
        <v>35.350999999999999</v>
      </c>
      <c r="CX317" s="204">
        <v>347.62304999999998</v>
      </c>
      <c r="CY317" s="204">
        <v>651.96</v>
      </c>
      <c r="CZ317" s="204">
        <v>541.28962999999987</v>
      </c>
      <c r="DA317" s="204"/>
      <c r="DB317" s="205">
        <v>288.42232000000024</v>
      </c>
      <c r="DC317" s="203">
        <v>125504.645</v>
      </c>
      <c r="DD317" s="204">
        <v>15087.061</v>
      </c>
      <c r="DE317" s="204">
        <v>22792.087</v>
      </c>
      <c r="DF317" s="204"/>
      <c r="DG317" s="204">
        <v>37476.476999999999</v>
      </c>
      <c r="DH317" s="204"/>
      <c r="DI317" s="205">
        <v>50149.020000000004</v>
      </c>
      <c r="DJ317" s="203">
        <v>123730.6</v>
      </c>
      <c r="DK317" s="204">
        <v>28344.5</v>
      </c>
      <c r="DL317" s="204">
        <v>32696.399999999998</v>
      </c>
      <c r="DM317" s="204">
        <v>6037.8</v>
      </c>
      <c r="DN317" s="204">
        <v>21576.400000000001</v>
      </c>
      <c r="DO317" s="204"/>
      <c r="DP317" s="205">
        <v>35075.5</v>
      </c>
      <c r="DQ317" s="203">
        <v>67.697813671000006</v>
      </c>
      <c r="DR317" s="204">
        <v>9.7020081200000003</v>
      </c>
      <c r="DS317" s="204">
        <v>16.338566439999997</v>
      </c>
      <c r="DT317" s="204">
        <v>5.0738097400000006</v>
      </c>
      <c r="DU317" s="204">
        <v>7.1434480900000006</v>
      </c>
      <c r="DV317" s="204"/>
      <c r="DW317" s="205">
        <v>29.439981281000009</v>
      </c>
      <c r="DX317" s="203">
        <v>207586.99162546999</v>
      </c>
      <c r="DY317" s="204"/>
      <c r="DZ317" s="204">
        <v>136639.41878474</v>
      </c>
      <c r="EA317" s="204">
        <v>33683.487714280003</v>
      </c>
      <c r="EB317" s="204">
        <v>35066.219155350002</v>
      </c>
      <c r="EC317" s="204">
        <v>2197.8659710999996</v>
      </c>
      <c r="ED317" s="205"/>
      <c r="EE317" s="203">
        <v>362116.92200000002</v>
      </c>
      <c r="EF317" s="204">
        <v>12608.843000000001</v>
      </c>
      <c r="EG317" s="204">
        <v>73547.600000000006</v>
      </c>
      <c r="EH317" s="204">
        <v>23217.877</v>
      </c>
      <c r="EI317" s="204">
        <v>167371.00599999999</v>
      </c>
      <c r="EJ317" s="204"/>
      <c r="EK317" s="205">
        <v>85371.596000000049</v>
      </c>
      <c r="EL317" s="203">
        <v>3038881.0818940001</v>
      </c>
      <c r="EM317" s="204">
        <v>1336951.6196940001</v>
      </c>
      <c r="EN317" s="204">
        <v>111337.91512299997</v>
      </c>
      <c r="EO317" s="204">
        <v>512864.92253899999</v>
      </c>
      <c r="EP317" s="204">
        <v>673580.16022099997</v>
      </c>
      <c r="EQ317" s="204"/>
      <c r="ER317" s="205">
        <v>404146.46431700001</v>
      </c>
      <c r="ES317" s="203">
        <v>84281.793488456096</v>
      </c>
      <c r="ET317" s="204">
        <v>11289.140591759999</v>
      </c>
      <c r="EU317" s="204">
        <v>29491.174030130001</v>
      </c>
      <c r="EV317" s="204">
        <v>11130.99725506</v>
      </c>
      <c r="EW317" s="204">
        <v>20225.739133149997</v>
      </c>
      <c r="EX317" s="204"/>
      <c r="EY317" s="205">
        <v>12144.742478356093</v>
      </c>
      <c r="EZ317" s="203">
        <v>37061.224982314001</v>
      </c>
      <c r="FA317" s="204">
        <v>1668.00719076</v>
      </c>
      <c r="FB317" s="204">
        <v>10312.917444979999</v>
      </c>
      <c r="FC317" s="204">
        <v>10032.64100363</v>
      </c>
      <c r="FD317" s="204">
        <v>7109.8537227839997</v>
      </c>
      <c r="FE317" s="204">
        <v>0</v>
      </c>
      <c r="FF317" s="205">
        <v>7937.8056201600039</v>
      </c>
      <c r="FG317" s="203">
        <v>51226725.874701999</v>
      </c>
      <c r="FH317" s="204">
        <v>5585690.5368600003</v>
      </c>
      <c r="FI317" s="204">
        <v>11331174.406782001</v>
      </c>
      <c r="FJ317" s="204"/>
      <c r="FK317" s="204">
        <v>7883616.5740299998</v>
      </c>
      <c r="FL317" s="204"/>
      <c r="FM317" s="205">
        <v>26426244.357030001</v>
      </c>
      <c r="FN317" s="203">
        <v>169555.45796599999</v>
      </c>
      <c r="FO317" s="204">
        <v>26274.730789000001</v>
      </c>
      <c r="FP317" s="204">
        <v>25914.924475</v>
      </c>
      <c r="FQ317" s="204">
        <v>28588.983501999999</v>
      </c>
      <c r="FR317" s="204">
        <v>29583.490683</v>
      </c>
      <c r="FS317" s="204"/>
      <c r="FT317" s="205">
        <v>59193.328516999987</v>
      </c>
      <c r="FU317" s="203">
        <v>653132.19228299987</v>
      </c>
      <c r="FV317" s="204">
        <v>42009.094168690011</v>
      </c>
      <c r="FW317" s="204">
        <v>97668.810726329699</v>
      </c>
      <c r="FX317" s="204">
        <v>147145.23421579981</v>
      </c>
      <c r="FY317" s="204">
        <v>139931.75245911011</v>
      </c>
      <c r="FZ317" s="204"/>
      <c r="GA317" s="205">
        <v>226377.3007130702</v>
      </c>
      <c r="GB317" s="203">
        <v>1825.654</v>
      </c>
      <c r="GC317" s="204">
        <v>31.181000000000001</v>
      </c>
      <c r="GD317" s="204">
        <v>209.2</v>
      </c>
      <c r="GE317" s="204">
        <v>483.005</v>
      </c>
      <c r="GF317" s="204">
        <v>437.43799999999999</v>
      </c>
      <c r="GG317" s="204"/>
      <c r="GH317" s="205">
        <v>664.83</v>
      </c>
      <c r="GI317" s="203">
        <v>1184.123</v>
      </c>
      <c r="GJ317" s="204">
        <v>32.14</v>
      </c>
      <c r="GK317" s="204">
        <v>162.20246073999999</v>
      </c>
      <c r="GL317" s="204">
        <v>435.95299999999997</v>
      </c>
      <c r="GM317" s="204">
        <v>366.79</v>
      </c>
      <c r="GN317" s="204"/>
      <c r="GO317" s="205">
        <v>187.03753925999996</v>
      </c>
      <c r="GP317" s="203">
        <v>4410.5550000000003</v>
      </c>
      <c r="GQ317" s="204">
        <v>96.668999999999997</v>
      </c>
      <c r="GR317" s="204">
        <v>1040.4659999999999</v>
      </c>
      <c r="GS317" s="204">
        <v>913.721</v>
      </c>
      <c r="GT317" s="204">
        <v>654.24800000000005</v>
      </c>
      <c r="GU317" s="204"/>
      <c r="GV317" s="205">
        <v>1705.4510000000005</v>
      </c>
      <c r="GW317" s="203">
        <v>5362.5</v>
      </c>
      <c r="GX317" s="204">
        <v>373</v>
      </c>
      <c r="GY317" s="204">
        <v>1436.8000000000002</v>
      </c>
      <c r="GZ317" s="204">
        <v>826.7</v>
      </c>
      <c r="HA317" s="204"/>
      <c r="HB317" s="204"/>
      <c r="HC317" s="205">
        <v>2726</v>
      </c>
      <c r="HD317" s="203">
        <v>52160.3</v>
      </c>
      <c r="HE317" s="204">
        <v>3352.6000000000004</v>
      </c>
      <c r="HF317" s="204">
        <v>4261.8999999999996</v>
      </c>
      <c r="HG317" s="204">
        <v>14382.3</v>
      </c>
      <c r="HH317" s="204">
        <v>13447.000000000002</v>
      </c>
      <c r="HI317" s="204"/>
      <c r="HJ317" s="205">
        <v>16716.500000000004</v>
      </c>
      <c r="HK317" s="203">
        <v>14870.993946999999</v>
      </c>
      <c r="HL317" s="204">
        <v>2248.3967560000001</v>
      </c>
      <c r="HM317" s="204">
        <v>1956.7192319999999</v>
      </c>
      <c r="HN317" s="204">
        <v>406.72529900000001</v>
      </c>
      <c r="HO317" s="204">
        <v>5317.2188610000003</v>
      </c>
      <c r="HP317" s="204"/>
      <c r="HQ317" s="205">
        <v>4941.9337989999995</v>
      </c>
      <c r="HR317" s="203">
        <v>665043.07400000002</v>
      </c>
      <c r="HS317" s="204">
        <v>62149.728000000003</v>
      </c>
      <c r="HT317" s="204">
        <v>248051.372</v>
      </c>
      <c r="HU317" s="204">
        <v>59832.457000000002</v>
      </c>
      <c r="HV317" s="204">
        <v>124909.72199999999</v>
      </c>
      <c r="HW317" s="204">
        <v>36206.440999999999</v>
      </c>
      <c r="HX317" s="204">
        <v>111887.65</v>
      </c>
    </row>
    <row r="318" spans="1:234">
      <c r="A318" s="185" t="s">
        <v>681</v>
      </c>
      <c r="B318" s="198">
        <v>2730.4380000000001</v>
      </c>
      <c r="C318" s="198"/>
      <c r="D318" s="198"/>
      <c r="E318" s="198"/>
      <c r="F318" s="198"/>
      <c r="G318" s="198"/>
      <c r="H318" s="198"/>
      <c r="I318" s="197">
        <v>562378.4</v>
      </c>
      <c r="J318" s="198"/>
      <c r="K318" s="198"/>
      <c r="L318" s="198">
        <v>45254.3</v>
      </c>
      <c r="M318" s="198">
        <v>97682.3</v>
      </c>
      <c r="N318" s="198"/>
      <c r="O318" s="199">
        <v>372518.7</v>
      </c>
      <c r="P318" s="197">
        <v>6962.107</v>
      </c>
      <c r="Q318" s="198">
        <v>48.344000000000001</v>
      </c>
      <c r="R318" s="198">
        <v>345.81400000000002</v>
      </c>
      <c r="S318" s="198">
        <v>444.77499999999998</v>
      </c>
      <c r="T318" s="198">
        <v>5239.8559999999998</v>
      </c>
      <c r="U318" s="198"/>
      <c r="V318" s="199">
        <v>883.31800000000021</v>
      </c>
      <c r="W318" s="197">
        <v>5969.7489999999998</v>
      </c>
      <c r="X318" s="198">
        <v>119.607</v>
      </c>
      <c r="Y318" s="198">
        <v>852.92000000000007</v>
      </c>
      <c r="Z318" s="198">
        <v>199.828</v>
      </c>
      <c r="AA318" s="198">
        <v>3300.6669999999999</v>
      </c>
      <c r="AB318" s="198"/>
      <c r="AC318" s="199">
        <v>1496.7269999999994</v>
      </c>
      <c r="AD318" s="198"/>
      <c r="AE318" s="198">
        <v>24.436</v>
      </c>
      <c r="AF318" s="198">
        <v>284.93899999999996</v>
      </c>
      <c r="AG318" s="198">
        <v>776.79399999999998</v>
      </c>
      <c r="AH318" s="198">
        <v>437.81900000000002</v>
      </c>
      <c r="AI318" s="198">
        <v>72.944000000000003</v>
      </c>
      <c r="AJ318" s="198"/>
      <c r="AK318" s="197"/>
      <c r="AL318" s="198"/>
      <c r="AM318" s="198"/>
      <c r="AN318" s="198"/>
      <c r="AO318" s="198"/>
      <c r="AP318" s="198"/>
      <c r="AQ318" s="199"/>
      <c r="AR318" s="198">
        <v>2713271</v>
      </c>
      <c r="AS318" s="198">
        <v>591215</v>
      </c>
      <c r="AT318" s="198">
        <v>293914</v>
      </c>
      <c r="AU318" s="198">
        <v>453575</v>
      </c>
      <c r="AV318" s="198">
        <v>915678</v>
      </c>
      <c r="AW318" s="198"/>
      <c r="AX318" s="198">
        <v>458889</v>
      </c>
      <c r="AY318" s="197">
        <v>116798185</v>
      </c>
      <c r="AZ318" s="198"/>
      <c r="BA318" s="198">
        <v>71780313</v>
      </c>
      <c r="BB318" s="198">
        <v>27975678</v>
      </c>
      <c r="BC318" s="198">
        <v>15950284</v>
      </c>
      <c r="BD318" s="198"/>
      <c r="BE318" s="198"/>
      <c r="BF318" s="197">
        <v>283469296.63999999</v>
      </c>
      <c r="BG318" s="198"/>
      <c r="BH318" s="198">
        <v>170593504.16999999</v>
      </c>
      <c r="BI318" s="198">
        <v>25118463.520000003</v>
      </c>
      <c r="BJ318" s="198">
        <v>79391717.100000024</v>
      </c>
      <c r="BK318" s="198">
        <v>8365611.8499999996</v>
      </c>
      <c r="BL318" s="198"/>
      <c r="BM318" s="197">
        <v>13806679.523</v>
      </c>
      <c r="BN318" s="198">
        <v>547968.58000000007</v>
      </c>
      <c r="BO318" s="198">
        <v>1345436.0390000001</v>
      </c>
      <c r="BP318" s="198">
        <v>4309187.284</v>
      </c>
      <c r="BQ318" s="198">
        <v>3978937.6260000002</v>
      </c>
      <c r="BR318" s="198"/>
      <c r="BS318" s="213">
        <v>3625149.9940000009</v>
      </c>
      <c r="BT318" s="198"/>
      <c r="BU318" s="198"/>
      <c r="BV318" s="198"/>
      <c r="BW318" s="198"/>
      <c r="BX318" s="198"/>
      <c r="BY318" s="198"/>
      <c r="BZ318" s="198"/>
      <c r="CA318" s="197">
        <v>942.69399999999996</v>
      </c>
      <c r="CB318" s="198"/>
      <c r="CC318" s="198"/>
      <c r="CD318" s="198"/>
      <c r="CE318" s="198"/>
      <c r="CF318" s="198"/>
      <c r="CG318" s="198"/>
      <c r="CH318" s="197">
        <v>21609099.360610001</v>
      </c>
      <c r="CI318" s="198"/>
      <c r="CJ318" s="198">
        <v>10457577.73954</v>
      </c>
      <c r="CK318" s="198">
        <v>1654937.4990999997</v>
      </c>
      <c r="CL318" s="198">
        <v>7512212.3478899999</v>
      </c>
      <c r="CM318" s="198">
        <v>1984371.7740799999</v>
      </c>
      <c r="CN318" s="198"/>
      <c r="CO318" s="197">
        <v>9916.9483785699977</v>
      </c>
      <c r="CP318" s="198">
        <v>1016.76115821</v>
      </c>
      <c r="CQ318" s="198">
        <v>1426.15322975</v>
      </c>
      <c r="CR318" s="198">
        <v>2274.8929788099999</v>
      </c>
      <c r="CS318" s="198">
        <v>3137.3851418200002</v>
      </c>
      <c r="CT318" s="198"/>
      <c r="CU318" s="198">
        <v>2061.7558699799984</v>
      </c>
      <c r="CV318" s="197">
        <v>1854.796</v>
      </c>
      <c r="CW318" s="198"/>
      <c r="CX318" s="198"/>
      <c r="CY318" s="198"/>
      <c r="CZ318" s="198"/>
      <c r="DA318" s="198"/>
      <c r="DB318" s="198"/>
      <c r="DC318" s="197">
        <v>125669.098</v>
      </c>
      <c r="DD318" s="198">
        <v>15177.147000000001</v>
      </c>
      <c r="DE318" s="198">
        <v>22653.505000000001</v>
      </c>
      <c r="DF318" s="198"/>
      <c r="DG318" s="198">
        <v>37853.714999999997</v>
      </c>
      <c r="DH318" s="198"/>
      <c r="DI318" s="198">
        <v>49984.731</v>
      </c>
      <c r="DJ318" s="197">
        <v>123176.90000000001</v>
      </c>
      <c r="DK318" s="198">
        <v>28903.9</v>
      </c>
      <c r="DL318" s="198">
        <v>32273.5</v>
      </c>
      <c r="DM318" s="198">
        <v>5978.1</v>
      </c>
      <c r="DN318" s="198">
        <v>19180.099999999999</v>
      </c>
      <c r="DO318" s="198"/>
      <c r="DP318" s="198">
        <v>36841.300000000003</v>
      </c>
      <c r="DQ318" s="197"/>
      <c r="DR318" s="198"/>
      <c r="DS318" s="198"/>
      <c r="DT318" s="198"/>
      <c r="DU318" s="198"/>
      <c r="DV318" s="198"/>
      <c r="DW318" s="198"/>
      <c r="DX318" s="197">
        <v>209004.54300060004</v>
      </c>
      <c r="DY318" s="198"/>
      <c r="DZ318" s="198">
        <v>138100.21020247001</v>
      </c>
      <c r="EA318" s="198">
        <v>33684.834715210003</v>
      </c>
      <c r="EB318" s="198">
        <v>35007.257998070003</v>
      </c>
      <c r="EC318" s="198">
        <v>2212.2400848500001</v>
      </c>
      <c r="ED318" s="198"/>
      <c r="EE318" s="197">
        <v>358939.72600000002</v>
      </c>
      <c r="EF318" s="198">
        <v>13025.903</v>
      </c>
      <c r="EG318" s="198">
        <v>73731.760999999999</v>
      </c>
      <c r="EH318" s="198">
        <v>22864.324000000001</v>
      </c>
      <c r="EI318" s="198">
        <v>168232.95999999999</v>
      </c>
      <c r="EJ318" s="198"/>
      <c r="EK318" s="198">
        <v>81084.778000000049</v>
      </c>
      <c r="EL318" s="197">
        <v>3028391.1134029999</v>
      </c>
      <c r="EM318" s="198">
        <v>1326125.840603</v>
      </c>
      <c r="EN318" s="198">
        <v>110407.28468499999</v>
      </c>
      <c r="EO318" s="198">
        <v>517699.82229000004</v>
      </c>
      <c r="EP318" s="198">
        <v>670940.65939199994</v>
      </c>
      <c r="EQ318" s="198"/>
      <c r="ER318" s="198">
        <v>403217.50643299997</v>
      </c>
      <c r="ES318" s="197">
        <v>84857.847464541206</v>
      </c>
      <c r="ET318" s="198">
        <v>11015.34461349</v>
      </c>
      <c r="EU318" s="198">
        <v>29714.768948910001</v>
      </c>
      <c r="EV318" s="198">
        <v>11319.032837729999</v>
      </c>
      <c r="EW318" s="198">
        <v>20353.614794009998</v>
      </c>
      <c r="EX318" s="198"/>
      <c r="EY318" s="198">
        <v>12455.086270401203</v>
      </c>
      <c r="EZ318" s="197">
        <v>37538.519586759998</v>
      </c>
      <c r="FA318" s="198">
        <v>1661.4988698899999</v>
      </c>
      <c r="FB318" s="198">
        <v>10182.263717039999</v>
      </c>
      <c r="FC318" s="198">
        <v>10159.575582240001</v>
      </c>
      <c r="FD318" s="198">
        <v>7168.6459058299897</v>
      </c>
      <c r="FE318" s="198">
        <v>0</v>
      </c>
      <c r="FF318" s="198">
        <v>8366.535511760012</v>
      </c>
      <c r="FG318" s="197">
        <v>52577505.919840999</v>
      </c>
      <c r="FH318" s="198">
        <v>5480568.0757269999</v>
      </c>
      <c r="FI318" s="198">
        <v>11518469.460594</v>
      </c>
      <c r="FJ318" s="198"/>
      <c r="FK318" s="198">
        <v>8025229.338436</v>
      </c>
      <c r="FL318" s="198"/>
      <c r="FM318" s="198">
        <v>27553239.045084</v>
      </c>
      <c r="FN318" s="197">
        <v>171385.42370300001</v>
      </c>
      <c r="FO318" s="198">
        <v>26588.741866</v>
      </c>
      <c r="FP318" s="198">
        <v>26116.886256999998</v>
      </c>
      <c r="FQ318" s="198">
        <v>28959.250831999998</v>
      </c>
      <c r="FR318" s="198">
        <v>29713.806732000001</v>
      </c>
      <c r="FS318" s="198"/>
      <c r="FT318" s="199">
        <v>60006.738016000018</v>
      </c>
      <c r="FU318" s="197">
        <v>659079.09432237013</v>
      </c>
      <c r="FV318" s="198">
        <v>42828.47621298991</v>
      </c>
      <c r="FW318" s="198">
        <v>96047.664942409974</v>
      </c>
      <c r="FX318" s="198">
        <v>140531.78849526006</v>
      </c>
      <c r="FY318" s="198">
        <v>139979.92923462027</v>
      </c>
      <c r="FZ318" s="198"/>
      <c r="GA318" s="199">
        <v>239691.23543708996</v>
      </c>
      <c r="GB318" s="197">
        <v>1813.412</v>
      </c>
      <c r="GC318" s="198"/>
      <c r="GD318" s="198"/>
      <c r="GE318" s="198"/>
      <c r="GF318" s="198"/>
      <c r="GG318" s="198"/>
      <c r="GH318" s="199"/>
      <c r="GI318" s="197">
        <v>1192.511</v>
      </c>
      <c r="GJ318" s="198"/>
      <c r="GK318" s="198"/>
      <c r="GL318" s="198"/>
      <c r="GM318" s="198"/>
      <c r="GN318" s="198"/>
      <c r="GO318" s="199"/>
      <c r="GP318" s="197">
        <v>4391.1120000000001</v>
      </c>
      <c r="GQ318" s="198"/>
      <c r="GR318" s="198"/>
      <c r="GS318" s="198"/>
      <c r="GT318" s="198"/>
      <c r="GU318" s="198"/>
      <c r="GV318" s="199"/>
      <c r="GW318" s="197">
        <v>5393.7</v>
      </c>
      <c r="GX318" s="198">
        <v>362.1</v>
      </c>
      <c r="GY318" s="198">
        <v>1436.1</v>
      </c>
      <c r="GZ318" s="198">
        <v>833.9</v>
      </c>
      <c r="HA318" s="198"/>
      <c r="HB318" s="198"/>
      <c r="HC318" s="199">
        <v>2761.6000000000004</v>
      </c>
      <c r="HD318" s="197"/>
      <c r="HE318" s="198"/>
      <c r="HF318" s="198"/>
      <c r="HG318" s="198"/>
      <c r="HH318" s="198"/>
      <c r="HI318" s="198"/>
      <c r="HJ318" s="198"/>
      <c r="HK318" s="208">
        <v>14588.744340000001</v>
      </c>
      <c r="HL318" s="198">
        <v>2234.5018509999995</v>
      </c>
      <c r="HM318" s="198">
        <v>1919.8000080000002</v>
      </c>
      <c r="HN318" s="198">
        <v>393.70933300000002</v>
      </c>
      <c r="HO318" s="198">
        <v>5160.5702380000002</v>
      </c>
      <c r="HP318" s="198"/>
      <c r="HQ318" s="198">
        <v>4880.1629100000009</v>
      </c>
      <c r="HR318" s="197">
        <v>650999.67799999996</v>
      </c>
      <c r="HS318" s="198">
        <v>61880.290999999997</v>
      </c>
      <c r="HT318" s="198">
        <v>244976.51</v>
      </c>
      <c r="HU318" s="198">
        <v>60432.385000000002</v>
      </c>
      <c r="HV318" s="198">
        <v>130395.5</v>
      </c>
      <c r="HW318" s="198">
        <v>36613.680999999997</v>
      </c>
      <c r="HX318" s="198">
        <v>114314.106</v>
      </c>
    </row>
    <row r="319" spans="1:234">
      <c r="A319" s="185" t="s">
        <v>490</v>
      </c>
      <c r="B319" s="198">
        <v>2725.1280000000002</v>
      </c>
      <c r="C319" s="198"/>
      <c r="D319" s="198"/>
      <c r="E319" s="198"/>
      <c r="F319" s="198"/>
      <c r="G319" s="198"/>
      <c r="H319" s="198"/>
      <c r="I319" s="197">
        <v>562781.1</v>
      </c>
      <c r="J319" s="198"/>
      <c r="K319" s="198"/>
      <c r="L319" s="198">
        <v>45541.599999999999</v>
      </c>
      <c r="M319" s="198">
        <v>98028.800000000003</v>
      </c>
      <c r="N319" s="198"/>
      <c r="O319" s="199">
        <v>371414.5</v>
      </c>
      <c r="P319" s="197">
        <v>6948.7150000000001</v>
      </c>
      <c r="Q319" s="198">
        <v>50.874000000000002</v>
      </c>
      <c r="R319" s="198">
        <v>345.11700000000002</v>
      </c>
      <c r="S319" s="198">
        <v>443.26600000000002</v>
      </c>
      <c r="T319" s="198">
        <v>5237.527</v>
      </c>
      <c r="U319" s="198"/>
      <c r="V319" s="199">
        <v>871.93100000000049</v>
      </c>
      <c r="W319" s="197">
        <v>5924.9</v>
      </c>
      <c r="X319" s="198">
        <v>109.577</v>
      </c>
      <c r="Y319" s="198">
        <v>834.81580000000008</v>
      </c>
      <c r="Z319" s="198">
        <v>194.86699999999999</v>
      </c>
      <c r="AA319" s="198">
        <v>3280.203</v>
      </c>
      <c r="AB319" s="198"/>
      <c r="AC319" s="199">
        <v>1505.4371999999989</v>
      </c>
      <c r="AD319" s="198"/>
      <c r="AE319" s="198">
        <v>22.39</v>
      </c>
      <c r="AF319" s="198">
        <v>282.44</v>
      </c>
      <c r="AG319" s="198">
        <v>777.31200000000001</v>
      </c>
      <c r="AH319" s="198">
        <v>437.54599999999999</v>
      </c>
      <c r="AI319" s="198">
        <v>73.784000000000006</v>
      </c>
      <c r="AJ319" s="198"/>
      <c r="AK319" s="197"/>
      <c r="AL319" s="198"/>
      <c r="AM319" s="198"/>
      <c r="AN319" s="198"/>
      <c r="AO319" s="198"/>
      <c r="AP319" s="198"/>
      <c r="AQ319" s="199"/>
      <c r="AR319" s="198">
        <v>2725652</v>
      </c>
      <c r="AS319" s="198">
        <v>593314</v>
      </c>
      <c r="AT319" s="198">
        <v>296139</v>
      </c>
      <c r="AU319" s="198">
        <v>462002</v>
      </c>
      <c r="AV319" s="198">
        <v>915563</v>
      </c>
      <c r="AW319" s="198"/>
      <c r="AX319" s="198">
        <v>458634</v>
      </c>
      <c r="AY319" s="197">
        <v>117848974</v>
      </c>
      <c r="AZ319" s="198"/>
      <c r="BA319" s="198">
        <v>72320333</v>
      </c>
      <c r="BB319" s="198">
        <v>28274867</v>
      </c>
      <c r="BC319" s="198">
        <v>15961273</v>
      </c>
      <c r="BD319" s="198"/>
      <c r="BE319" s="198"/>
      <c r="BF319" s="197">
        <v>287267052.12</v>
      </c>
      <c r="BG319" s="198"/>
      <c r="BH319" s="198">
        <v>173363859.31999999</v>
      </c>
      <c r="BI319" s="198">
        <v>25620702.979999997</v>
      </c>
      <c r="BJ319" s="198">
        <v>79878170.270000055</v>
      </c>
      <c r="BK319" s="198">
        <v>8404319.5499999989</v>
      </c>
      <c r="BL319" s="198"/>
      <c r="BM319" s="197">
        <v>14296450.691</v>
      </c>
      <c r="BN319" s="198">
        <v>590917.47499999998</v>
      </c>
      <c r="BO319" s="198">
        <v>1421259.8570000001</v>
      </c>
      <c r="BP319" s="198">
        <v>4444847.6529999999</v>
      </c>
      <c r="BQ319" s="198">
        <v>4084352.031</v>
      </c>
      <c r="BR319" s="198"/>
      <c r="BS319" s="199">
        <v>3755073.6750000007</v>
      </c>
      <c r="BT319" s="198"/>
      <c r="BU319" s="198"/>
      <c r="BV319" s="198"/>
      <c r="BW319" s="198"/>
      <c r="BX319" s="198"/>
      <c r="BY319" s="198"/>
      <c r="BZ319" s="198"/>
      <c r="CA319" s="197">
        <v>934.85400000000004</v>
      </c>
      <c r="CB319" s="198"/>
      <c r="CC319" s="198"/>
      <c r="CD319" s="198"/>
      <c r="CE319" s="198"/>
      <c r="CF319" s="198"/>
      <c r="CG319" s="198"/>
      <c r="CH319" s="197">
        <v>21909621.138559997</v>
      </c>
      <c r="CI319" s="198"/>
      <c r="CJ319" s="198">
        <v>10711681.296119999</v>
      </c>
      <c r="CK319" s="198">
        <v>1661717.8963000001</v>
      </c>
      <c r="CL319" s="198">
        <v>7551709.2711200006</v>
      </c>
      <c r="CM319" s="198">
        <v>1984512.67502</v>
      </c>
      <c r="CN319" s="198"/>
      <c r="CO319" s="197">
        <v>9927.9686528699986</v>
      </c>
      <c r="CP319" s="198">
        <v>999.17240281000022</v>
      </c>
      <c r="CQ319" s="198">
        <v>1409.4875459099999</v>
      </c>
      <c r="CR319" s="198">
        <v>2280.9154377799996</v>
      </c>
      <c r="CS319" s="198">
        <v>3165.83327749</v>
      </c>
      <c r="CT319" s="198"/>
      <c r="CU319" s="198">
        <v>2072.5599888799989</v>
      </c>
      <c r="CV319" s="197">
        <v>1845.6120000000001</v>
      </c>
      <c r="CW319" s="198"/>
      <c r="CX319" s="198"/>
      <c r="CY319" s="198"/>
      <c r="CZ319" s="198"/>
      <c r="DA319" s="198"/>
      <c r="DB319" s="198"/>
      <c r="DC319" s="197">
        <v>125266.36500000001</v>
      </c>
      <c r="DD319" s="198">
        <v>15306.136</v>
      </c>
      <c r="DE319" s="198">
        <v>22603.68</v>
      </c>
      <c r="DF319" s="198"/>
      <c r="DG319" s="198">
        <v>38248.294999999998</v>
      </c>
      <c r="DH319" s="198"/>
      <c r="DI319" s="198">
        <v>49108.254000000001</v>
      </c>
      <c r="DJ319" s="197">
        <v>123896.4</v>
      </c>
      <c r="DK319" s="198">
        <v>30083.4</v>
      </c>
      <c r="DL319" s="198">
        <v>32048.3</v>
      </c>
      <c r="DM319" s="198">
        <v>6344.2</v>
      </c>
      <c r="DN319" s="198">
        <v>18455.099999999999</v>
      </c>
      <c r="DO319" s="198"/>
      <c r="DP319" s="198">
        <v>36965.399999999994</v>
      </c>
      <c r="DQ319" s="197"/>
      <c r="DR319" s="198"/>
      <c r="DS319" s="198"/>
      <c r="DT319" s="198"/>
      <c r="DU319" s="198"/>
      <c r="DV319" s="198"/>
      <c r="DW319" s="198"/>
      <c r="DX319" s="197">
        <v>210451.97955315997</v>
      </c>
      <c r="DY319" s="198"/>
      <c r="DZ319" s="198">
        <v>139138.03857855996</v>
      </c>
      <c r="EA319" s="198">
        <v>33772.483128299995</v>
      </c>
      <c r="EB319" s="198">
        <v>35334.467871020002</v>
      </c>
      <c r="EC319" s="198">
        <v>2206.9899752799997</v>
      </c>
      <c r="ED319" s="198"/>
      <c r="EE319" s="197">
        <v>364516.02100000001</v>
      </c>
      <c r="EF319" s="198">
        <v>12992.234</v>
      </c>
      <c r="EG319" s="198">
        <v>73885.232999999993</v>
      </c>
      <c r="EH319" s="198">
        <v>23066.350999999999</v>
      </c>
      <c r="EI319" s="198">
        <v>170023.76800000001</v>
      </c>
      <c r="EJ319" s="198"/>
      <c r="EK319" s="198">
        <v>84548.434999999998</v>
      </c>
      <c r="EL319" s="197">
        <v>3028927.6592879994</v>
      </c>
      <c r="EM319" s="198">
        <v>1321804.2563749999</v>
      </c>
      <c r="EN319" s="198">
        <v>110743.106222</v>
      </c>
      <c r="EO319" s="198">
        <v>519897.5324139999</v>
      </c>
      <c r="EP319" s="198">
        <v>672448.93667799991</v>
      </c>
      <c r="EQ319" s="198"/>
      <c r="ER319" s="198">
        <v>404033.82759900001</v>
      </c>
      <c r="ES319" s="197">
        <v>86385.404805931015</v>
      </c>
      <c r="ET319" s="198">
        <v>11256.273606459999</v>
      </c>
      <c r="EU319" s="198">
        <v>30493.68760012</v>
      </c>
      <c r="EV319" s="198">
        <v>11541.25216889</v>
      </c>
      <c r="EW319" s="198">
        <v>20729.525949019997</v>
      </c>
      <c r="EX319" s="198"/>
      <c r="EY319" s="198">
        <v>12364.665481441014</v>
      </c>
      <c r="EZ319" s="197">
        <v>37728.643276529998</v>
      </c>
      <c r="FA319" s="198">
        <v>1706.58163281</v>
      </c>
      <c r="FB319" s="198">
        <v>10140.655814309999</v>
      </c>
      <c r="FC319" s="198">
        <v>10296.10016881</v>
      </c>
      <c r="FD319" s="198">
        <v>7201.2891193800097</v>
      </c>
      <c r="FE319" s="198">
        <v>0</v>
      </c>
      <c r="FF319" s="198">
        <v>8384.0165412199931</v>
      </c>
      <c r="FG319" s="197">
        <v>52147423.789480008</v>
      </c>
      <c r="FH319" s="198">
        <v>5338186.4007399995</v>
      </c>
      <c r="FI319" s="198">
        <v>11246109.083455</v>
      </c>
      <c r="FJ319" s="198"/>
      <c r="FK319" s="198">
        <v>8099895.1965220002</v>
      </c>
      <c r="FL319" s="198"/>
      <c r="FM319" s="198">
        <v>27463233.108763006</v>
      </c>
      <c r="FN319" s="197">
        <v>172324.76818099999</v>
      </c>
      <c r="FO319" s="198">
        <v>26600.334855000001</v>
      </c>
      <c r="FP319" s="198">
        <v>26028.781808</v>
      </c>
      <c r="FQ319" s="198">
        <v>29204.698699</v>
      </c>
      <c r="FR319" s="198">
        <v>29929.899344000001</v>
      </c>
      <c r="FS319" s="198"/>
      <c r="FT319" s="199">
        <v>60561.053474999993</v>
      </c>
      <c r="FU319" s="197">
        <v>679932.63727112988</v>
      </c>
      <c r="FV319" s="198">
        <v>45575.95728618998</v>
      </c>
      <c r="FW319" s="198">
        <v>92263.541765599977</v>
      </c>
      <c r="FX319" s="198">
        <v>142891.4693045399</v>
      </c>
      <c r="FY319" s="198">
        <v>141337.16400774993</v>
      </c>
      <c r="FZ319" s="198"/>
      <c r="GA319" s="199">
        <v>257864.50490705005</v>
      </c>
      <c r="GB319" s="197">
        <v>1796.787</v>
      </c>
      <c r="GC319" s="198"/>
      <c r="GD319" s="198"/>
      <c r="GE319" s="198"/>
      <c r="GF319" s="198"/>
      <c r="GG319" s="198"/>
      <c r="GH319" s="199"/>
      <c r="GI319" s="197">
        <v>1196.817</v>
      </c>
      <c r="GJ319" s="198"/>
      <c r="GK319" s="198"/>
      <c r="GL319" s="198"/>
      <c r="GM319" s="198"/>
      <c r="GN319" s="198"/>
      <c r="GO319" s="199"/>
      <c r="GP319" s="197">
        <v>4388.3270000000002</v>
      </c>
      <c r="GQ319" s="198"/>
      <c r="GR319" s="198"/>
      <c r="GS319" s="198"/>
      <c r="GT319" s="198"/>
      <c r="GU319" s="198"/>
      <c r="GV319" s="199"/>
      <c r="GW319" s="198">
        <v>5473.9</v>
      </c>
      <c r="GX319" s="198">
        <v>351.20000000000005</v>
      </c>
      <c r="GY319" s="198">
        <v>1436.8000000000002</v>
      </c>
      <c r="GZ319" s="198">
        <v>841.19999999999993</v>
      </c>
      <c r="HA319" s="198"/>
      <c r="HB319" s="198"/>
      <c r="HC319" s="198">
        <v>2844.7</v>
      </c>
      <c r="HD319" s="197"/>
      <c r="HE319" s="198"/>
      <c r="HF319" s="198"/>
      <c r="HG319" s="198"/>
      <c r="HH319" s="198"/>
      <c r="HI319" s="198"/>
      <c r="HJ319" s="198"/>
      <c r="HK319" s="197">
        <v>14706.135146000001</v>
      </c>
      <c r="HL319" s="198">
        <v>2213.7984970000002</v>
      </c>
      <c r="HM319" s="198">
        <v>1933.617056</v>
      </c>
      <c r="HN319" s="198">
        <v>390.33449699999994</v>
      </c>
      <c r="HO319" s="198">
        <v>5174.9369690000003</v>
      </c>
      <c r="HP319" s="198"/>
      <c r="HQ319" s="198">
        <v>4993.4481270000015</v>
      </c>
      <c r="HR319" s="197">
        <v>671217.804</v>
      </c>
      <c r="HS319" s="198">
        <v>68590.25</v>
      </c>
      <c r="HT319" s="198">
        <v>248932.26699999999</v>
      </c>
      <c r="HU319" s="198">
        <v>61225.252999999997</v>
      </c>
      <c r="HV319" s="198">
        <v>135645.57500000001</v>
      </c>
      <c r="HW319" s="198">
        <v>37146.923999999999</v>
      </c>
      <c r="HX319" s="198">
        <v>118295.444</v>
      </c>
    </row>
    <row r="320" spans="1:234">
      <c r="A320" s="185" t="s">
        <v>491</v>
      </c>
      <c r="B320" s="198">
        <v>2714.1120000000001</v>
      </c>
      <c r="C320" s="198">
        <v>34.520050000000005</v>
      </c>
      <c r="D320" s="198">
        <v>506.91899999999998</v>
      </c>
      <c r="E320" s="198">
        <v>812.10050999999999</v>
      </c>
      <c r="F320" s="198">
        <v>451.23693000000003</v>
      </c>
      <c r="G320" s="198"/>
      <c r="H320" s="198">
        <v>909.33551000000011</v>
      </c>
      <c r="I320" s="197">
        <v>564370.80000000005</v>
      </c>
      <c r="J320" s="198"/>
      <c r="K320" s="198"/>
      <c r="L320" s="198">
        <v>45699.4</v>
      </c>
      <c r="M320" s="198">
        <v>98345.2</v>
      </c>
      <c r="N320" s="198"/>
      <c r="O320" s="199">
        <v>372972.4</v>
      </c>
      <c r="P320" s="197">
        <v>6957.8789999999999</v>
      </c>
      <c r="Q320" s="198">
        <v>52.826999999999998</v>
      </c>
      <c r="R320" s="198">
        <v>342.18700000000001</v>
      </c>
      <c r="S320" s="198">
        <v>449.31200000000001</v>
      </c>
      <c r="T320" s="198">
        <v>5230.9679999999998</v>
      </c>
      <c r="U320" s="198"/>
      <c r="V320" s="199">
        <v>882.58500000000004</v>
      </c>
      <c r="W320" s="197">
        <v>5915.6210000000001</v>
      </c>
      <c r="X320" s="198">
        <v>113.551</v>
      </c>
      <c r="Y320" s="198">
        <v>721.64699999999993</v>
      </c>
      <c r="Z320" s="198">
        <v>193.05799999999999</v>
      </c>
      <c r="AA320" s="198">
        <v>3271.5619999999999</v>
      </c>
      <c r="AB320" s="198"/>
      <c r="AC320" s="199">
        <v>1615.8029999999999</v>
      </c>
      <c r="AD320" s="198">
        <v>2383.8130000000001</v>
      </c>
      <c r="AE320" s="198">
        <v>22.113</v>
      </c>
      <c r="AF320" s="198">
        <v>280.387</v>
      </c>
      <c r="AG320" s="198">
        <v>774.51700000000005</v>
      </c>
      <c r="AH320" s="198">
        <v>431.32100000000003</v>
      </c>
      <c r="AI320" s="198">
        <v>73.125</v>
      </c>
      <c r="AJ320" s="198">
        <v>802.35</v>
      </c>
      <c r="AK320" s="197">
        <v>85373.05</v>
      </c>
      <c r="AL320" s="198">
        <v>32441.758999999998</v>
      </c>
      <c r="AM320" s="198"/>
      <c r="AN320" s="198">
        <v>17074.61</v>
      </c>
      <c r="AO320" s="198">
        <v>11098.496500000001</v>
      </c>
      <c r="AP320" s="198">
        <v>24758.184499999999</v>
      </c>
      <c r="AQ320" s="199"/>
      <c r="AR320" s="198">
        <v>2752289</v>
      </c>
      <c r="AS320" s="198">
        <v>601185</v>
      </c>
      <c r="AT320" s="198">
        <v>297200</v>
      </c>
      <c r="AU320" s="198">
        <v>469776</v>
      </c>
      <c r="AV320" s="198">
        <v>920473</v>
      </c>
      <c r="AW320" s="198"/>
      <c r="AX320" s="198">
        <v>463655</v>
      </c>
      <c r="AY320" s="197">
        <v>117804599</v>
      </c>
      <c r="AZ320" s="198"/>
      <c r="BA320" s="198">
        <v>71935192</v>
      </c>
      <c r="BB320" s="198">
        <v>28653752</v>
      </c>
      <c r="BC320" s="198">
        <v>16203628</v>
      </c>
      <c r="BD320" s="198"/>
      <c r="BE320" s="198"/>
      <c r="BF320" s="197">
        <v>290078860.66999996</v>
      </c>
      <c r="BG320" s="198"/>
      <c r="BH320" s="198">
        <v>175127558.75999999</v>
      </c>
      <c r="BI320" s="198">
        <v>26027581.52</v>
      </c>
      <c r="BJ320" s="198">
        <v>80406806.63000001</v>
      </c>
      <c r="BK320" s="198">
        <v>8516913.7599999979</v>
      </c>
      <c r="BL320" s="198"/>
      <c r="BM320" s="197">
        <v>14493323.672</v>
      </c>
      <c r="BN320" s="198">
        <v>579767.77800000005</v>
      </c>
      <c r="BO320" s="198">
        <v>1446579.443</v>
      </c>
      <c r="BP320" s="198">
        <v>4491905.1390000004</v>
      </c>
      <c r="BQ320" s="198">
        <v>4128584.8679999998</v>
      </c>
      <c r="BR320" s="198"/>
      <c r="BS320" s="199">
        <v>3846486.4440000001</v>
      </c>
      <c r="BT320" s="198"/>
      <c r="BU320" s="198"/>
      <c r="BV320" s="198"/>
      <c r="BW320" s="198"/>
      <c r="BX320" s="198"/>
      <c r="BY320" s="198"/>
      <c r="BZ320" s="198"/>
      <c r="CA320" s="197">
        <v>936.44500000000005</v>
      </c>
      <c r="CB320" s="198">
        <v>39.287999999999997</v>
      </c>
      <c r="CC320" s="198">
        <v>154.172</v>
      </c>
      <c r="CD320" s="198">
        <v>273.48899999999998</v>
      </c>
      <c r="CE320" s="198">
        <v>167.22000000000003</v>
      </c>
      <c r="CF320" s="198"/>
      <c r="CG320" s="198">
        <v>302.27600000000001</v>
      </c>
      <c r="CH320" s="197">
        <v>22171393.927119996</v>
      </c>
      <c r="CI320" s="198"/>
      <c r="CJ320" s="198">
        <v>10898583.399879996</v>
      </c>
      <c r="CK320" s="198">
        <v>1676957.1645900002</v>
      </c>
      <c r="CL320" s="198">
        <v>7548655.0929300012</v>
      </c>
      <c r="CM320" s="198">
        <v>2047198.2697199997</v>
      </c>
      <c r="CN320" s="198"/>
      <c r="CO320" s="197">
        <v>10033.021081299999</v>
      </c>
      <c r="CP320" s="198">
        <v>1050.9776014699999</v>
      </c>
      <c r="CQ320" s="198">
        <v>1415.1207177499998</v>
      </c>
      <c r="CR320" s="198">
        <v>2290.9232895200003</v>
      </c>
      <c r="CS320" s="198">
        <v>3195.2929912299996</v>
      </c>
      <c r="CT320" s="198"/>
      <c r="CU320" s="198">
        <v>2080.7064813299994</v>
      </c>
      <c r="CV320" s="197">
        <v>1835.1189999999999</v>
      </c>
      <c r="CW320" s="198">
        <v>33.994</v>
      </c>
      <c r="CX320" s="198">
        <v>344.13400000000001</v>
      </c>
      <c r="CY320" s="198">
        <v>636.81899999999996</v>
      </c>
      <c r="CZ320" s="198">
        <v>543.14900000000011</v>
      </c>
      <c r="DA320" s="198"/>
      <c r="DB320" s="198">
        <v>277.02299999999991</v>
      </c>
      <c r="DC320" s="197">
        <v>126349.452</v>
      </c>
      <c r="DD320" s="198">
        <v>15658.513999999999</v>
      </c>
      <c r="DE320" s="198">
        <v>22903.205999999998</v>
      </c>
      <c r="DF320" s="198"/>
      <c r="DG320" s="198">
        <v>38677.504999999997</v>
      </c>
      <c r="DH320" s="198"/>
      <c r="DI320" s="198">
        <v>49110.227000000021</v>
      </c>
      <c r="DJ320" s="197">
        <v>124414</v>
      </c>
      <c r="DK320" s="198">
        <v>30233.3</v>
      </c>
      <c r="DL320" s="198">
        <v>32184.9</v>
      </c>
      <c r="DM320" s="198">
        <v>6426.4</v>
      </c>
      <c r="DN320" s="198">
        <v>18095.199999999997</v>
      </c>
      <c r="DO320" s="198"/>
      <c r="DP320" s="198">
        <v>37474.200000000012</v>
      </c>
      <c r="DQ320" s="197">
        <v>69.408926910000005</v>
      </c>
      <c r="DR320" s="198">
        <v>10.69107616</v>
      </c>
      <c r="DS320" s="198">
        <v>16.799799240000002</v>
      </c>
      <c r="DT320" s="198">
        <v>5.2769591500000006</v>
      </c>
      <c r="DU320" s="198">
        <v>8.3267077900000004</v>
      </c>
      <c r="DV320" s="198"/>
      <c r="DW320" s="198">
        <v>28.314384569999994</v>
      </c>
      <c r="DX320" s="197">
        <v>212587.32334970997</v>
      </c>
      <c r="DY320" s="198"/>
      <c r="DZ320" s="198">
        <v>137412.07162547996</v>
      </c>
      <c r="EA320" s="198">
        <v>33892.621017830003</v>
      </c>
      <c r="EB320" s="198">
        <v>35678.014716579994</v>
      </c>
      <c r="EC320" s="198">
        <v>5604.6159898200003</v>
      </c>
      <c r="ED320" s="198"/>
      <c r="EE320" s="197">
        <v>361913.00199999998</v>
      </c>
      <c r="EF320" s="198">
        <v>13284.28</v>
      </c>
      <c r="EG320" s="198">
        <v>73290.292000000001</v>
      </c>
      <c r="EH320" s="198">
        <v>23056.681</v>
      </c>
      <c r="EI320" s="198">
        <v>170844.81</v>
      </c>
      <c r="EJ320" s="198"/>
      <c r="EK320" s="198">
        <v>81436.938999999926</v>
      </c>
      <c r="EL320" s="197">
        <v>3046108.1155210007</v>
      </c>
      <c r="EM320" s="198">
        <v>1319861.581219</v>
      </c>
      <c r="EN320" s="198">
        <v>113002.72219700001</v>
      </c>
      <c r="EO320" s="198">
        <v>528232.16175700002</v>
      </c>
      <c r="EP320" s="198">
        <v>675279.29241100024</v>
      </c>
      <c r="EQ320" s="198"/>
      <c r="ER320" s="198">
        <v>409732.35793699999</v>
      </c>
      <c r="ES320" s="197">
        <v>87170.405879327911</v>
      </c>
      <c r="ET320" s="198">
        <v>12835.927175819999</v>
      </c>
      <c r="EU320" s="198">
        <v>30304.447956089996</v>
      </c>
      <c r="EV320" s="198">
        <v>11719.91859605</v>
      </c>
      <c r="EW320" s="198">
        <v>21028.056453839999</v>
      </c>
      <c r="EX320" s="198"/>
      <c r="EY320" s="198">
        <v>11282.055697527914</v>
      </c>
      <c r="EZ320" s="197">
        <v>37640.185392439998</v>
      </c>
      <c r="FA320" s="198">
        <v>1721.74718848</v>
      </c>
      <c r="FB320" s="198">
        <v>10208.47450651</v>
      </c>
      <c r="FC320" s="198">
        <v>10377.85533708</v>
      </c>
      <c r="FD320" s="198">
        <v>7259.1801960000003</v>
      </c>
      <c r="FE320" s="198">
        <v>0</v>
      </c>
      <c r="FF320" s="198">
        <v>8072.9281643699951</v>
      </c>
      <c r="FG320" s="197">
        <v>52526340.355204999</v>
      </c>
      <c r="FH320" s="198">
        <v>5366848.9410069985</v>
      </c>
      <c r="FI320" s="198">
        <v>11432323.088658001</v>
      </c>
      <c r="FJ320" s="198"/>
      <c r="FK320" s="198">
        <v>8193309.572296001</v>
      </c>
      <c r="FL320" s="198"/>
      <c r="FM320" s="198">
        <v>27533858.753244005</v>
      </c>
      <c r="FN320" s="197">
        <v>174527.62771</v>
      </c>
      <c r="FO320" s="198">
        <v>27100.276916999999</v>
      </c>
      <c r="FP320" s="198">
        <v>26308.389074999999</v>
      </c>
      <c r="FQ320" s="198">
        <v>29598.977145000001</v>
      </c>
      <c r="FR320" s="198">
        <v>30091.831557000001</v>
      </c>
      <c r="FS320" s="198"/>
      <c r="FT320" s="199">
        <v>61428.153015999997</v>
      </c>
      <c r="FU320" s="197">
        <v>696824.86288983026</v>
      </c>
      <c r="FV320" s="198">
        <v>46704.584219059972</v>
      </c>
      <c r="FW320" s="198">
        <v>89772.154940200038</v>
      </c>
      <c r="FX320" s="198">
        <v>143970.22834739002</v>
      </c>
      <c r="FY320" s="198">
        <v>142456.76215318037</v>
      </c>
      <c r="FZ320" s="198"/>
      <c r="GA320" s="199">
        <v>273921.1332299998</v>
      </c>
      <c r="GB320" s="197">
        <v>1792.568</v>
      </c>
      <c r="GC320" s="198">
        <v>31.166</v>
      </c>
      <c r="GD320" s="198">
        <v>204.63200000000001</v>
      </c>
      <c r="GE320" s="198">
        <v>483.5</v>
      </c>
      <c r="GF320" s="198">
        <v>430.33699999999999</v>
      </c>
      <c r="GG320" s="198"/>
      <c r="GH320" s="199">
        <v>642.93299999999999</v>
      </c>
      <c r="GI320" s="197">
        <v>1199.6500000000001</v>
      </c>
      <c r="GJ320" s="198">
        <v>34.218000000000004</v>
      </c>
      <c r="GK320" s="198">
        <v>160.15299999999999</v>
      </c>
      <c r="GL320" s="198">
        <v>438.89499999999998</v>
      </c>
      <c r="GM320" s="198">
        <v>364.35599999999999</v>
      </c>
      <c r="GN320" s="198"/>
      <c r="GO320" s="199">
        <v>202.02800000000002</v>
      </c>
      <c r="GP320" s="197">
        <v>4360.4120000000003</v>
      </c>
      <c r="GQ320" s="198">
        <v>96.375</v>
      </c>
      <c r="GR320" s="198">
        <v>1021.843</v>
      </c>
      <c r="GS320" s="198">
        <v>918.63800000000003</v>
      </c>
      <c r="GT320" s="198">
        <v>663.976</v>
      </c>
      <c r="GU320" s="198"/>
      <c r="GV320" s="199">
        <v>1659.5800000000004</v>
      </c>
      <c r="GW320" s="198">
        <v>5514.9</v>
      </c>
      <c r="GX320" s="198">
        <v>366.79999999999995</v>
      </c>
      <c r="GY320" s="198">
        <v>1415.1999999999998</v>
      </c>
      <c r="GZ320" s="198">
        <v>850.59999999999991</v>
      </c>
      <c r="HA320" s="198"/>
      <c r="HB320" s="198"/>
      <c r="HC320" s="198">
        <v>2882.3</v>
      </c>
      <c r="HD320" s="197">
        <v>53519.600000000006</v>
      </c>
      <c r="HE320" s="198">
        <v>3300.6</v>
      </c>
      <c r="HF320" s="198">
        <v>4404.8</v>
      </c>
      <c r="HG320" s="198">
        <v>14777.400000000001</v>
      </c>
      <c r="HH320" s="198">
        <v>13297.300000000001</v>
      </c>
      <c r="HI320" s="198"/>
      <c r="HJ320" s="198">
        <v>17739.5</v>
      </c>
      <c r="HK320" s="197">
        <v>14879.971726</v>
      </c>
      <c r="HL320" s="198">
        <v>2258.2940770000005</v>
      </c>
      <c r="HM320" s="198">
        <v>1950.979298</v>
      </c>
      <c r="HN320" s="198">
        <v>393.58529100000004</v>
      </c>
      <c r="HO320" s="198">
        <v>5250.1714240000001</v>
      </c>
      <c r="HP320" s="198"/>
      <c r="HQ320" s="198">
        <v>5026.9416359999996</v>
      </c>
      <c r="HR320" s="197">
        <v>707659.93700000003</v>
      </c>
      <c r="HS320" s="198">
        <v>74281.751999999993</v>
      </c>
      <c r="HT320" s="198">
        <v>262546.68699999998</v>
      </c>
      <c r="HU320" s="198">
        <v>62097.19</v>
      </c>
      <c r="HV320" s="198">
        <v>141878.378</v>
      </c>
      <c r="HW320" s="198">
        <v>38399.495999999999</v>
      </c>
      <c r="HX320" s="198">
        <v>128575.792</v>
      </c>
    </row>
    <row r="321" spans="1:234">
      <c r="A321" s="185" t="s">
        <v>492</v>
      </c>
      <c r="B321" s="198">
        <v>2699.183</v>
      </c>
      <c r="C321" s="198"/>
      <c r="D321" s="198"/>
      <c r="E321" s="198"/>
      <c r="F321" s="198"/>
      <c r="G321" s="198"/>
      <c r="H321" s="198"/>
      <c r="I321" s="197">
        <v>567393.80000000005</v>
      </c>
      <c r="J321" s="198"/>
      <c r="K321" s="198"/>
      <c r="L321" s="198">
        <v>45941.4</v>
      </c>
      <c r="M321" s="198">
        <v>98842.6</v>
      </c>
      <c r="N321" s="198"/>
      <c r="O321" s="199">
        <v>375204.9</v>
      </c>
      <c r="P321" s="197">
        <v>6997.6059999999998</v>
      </c>
      <c r="Q321" s="198">
        <v>50.652999999999999</v>
      </c>
      <c r="R321" s="198">
        <v>334.11799999999999</v>
      </c>
      <c r="S321" s="198">
        <v>441.49200000000002</v>
      </c>
      <c r="T321" s="198">
        <v>5233.9070000000002</v>
      </c>
      <c r="U321" s="198"/>
      <c r="V321" s="199">
        <v>937.43599999999878</v>
      </c>
      <c r="W321" s="197">
        <v>5888.2709999999997</v>
      </c>
      <c r="X321" s="198">
        <v>106.233</v>
      </c>
      <c r="Y321" s="198">
        <v>713.24800000000005</v>
      </c>
      <c r="Z321" s="198">
        <v>193.755</v>
      </c>
      <c r="AA321" s="198">
        <v>3271.3249999999998</v>
      </c>
      <c r="AB321" s="198"/>
      <c r="AC321" s="199">
        <v>1603.7099999999991</v>
      </c>
      <c r="AD321" s="198"/>
      <c r="AE321" s="198">
        <v>22.283999999999999</v>
      </c>
      <c r="AF321" s="198">
        <v>280.41399999999999</v>
      </c>
      <c r="AG321" s="198">
        <v>779.06500000000005</v>
      </c>
      <c r="AH321" s="198">
        <v>430.39600000000002</v>
      </c>
      <c r="AI321" s="198">
        <v>72.724999999999994</v>
      </c>
      <c r="AJ321" s="198"/>
      <c r="AK321" s="197"/>
      <c r="AL321" s="198"/>
      <c r="AM321" s="198"/>
      <c r="AN321" s="198"/>
      <c r="AO321" s="198"/>
      <c r="AP321" s="198"/>
      <c r="AQ321" s="199"/>
      <c r="AR321" s="198">
        <v>2771347</v>
      </c>
      <c r="AS321" s="198">
        <v>601820</v>
      </c>
      <c r="AT321" s="198">
        <v>297069</v>
      </c>
      <c r="AU321" s="198">
        <v>477886</v>
      </c>
      <c r="AV321" s="198">
        <v>926138</v>
      </c>
      <c r="AW321" s="198"/>
      <c r="AX321" s="198">
        <v>468434</v>
      </c>
      <c r="AY321" s="197">
        <v>119591694</v>
      </c>
      <c r="AZ321" s="198"/>
      <c r="BA321" s="198">
        <v>72697824</v>
      </c>
      <c r="BB321" s="198">
        <v>29104897</v>
      </c>
      <c r="BC321" s="198">
        <v>16419515</v>
      </c>
      <c r="BD321" s="198"/>
      <c r="BE321" s="198"/>
      <c r="BF321" s="197">
        <v>294133460.31999999</v>
      </c>
      <c r="BG321" s="198"/>
      <c r="BH321" s="198">
        <v>177746111.74000001</v>
      </c>
      <c r="BI321" s="198">
        <v>26487499.639999997</v>
      </c>
      <c r="BJ321" s="198">
        <v>81290943.649999991</v>
      </c>
      <c r="BK321" s="198">
        <v>8608905.290000001</v>
      </c>
      <c r="BL321" s="198"/>
      <c r="BM321" s="197">
        <v>14660060.103</v>
      </c>
      <c r="BN321" s="198">
        <v>597261.57200000004</v>
      </c>
      <c r="BO321" s="198">
        <v>1460041.486</v>
      </c>
      <c r="BP321" s="198">
        <v>4509506.182</v>
      </c>
      <c r="BQ321" s="198">
        <v>4212349.5209999997</v>
      </c>
      <c r="BR321" s="198"/>
      <c r="BS321" s="199">
        <v>3880901.3420000002</v>
      </c>
      <c r="BT321" s="198"/>
      <c r="BU321" s="198"/>
      <c r="BV321" s="198"/>
      <c r="BW321" s="198"/>
      <c r="BX321" s="198"/>
      <c r="BY321" s="198"/>
      <c r="BZ321" s="198"/>
      <c r="CA321" s="197">
        <v>942.19</v>
      </c>
      <c r="CB321" s="198"/>
      <c r="CC321" s="198"/>
      <c r="CD321" s="198"/>
      <c r="CE321" s="198"/>
      <c r="CF321" s="198"/>
      <c r="CG321" s="198"/>
      <c r="CH321" s="197">
        <v>22497369.574180007</v>
      </c>
      <c r="CI321" s="198"/>
      <c r="CJ321" s="198">
        <v>11221751.121850004</v>
      </c>
      <c r="CK321" s="198">
        <v>1691649.6184999999</v>
      </c>
      <c r="CL321" s="198">
        <v>7522940.7642600005</v>
      </c>
      <c r="CM321" s="198">
        <v>2061028.0695699998</v>
      </c>
      <c r="CN321" s="198"/>
      <c r="CO321" s="197">
        <v>10112.782385570001</v>
      </c>
      <c r="CP321" s="198">
        <v>1093.6720967799999</v>
      </c>
      <c r="CQ321" s="198">
        <v>1420.0374355599999</v>
      </c>
      <c r="CR321" s="198">
        <v>2291.8470388300002</v>
      </c>
      <c r="CS321" s="198">
        <v>3234.5611107499999</v>
      </c>
      <c r="CT321" s="198"/>
      <c r="CU321" s="198">
        <v>2072.6647036500017</v>
      </c>
      <c r="CV321" s="197">
        <v>1831.579</v>
      </c>
      <c r="CW321" s="198"/>
      <c r="CX321" s="198"/>
      <c r="CY321" s="198"/>
      <c r="CZ321" s="198"/>
      <c r="DA321" s="198"/>
      <c r="DB321" s="198"/>
      <c r="DC321" s="197">
        <v>127685.84699999999</v>
      </c>
      <c r="DD321" s="198">
        <v>15948.22</v>
      </c>
      <c r="DE321" s="198">
        <v>23202.661</v>
      </c>
      <c r="DF321" s="198"/>
      <c r="DG321" s="198">
        <v>39090.17</v>
      </c>
      <c r="DH321" s="198"/>
      <c r="DI321" s="198">
        <v>49444.795999999988</v>
      </c>
      <c r="DJ321" s="197">
        <v>127239.59999999999</v>
      </c>
      <c r="DK321" s="198">
        <v>31300.1</v>
      </c>
      <c r="DL321" s="198">
        <v>33717.4</v>
      </c>
      <c r="DM321" s="198">
        <v>6442.8</v>
      </c>
      <c r="DN321" s="198">
        <v>17659</v>
      </c>
      <c r="DO321" s="198"/>
      <c r="DP321" s="198">
        <v>38120.299999999988</v>
      </c>
      <c r="DQ321" s="197"/>
      <c r="DR321" s="198"/>
      <c r="DS321" s="198"/>
      <c r="DT321" s="198"/>
      <c r="DU321" s="198"/>
      <c r="DV321" s="198"/>
      <c r="DW321" s="198"/>
      <c r="DX321" s="197">
        <v>214019.05960393997</v>
      </c>
      <c r="DY321" s="198"/>
      <c r="DZ321" s="198">
        <v>141450.51730324997</v>
      </c>
      <c r="EA321" s="198">
        <v>33989.673192349997</v>
      </c>
      <c r="EB321" s="198">
        <v>36225.715138810003</v>
      </c>
      <c r="EC321" s="198">
        <v>2353.1539695300003</v>
      </c>
      <c r="ED321" s="198"/>
      <c r="EE321" s="197">
        <v>362514.25900000002</v>
      </c>
      <c r="EF321" s="198">
        <v>12463.521000000001</v>
      </c>
      <c r="EG321" s="198">
        <v>75560.91</v>
      </c>
      <c r="EH321" s="198">
        <v>23979.063999999998</v>
      </c>
      <c r="EI321" s="198">
        <v>169146.15100000001</v>
      </c>
      <c r="EJ321" s="198"/>
      <c r="EK321" s="198">
        <v>81364.612999999954</v>
      </c>
      <c r="EL321" s="197">
        <v>3049975.5283540008</v>
      </c>
      <c r="EM321" s="198">
        <v>1331063.2904259998</v>
      </c>
      <c r="EN321" s="198">
        <v>106369.39052000002</v>
      </c>
      <c r="EO321" s="198">
        <v>529698.66114599991</v>
      </c>
      <c r="EP321" s="198">
        <v>680679.38109300006</v>
      </c>
      <c r="EQ321" s="198"/>
      <c r="ER321" s="198">
        <v>402164.80516899994</v>
      </c>
      <c r="ES321" s="197">
        <v>88025.509869910296</v>
      </c>
      <c r="ET321" s="198">
        <v>13218.177293230001</v>
      </c>
      <c r="EU321" s="198">
        <v>30927.120636909996</v>
      </c>
      <c r="EV321" s="198">
        <v>11862.28903098</v>
      </c>
      <c r="EW321" s="198">
        <v>21405.97396566</v>
      </c>
      <c r="EX321" s="198"/>
      <c r="EY321" s="198">
        <v>10611.948943130294</v>
      </c>
      <c r="EZ321" s="197">
        <v>37882.921807619998</v>
      </c>
      <c r="FA321" s="198">
        <v>1746.8186871099999</v>
      </c>
      <c r="FB321" s="198">
        <v>10367.74456983</v>
      </c>
      <c r="FC321" s="198">
        <v>10496.22966651</v>
      </c>
      <c r="FD321" s="198">
        <v>7304.4714461100102</v>
      </c>
      <c r="FE321" s="198">
        <v>0</v>
      </c>
      <c r="FF321" s="198">
        <v>7967.6574380599905</v>
      </c>
      <c r="FG321" s="197">
        <v>52674856.874044009</v>
      </c>
      <c r="FH321" s="198">
        <v>5375960.8585180007</v>
      </c>
      <c r="FI321" s="198">
        <v>11391263.399224</v>
      </c>
      <c r="FJ321" s="198"/>
      <c r="FK321" s="198">
        <v>8207059.9603169998</v>
      </c>
      <c r="FL321" s="198"/>
      <c r="FM321" s="198">
        <v>27700572.655985013</v>
      </c>
      <c r="FN321" s="197">
        <v>176647.28639199998</v>
      </c>
      <c r="FO321" s="198">
        <v>27403.68319</v>
      </c>
      <c r="FP321" s="198">
        <v>26961.302691000001</v>
      </c>
      <c r="FQ321" s="198">
        <v>29809.830548999998</v>
      </c>
      <c r="FR321" s="198">
        <v>30312.049412</v>
      </c>
      <c r="FS321" s="198"/>
      <c r="FT321" s="199">
        <v>62160.420549999973</v>
      </c>
      <c r="FU321" s="197">
        <v>689088.79758620018</v>
      </c>
      <c r="FV321" s="198">
        <v>47655.940856010027</v>
      </c>
      <c r="FW321" s="198">
        <v>92638.342147330011</v>
      </c>
      <c r="FX321" s="198">
        <v>139429.73893486999</v>
      </c>
      <c r="FY321" s="198">
        <v>144185.6070247202</v>
      </c>
      <c r="FZ321" s="198"/>
      <c r="GA321" s="199">
        <v>265179.16862326988</v>
      </c>
      <c r="GB321" s="197">
        <v>1801.645</v>
      </c>
      <c r="GC321" s="198"/>
      <c r="GD321" s="198"/>
      <c r="GE321" s="198"/>
      <c r="GF321" s="198"/>
      <c r="GG321" s="198"/>
      <c r="GH321" s="199"/>
      <c r="GI321" s="197">
        <v>1187.057</v>
      </c>
      <c r="GJ321" s="198"/>
      <c r="GK321" s="198"/>
      <c r="GL321" s="198"/>
      <c r="GM321" s="198"/>
      <c r="GN321" s="198"/>
      <c r="GO321" s="199"/>
      <c r="GP321" s="197">
        <v>4354.3059999999996</v>
      </c>
      <c r="GQ321" s="198"/>
      <c r="GR321" s="198"/>
      <c r="GS321" s="198"/>
      <c r="GT321" s="198"/>
      <c r="GU321" s="198"/>
      <c r="GV321" s="199"/>
      <c r="GW321" s="198">
        <v>5555</v>
      </c>
      <c r="GX321" s="198">
        <v>376.7</v>
      </c>
      <c r="GY321" s="198">
        <v>1432.6999999999998</v>
      </c>
      <c r="GZ321" s="198">
        <v>854.69999999999993</v>
      </c>
      <c r="HA321" s="198"/>
      <c r="HB321" s="198"/>
      <c r="HC321" s="198">
        <v>2890.8999999999996</v>
      </c>
      <c r="HD321" s="197"/>
      <c r="HE321" s="198"/>
      <c r="HF321" s="198"/>
      <c r="HG321" s="198"/>
      <c r="HH321" s="198"/>
      <c r="HI321" s="198"/>
      <c r="HJ321" s="198"/>
      <c r="HK321" s="197">
        <v>15064.101410000001</v>
      </c>
      <c r="HL321" s="198">
        <v>2268.616442</v>
      </c>
      <c r="HM321" s="198">
        <v>2025.5092220000001</v>
      </c>
      <c r="HN321" s="198">
        <v>397.85427499999997</v>
      </c>
      <c r="HO321" s="198">
        <v>5229.7925590000004</v>
      </c>
      <c r="HP321" s="198"/>
      <c r="HQ321" s="198">
        <v>5142.3289119999999</v>
      </c>
      <c r="HR321" s="197">
        <v>740845.31499999994</v>
      </c>
      <c r="HS321" s="198">
        <v>77812.266000000003</v>
      </c>
      <c r="HT321" s="198">
        <v>275469.40399999998</v>
      </c>
      <c r="HU321" s="198">
        <v>63485.337</v>
      </c>
      <c r="HV321" s="198">
        <v>151672.34599999999</v>
      </c>
      <c r="HW321" s="198">
        <v>39819.446000000004</v>
      </c>
      <c r="HX321" s="198">
        <v>134384.50599999999</v>
      </c>
    </row>
    <row r="322" spans="1:234">
      <c r="A322" s="185" t="s">
        <v>493</v>
      </c>
      <c r="B322" s="198">
        <v>2693.0140000000001</v>
      </c>
      <c r="C322" s="198"/>
      <c r="D322" s="198"/>
      <c r="E322" s="198"/>
      <c r="F322" s="198"/>
      <c r="G322" s="198"/>
      <c r="H322" s="198"/>
      <c r="I322" s="197">
        <v>572288.1</v>
      </c>
      <c r="J322" s="198"/>
      <c r="K322" s="198"/>
      <c r="L322" s="198">
        <v>46210.3</v>
      </c>
      <c r="M322" s="198">
        <v>100252.7</v>
      </c>
      <c r="N322" s="198"/>
      <c r="O322" s="199">
        <v>378687.10000000003</v>
      </c>
      <c r="P322" s="197">
        <v>6988.0079999999998</v>
      </c>
      <c r="Q322" s="198">
        <v>51.305</v>
      </c>
      <c r="R322" s="198">
        <v>334.137</v>
      </c>
      <c r="S322" s="198">
        <v>441.06200000000001</v>
      </c>
      <c r="T322" s="198">
        <v>5237.0749999999998</v>
      </c>
      <c r="U322" s="198"/>
      <c r="V322" s="199">
        <v>924.42900000000009</v>
      </c>
      <c r="W322" s="197">
        <v>5909.1850000000004</v>
      </c>
      <c r="X322" s="198">
        <v>114.867</v>
      </c>
      <c r="Y322" s="198">
        <v>701.25700000000006</v>
      </c>
      <c r="Z322" s="198">
        <v>196.983</v>
      </c>
      <c r="AA322" s="198">
        <v>3270.9110000000001</v>
      </c>
      <c r="AB322" s="198"/>
      <c r="AC322" s="199">
        <v>1625.1669999999995</v>
      </c>
      <c r="AD322" s="198"/>
      <c r="AE322" s="198">
        <v>21.922000000000001</v>
      </c>
      <c r="AF322" s="198">
        <v>284.65800000000002</v>
      </c>
      <c r="AG322" s="198">
        <v>781.471</v>
      </c>
      <c r="AH322" s="198">
        <v>430.637</v>
      </c>
      <c r="AI322" s="198">
        <v>73.385999999999996</v>
      </c>
      <c r="AJ322" s="198"/>
      <c r="AK322" s="197"/>
      <c r="AL322" s="198"/>
      <c r="AM322" s="198"/>
      <c r="AN322" s="198"/>
      <c r="AO322" s="198"/>
      <c r="AP322" s="198"/>
      <c r="AQ322" s="199"/>
      <c r="AR322" s="198">
        <v>2798015</v>
      </c>
      <c r="AS322" s="198">
        <v>609378</v>
      </c>
      <c r="AT322" s="198">
        <v>296209</v>
      </c>
      <c r="AU322" s="198">
        <v>488929</v>
      </c>
      <c r="AV322" s="198">
        <v>934027</v>
      </c>
      <c r="AW322" s="198"/>
      <c r="AX322" s="198">
        <v>469472</v>
      </c>
      <c r="AY322" s="197">
        <v>120112081</v>
      </c>
      <c r="AZ322" s="198"/>
      <c r="BA322" s="198">
        <v>73005928</v>
      </c>
      <c r="BB322" s="198">
        <v>29483029</v>
      </c>
      <c r="BC322" s="198">
        <v>16415575</v>
      </c>
      <c r="BD322" s="198"/>
      <c r="BE322" s="198"/>
      <c r="BF322" s="197">
        <v>298457579.75000006</v>
      </c>
      <c r="BG322" s="198"/>
      <c r="BH322" s="198">
        <v>180448867.87</v>
      </c>
      <c r="BI322" s="198">
        <v>27015246.100000001</v>
      </c>
      <c r="BJ322" s="198">
        <v>82285222.050000012</v>
      </c>
      <c r="BK322" s="198">
        <v>8708243.7300000004</v>
      </c>
      <c r="BL322" s="198"/>
      <c r="BM322" s="197">
        <v>14849439.734999999</v>
      </c>
      <c r="BN322" s="198">
        <v>608127.67800000007</v>
      </c>
      <c r="BO322" s="198">
        <v>1475469.6160000002</v>
      </c>
      <c r="BP322" s="198">
        <v>4555792.8590000002</v>
      </c>
      <c r="BQ322" s="198">
        <v>4272506.6660000002</v>
      </c>
      <c r="BR322" s="198"/>
      <c r="BS322" s="199">
        <v>3937542.9159999974</v>
      </c>
      <c r="BT322" s="198"/>
      <c r="BU322" s="198"/>
      <c r="BV322" s="198"/>
      <c r="BW322" s="198"/>
      <c r="BX322" s="198"/>
      <c r="BY322" s="198"/>
      <c r="BZ322" s="198"/>
      <c r="CA322" s="197">
        <v>937.61199999999997</v>
      </c>
      <c r="CB322" s="198"/>
      <c r="CC322" s="198"/>
      <c r="CD322" s="198"/>
      <c r="CE322" s="198"/>
      <c r="CF322" s="198"/>
      <c r="CG322" s="198"/>
      <c r="CH322" s="197">
        <v>22573617.115039997</v>
      </c>
      <c r="CI322" s="198"/>
      <c r="CJ322" s="198">
        <v>11221121.321219999</v>
      </c>
      <c r="CK322" s="198">
        <v>1704153.8511299998</v>
      </c>
      <c r="CL322" s="198">
        <v>7574422.4050799981</v>
      </c>
      <c r="CM322" s="198">
        <v>2073919.5376100005</v>
      </c>
      <c r="CN322" s="198"/>
      <c r="CO322" s="197">
        <v>10109.27750323</v>
      </c>
      <c r="CP322" s="198">
        <v>1056.1263418399997</v>
      </c>
      <c r="CQ322" s="198">
        <v>1421.9950579799997</v>
      </c>
      <c r="CR322" s="198">
        <v>2294.83468021</v>
      </c>
      <c r="CS322" s="198">
        <v>3263.39524798</v>
      </c>
      <c r="CT322" s="198"/>
      <c r="CU322" s="198">
        <v>2072.9261752200009</v>
      </c>
      <c r="CV322" s="197">
        <v>1830.174</v>
      </c>
      <c r="CW322" s="198"/>
      <c r="CX322" s="198"/>
      <c r="CY322" s="198"/>
      <c r="CZ322" s="198"/>
      <c r="DA322" s="198"/>
      <c r="DB322" s="198"/>
      <c r="DC322" s="197">
        <v>128569.04700000001</v>
      </c>
      <c r="DD322" s="198">
        <v>15919.691000000001</v>
      </c>
      <c r="DE322" s="198">
        <v>23416.859</v>
      </c>
      <c r="DF322" s="198"/>
      <c r="DG322" s="198">
        <v>39552.574999999997</v>
      </c>
      <c r="DH322" s="198"/>
      <c r="DI322" s="198">
        <v>49679.922000000006</v>
      </c>
      <c r="DJ322" s="197">
        <v>126260.4</v>
      </c>
      <c r="DK322" s="198">
        <v>31511.4</v>
      </c>
      <c r="DL322" s="198">
        <v>31799.8</v>
      </c>
      <c r="DM322" s="198">
        <v>6588.9</v>
      </c>
      <c r="DN322" s="198">
        <v>17587.400000000001</v>
      </c>
      <c r="DO322" s="198"/>
      <c r="DP322" s="198">
        <v>38772.899999999994</v>
      </c>
      <c r="DQ322" s="197"/>
      <c r="DR322" s="198"/>
      <c r="DS322" s="198"/>
      <c r="DT322" s="198"/>
      <c r="DU322" s="198"/>
      <c r="DV322" s="198"/>
      <c r="DW322" s="198"/>
      <c r="DX322" s="197">
        <v>215106.70528875999</v>
      </c>
      <c r="DY322" s="198"/>
      <c r="DZ322" s="198">
        <v>141723.68882876998</v>
      </c>
      <c r="EA322" s="198">
        <v>33990.137020249997</v>
      </c>
      <c r="EB322" s="198">
        <v>36996.607614860004</v>
      </c>
      <c r="EC322" s="198">
        <v>2396.2718248799997</v>
      </c>
      <c r="ED322" s="198"/>
      <c r="EE322" s="197">
        <v>365776.35800000001</v>
      </c>
      <c r="EF322" s="198">
        <v>12940.571</v>
      </c>
      <c r="EG322" s="198">
        <v>74919.725000000006</v>
      </c>
      <c r="EH322" s="198">
        <v>24417.486000000001</v>
      </c>
      <c r="EI322" s="198">
        <v>170277.35200000001</v>
      </c>
      <c r="EJ322" s="198"/>
      <c r="EK322" s="198">
        <v>83221.224000000017</v>
      </c>
      <c r="EL322" s="197">
        <v>3107679.9696570002</v>
      </c>
      <c r="EM322" s="198">
        <v>1361046.8264609999</v>
      </c>
      <c r="EN322" s="198">
        <v>108008.77243400003</v>
      </c>
      <c r="EO322" s="198">
        <v>537080.84936599992</v>
      </c>
      <c r="EP322" s="198">
        <v>685613.69551600004</v>
      </c>
      <c r="EQ322" s="198"/>
      <c r="ER322" s="198">
        <v>415929.82588000002</v>
      </c>
      <c r="ES322" s="197">
        <v>89907.658188547794</v>
      </c>
      <c r="ET322" s="198">
        <v>14020.161148300002</v>
      </c>
      <c r="EU322" s="198">
        <v>31292.840424830003</v>
      </c>
      <c r="EV322" s="198">
        <v>12025.762607730001</v>
      </c>
      <c r="EW322" s="198">
        <v>22066.067898239999</v>
      </c>
      <c r="EX322" s="198"/>
      <c r="EY322" s="198">
        <v>10502.826109447786</v>
      </c>
      <c r="EZ322" s="197">
        <v>38297.03333685</v>
      </c>
      <c r="FA322" s="198">
        <v>1795.58643542</v>
      </c>
      <c r="FB322" s="198">
        <v>10483.78470665</v>
      </c>
      <c r="FC322" s="198">
        <v>10620.30415236</v>
      </c>
      <c r="FD322" s="198">
        <v>7366.46461791</v>
      </c>
      <c r="FE322" s="198">
        <v>0</v>
      </c>
      <c r="FF322" s="198">
        <v>8030.8934245099972</v>
      </c>
      <c r="FG322" s="197">
        <v>52825071.366159007</v>
      </c>
      <c r="FH322" s="198">
        <v>5472655.6567330016</v>
      </c>
      <c r="FI322" s="198">
        <v>11596819.066815</v>
      </c>
      <c r="FJ322" s="198"/>
      <c r="FK322" s="198">
        <v>8274263.2821500003</v>
      </c>
      <c r="FL322" s="198"/>
      <c r="FM322" s="198">
        <v>27481333.360461012</v>
      </c>
      <c r="FN322" s="197">
        <v>177246.76146200002</v>
      </c>
      <c r="FO322" s="198">
        <v>27433.593515999997</v>
      </c>
      <c r="FP322" s="198">
        <v>27348.055232000002</v>
      </c>
      <c r="FQ322" s="198">
        <v>29985.816476</v>
      </c>
      <c r="FR322" s="198">
        <v>30775.083695000001</v>
      </c>
      <c r="FS322" s="198"/>
      <c r="FT322" s="199">
        <v>61704.212543000038</v>
      </c>
      <c r="FU322" s="197">
        <v>676813.54400928982</v>
      </c>
      <c r="FV322" s="198">
        <v>48004.530283369975</v>
      </c>
      <c r="FW322" s="198">
        <v>95163.358576629878</v>
      </c>
      <c r="FX322" s="198">
        <v>142081.70932861007</v>
      </c>
      <c r="FY322" s="198">
        <v>146754.36841425986</v>
      </c>
      <c r="FZ322" s="198"/>
      <c r="GA322" s="199">
        <v>244809.57740642002</v>
      </c>
      <c r="GB322" s="197">
        <v>1795.0840000000001</v>
      </c>
      <c r="GC322" s="198"/>
      <c r="GD322" s="198"/>
      <c r="GE322" s="198"/>
      <c r="GF322" s="198"/>
      <c r="GG322" s="198"/>
      <c r="GH322" s="199"/>
      <c r="GI322" s="197">
        <v>1199.0329999999999</v>
      </c>
      <c r="GJ322" s="198"/>
      <c r="GK322" s="198"/>
      <c r="GL322" s="198"/>
      <c r="GM322" s="198"/>
      <c r="GN322" s="198"/>
      <c r="GO322" s="199"/>
      <c r="GP322" s="197">
        <v>4342.6490000000003</v>
      </c>
      <c r="GQ322" s="198"/>
      <c r="GR322" s="198"/>
      <c r="GS322" s="198"/>
      <c r="GT322" s="198"/>
      <c r="GU322" s="198"/>
      <c r="GV322" s="199"/>
      <c r="GW322" s="198">
        <v>5626.2</v>
      </c>
      <c r="GX322" s="198">
        <v>387.4</v>
      </c>
      <c r="GY322" s="198">
        <v>1451.2</v>
      </c>
      <c r="GZ322" s="198">
        <v>870.6</v>
      </c>
      <c r="HA322" s="198"/>
      <c r="HB322" s="198"/>
      <c r="HC322" s="198">
        <v>2916.9999999999995</v>
      </c>
      <c r="HD322" s="197"/>
      <c r="HE322" s="198"/>
      <c r="HF322" s="198"/>
      <c r="HG322" s="198"/>
      <c r="HH322" s="198"/>
      <c r="HI322" s="198"/>
      <c r="HJ322" s="198"/>
      <c r="HK322" s="197">
        <v>15297.326290999999</v>
      </c>
      <c r="HL322" s="198">
        <v>2252.3713390000003</v>
      </c>
      <c r="HM322" s="198">
        <v>2173.4965080000002</v>
      </c>
      <c r="HN322" s="198">
        <v>404.123469</v>
      </c>
      <c r="HO322" s="198">
        <v>5274.9558219999999</v>
      </c>
      <c r="HP322" s="198"/>
      <c r="HQ322" s="198">
        <v>5192.3791529999999</v>
      </c>
      <c r="HR322" s="197">
        <v>779919.28500000003</v>
      </c>
      <c r="HS322" s="198">
        <v>80285.038</v>
      </c>
      <c r="HT322" s="198">
        <v>292845.21600000001</v>
      </c>
      <c r="HU322" s="198">
        <v>64677.466</v>
      </c>
      <c r="HV322" s="198">
        <v>163061.071</v>
      </c>
      <c r="HW322" s="198">
        <v>41908.675000000003</v>
      </c>
      <c r="HX322" s="198">
        <v>140294.98000000001</v>
      </c>
    </row>
    <row r="323" spans="1:234">
      <c r="A323" s="185" t="s">
        <v>494</v>
      </c>
      <c r="B323" s="198">
        <v>2678.2420000000002</v>
      </c>
      <c r="C323" s="198">
        <v>36.460160000000002</v>
      </c>
      <c r="D323" s="198">
        <v>502.91995999999995</v>
      </c>
      <c r="E323" s="198">
        <v>804.62907000000007</v>
      </c>
      <c r="F323" s="198">
        <v>448.25426000000004</v>
      </c>
      <c r="G323" s="198"/>
      <c r="H323" s="198">
        <v>885.97855000000038</v>
      </c>
      <c r="I323" s="197">
        <v>583272.30000000005</v>
      </c>
      <c r="J323" s="198"/>
      <c r="K323" s="198"/>
      <c r="L323" s="198">
        <v>46930</v>
      </c>
      <c r="M323" s="198">
        <v>100942.2</v>
      </c>
      <c r="N323" s="198"/>
      <c r="O323" s="199">
        <v>387170.30000000005</v>
      </c>
      <c r="P323" s="197">
        <v>7003.0559999999996</v>
      </c>
      <c r="Q323" s="198">
        <v>51.831000000000003</v>
      </c>
      <c r="R323" s="198">
        <v>332.09800000000001</v>
      </c>
      <c r="S323" s="198">
        <v>435.39299999999997</v>
      </c>
      <c r="T323" s="198">
        <v>5237.8519999999999</v>
      </c>
      <c r="U323" s="198"/>
      <c r="V323" s="199">
        <v>945.88199999999961</v>
      </c>
      <c r="W323" s="197">
        <v>5929.5619999999999</v>
      </c>
      <c r="X323" s="198">
        <v>110.85899999999999</v>
      </c>
      <c r="Y323" s="198">
        <v>721.04600000000005</v>
      </c>
      <c r="Z323" s="198">
        <v>195.33799999999999</v>
      </c>
      <c r="AA323" s="198">
        <v>3272.9259999999999</v>
      </c>
      <c r="AB323" s="198"/>
      <c r="AC323" s="199">
        <v>1629.3929999999996</v>
      </c>
      <c r="AD323" s="198">
        <v>2344.203</v>
      </c>
      <c r="AE323" s="198">
        <v>18.425000000000001</v>
      </c>
      <c r="AF323" s="198">
        <v>287.07600000000002</v>
      </c>
      <c r="AG323" s="198">
        <v>785.95299999999997</v>
      </c>
      <c r="AH323" s="198">
        <v>430.33499999999998</v>
      </c>
      <c r="AI323" s="198">
        <v>71.576999999999998</v>
      </c>
      <c r="AJ323" s="198">
        <v>750.83699999999976</v>
      </c>
      <c r="AK323" s="197">
        <v>90265.33</v>
      </c>
      <c r="AL323" s="198">
        <v>35022.948040000003</v>
      </c>
      <c r="AM323" s="198"/>
      <c r="AN323" s="198">
        <v>18053.066000000003</v>
      </c>
      <c r="AO323" s="198">
        <v>11373.43158</v>
      </c>
      <c r="AP323" s="198">
        <v>25815.884379999996</v>
      </c>
      <c r="AQ323" s="199"/>
      <c r="AR323" s="198">
        <v>2824626</v>
      </c>
      <c r="AS323" s="198">
        <v>618737</v>
      </c>
      <c r="AT323" s="198">
        <v>297850</v>
      </c>
      <c r="AU323" s="198">
        <v>497368</v>
      </c>
      <c r="AV323" s="198">
        <v>939593</v>
      </c>
      <c r="AW323" s="198"/>
      <c r="AX323" s="198">
        <v>471078</v>
      </c>
      <c r="AY323" s="197">
        <v>120773575</v>
      </c>
      <c r="AZ323" s="198"/>
      <c r="BA323" s="198">
        <v>73236013</v>
      </c>
      <c r="BB323" s="198">
        <v>29833719</v>
      </c>
      <c r="BC323" s="198">
        <v>16457305</v>
      </c>
      <c r="BD323" s="198"/>
      <c r="BE323" s="198"/>
      <c r="BF323" s="197">
        <v>302567720.95999992</v>
      </c>
      <c r="BG323" s="198"/>
      <c r="BH323" s="198">
        <v>183437225.14999995</v>
      </c>
      <c r="BI323" s="198">
        <v>27443704.919999991</v>
      </c>
      <c r="BJ323" s="198">
        <v>82920915.76000002</v>
      </c>
      <c r="BK323" s="198">
        <v>8765875.1300000008</v>
      </c>
      <c r="BL323" s="198"/>
      <c r="BM323" s="197">
        <v>14882568.800000001</v>
      </c>
      <c r="BN323" s="198">
        <v>596308.16599999997</v>
      </c>
      <c r="BO323" s="198">
        <v>1476448.33</v>
      </c>
      <c r="BP323" s="198">
        <v>4564115.0540000005</v>
      </c>
      <c r="BQ323" s="198">
        <v>4326310.6909999996</v>
      </c>
      <c r="BR323" s="198"/>
      <c r="BS323" s="199">
        <v>3919386.5590000004</v>
      </c>
      <c r="BT323" s="198"/>
      <c r="BU323" s="198"/>
      <c r="BV323" s="198"/>
      <c r="BW323" s="198"/>
      <c r="BX323" s="198"/>
      <c r="BY323" s="198"/>
      <c r="BZ323" s="198"/>
      <c r="CA323" s="197">
        <v>925.94200000000001</v>
      </c>
      <c r="CB323" s="198">
        <v>37.728999999999999</v>
      </c>
      <c r="CC323" s="198">
        <v>150.279</v>
      </c>
      <c r="CD323" s="198">
        <v>275.66500000000002</v>
      </c>
      <c r="CE323" s="198">
        <v>167.26900000000001</v>
      </c>
      <c r="CF323" s="198"/>
      <c r="CG323" s="198">
        <v>294.99999999999994</v>
      </c>
      <c r="CH323" s="197">
        <v>22638819.131859995</v>
      </c>
      <c r="CJ323" s="198">
        <v>11224230.782019997</v>
      </c>
      <c r="CK323" s="198">
        <v>1669168.5848599998</v>
      </c>
      <c r="CL323" s="198">
        <v>7669550.8337399997</v>
      </c>
      <c r="CM323" s="198">
        <v>2075868.9312400001</v>
      </c>
      <c r="CN323" s="198"/>
      <c r="CO323" s="197">
        <v>10191.44443752</v>
      </c>
      <c r="CP323" s="198">
        <v>1052.3750592000004</v>
      </c>
      <c r="CQ323" s="198">
        <v>1414.9198864299999</v>
      </c>
      <c r="CR323" s="198">
        <v>2307.7686227099994</v>
      </c>
      <c r="CS323" s="198">
        <v>3295.0794901799995</v>
      </c>
      <c r="CT323" s="198"/>
      <c r="CU323" s="198">
        <v>2121.3013790000018</v>
      </c>
      <c r="CV323" s="197">
        <v>1821.1179999999999</v>
      </c>
      <c r="CW323" s="198">
        <v>33.728999999999999</v>
      </c>
      <c r="CX323" s="198">
        <v>335.39100000000002</v>
      </c>
      <c r="CY323" s="198">
        <v>630.27</v>
      </c>
      <c r="CZ323" s="198">
        <v>536.154</v>
      </c>
      <c r="DA323" s="198"/>
      <c r="DB323" s="198">
        <v>285.57399999999984</v>
      </c>
      <c r="DC323" s="197">
        <v>129896.65</v>
      </c>
      <c r="DD323" s="198">
        <v>15931.474</v>
      </c>
      <c r="DE323" s="198">
        <v>23147.415000000001</v>
      </c>
      <c r="DF323" s="198"/>
      <c r="DG323" s="198">
        <v>39960.095000000001</v>
      </c>
      <c r="DH323" s="198"/>
      <c r="DI323" s="198">
        <v>50857.665999999997</v>
      </c>
      <c r="DJ323" s="197">
        <v>126619.2</v>
      </c>
      <c r="DK323" s="198">
        <v>30751.200000000001</v>
      </c>
      <c r="DL323" s="198">
        <v>32760.400000000001</v>
      </c>
      <c r="DM323" s="198">
        <v>6536.4</v>
      </c>
      <c r="DN323" s="198">
        <v>17209.099999999999</v>
      </c>
      <c r="DO323" s="198"/>
      <c r="DP323" s="198">
        <v>39362.099999999991</v>
      </c>
      <c r="DQ323" s="197">
        <v>68.961918890000021</v>
      </c>
      <c r="DR323" s="198">
        <v>10.410109609999999</v>
      </c>
      <c r="DS323" s="198">
        <v>16.738468110000003</v>
      </c>
      <c r="DT323" s="198">
        <v>5.4995144099999997</v>
      </c>
      <c r="DU323" s="198">
        <v>7.8059525800000005</v>
      </c>
      <c r="DV323" s="198"/>
      <c r="DW323" s="198">
        <v>28.507874180000012</v>
      </c>
      <c r="DX323" s="197">
        <v>217937.12130326004</v>
      </c>
      <c r="DY323" s="198"/>
      <c r="DZ323" s="198">
        <v>144599.34034333003</v>
      </c>
      <c r="EA323" s="198">
        <v>34088.768518759993</v>
      </c>
      <c r="EB323" s="198">
        <v>36918.261730769998</v>
      </c>
      <c r="EC323" s="198">
        <v>2330.7507103999997</v>
      </c>
      <c r="ED323" s="198"/>
      <c r="EE323" s="197">
        <v>371099.00900000002</v>
      </c>
      <c r="EF323" s="198">
        <v>12499.362999999999</v>
      </c>
      <c r="EG323" s="198">
        <v>75872.948000000004</v>
      </c>
      <c r="EH323" s="198">
        <v>23948.621999999999</v>
      </c>
      <c r="EI323" s="198">
        <v>172351.06299999999</v>
      </c>
      <c r="EJ323" s="198"/>
      <c r="EK323" s="198">
        <v>86427.012999999977</v>
      </c>
      <c r="EL323" s="197">
        <v>3111690.6167140002</v>
      </c>
      <c r="EM323" s="198">
        <v>1358225.466279</v>
      </c>
      <c r="EN323" s="198">
        <v>110511.12876700003</v>
      </c>
      <c r="EO323" s="198">
        <v>539578.78951399995</v>
      </c>
      <c r="EP323" s="198">
        <v>690995.11248999997</v>
      </c>
      <c r="EQ323" s="198"/>
      <c r="ER323" s="198">
        <v>412380.119664</v>
      </c>
      <c r="ES323" s="197">
        <v>90568.79320713169</v>
      </c>
      <c r="ET323" s="198">
        <v>14030.059907409999</v>
      </c>
      <c r="EU323" s="198">
        <v>31142.224389359999</v>
      </c>
      <c r="EV323" s="198">
        <v>12217.633242919999</v>
      </c>
      <c r="EW323" s="198">
        <v>22571.10140077</v>
      </c>
      <c r="EX323" s="198"/>
      <c r="EY323" s="198">
        <v>10607.774266671695</v>
      </c>
      <c r="EZ323" s="197">
        <v>38573.324182370001</v>
      </c>
      <c r="FA323" s="198">
        <v>1848.6447449299999</v>
      </c>
      <c r="FB323" s="198">
        <v>10375.5822503</v>
      </c>
      <c r="FC323" s="198">
        <v>10721.153333099999</v>
      </c>
      <c r="FD323" s="198">
        <v>7403.1633654400102</v>
      </c>
      <c r="FE323" s="198">
        <v>0</v>
      </c>
      <c r="FF323" s="198">
        <v>8224.7804885999867</v>
      </c>
      <c r="FG323" s="197">
        <v>53417861.124301001</v>
      </c>
      <c r="FH323" s="198">
        <v>5487756.0394700011</v>
      </c>
      <c r="FI323" s="198">
        <v>11807783.992642999</v>
      </c>
      <c r="FJ323" s="198"/>
      <c r="FK323" s="198">
        <v>8222867.8503020005</v>
      </c>
      <c r="FL323" s="198"/>
      <c r="FM323" s="198">
        <v>27899453.241886001</v>
      </c>
      <c r="FN323" s="197">
        <v>180718.02482200001</v>
      </c>
      <c r="FO323" s="198">
        <v>28320.298028999998</v>
      </c>
      <c r="FP323" s="198">
        <v>27476.815569999999</v>
      </c>
      <c r="FQ323" s="198">
        <v>30506.325231999999</v>
      </c>
      <c r="FR323" s="198">
        <v>31184.742749000001</v>
      </c>
      <c r="FS323" s="198"/>
      <c r="FT323" s="199">
        <v>63229.843242000003</v>
      </c>
      <c r="FU323" s="197">
        <v>680667.32686384034</v>
      </c>
      <c r="FV323" s="198">
        <v>50384.848051129971</v>
      </c>
      <c r="FW323" s="198">
        <v>101118.37058205997</v>
      </c>
      <c r="FX323" s="198">
        <v>143098.65774444997</v>
      </c>
      <c r="FY323" s="198">
        <v>149842.76136341025</v>
      </c>
      <c r="FZ323" s="198"/>
      <c r="GA323" s="199">
        <v>236222.68912279021</v>
      </c>
      <c r="GB323" s="197">
        <v>1815.1079999999999</v>
      </c>
      <c r="GC323" s="198">
        <v>18.679189999999998</v>
      </c>
      <c r="GD323" s="198">
        <v>230.38409000000001</v>
      </c>
      <c r="GE323" s="198">
        <v>482.13166000000001</v>
      </c>
      <c r="GF323" s="198">
        <v>426.68648999999999</v>
      </c>
      <c r="GG323" s="198"/>
      <c r="GH323" s="199">
        <v>657.22656999999981</v>
      </c>
      <c r="GI323" s="197">
        <v>1198.2149999999999</v>
      </c>
      <c r="GJ323" s="198">
        <v>32.99</v>
      </c>
      <c r="GK323" s="198">
        <v>158.631</v>
      </c>
      <c r="GL323" s="198">
        <v>440.3</v>
      </c>
      <c r="GM323" s="198">
        <v>365.67500000000001</v>
      </c>
      <c r="GN323" s="198"/>
      <c r="GO323" s="199">
        <v>200.61899999999986</v>
      </c>
      <c r="GP323" s="197">
        <v>4400.7640000000001</v>
      </c>
      <c r="GQ323" s="198">
        <v>93.614999999999995</v>
      </c>
      <c r="GR323" s="198">
        <v>1019.3440000000001</v>
      </c>
      <c r="GS323" s="198">
        <v>967.447</v>
      </c>
      <c r="GT323" s="198">
        <v>668</v>
      </c>
      <c r="GU323" s="198"/>
      <c r="GV323" s="199">
        <v>1652.3580000000002</v>
      </c>
      <c r="GW323" s="198">
        <v>5588.4</v>
      </c>
      <c r="GX323" s="198">
        <v>376.6</v>
      </c>
      <c r="GY323" s="198">
        <v>1430.1999999999998</v>
      </c>
      <c r="GZ323" s="198">
        <v>870.4</v>
      </c>
      <c r="HA323" s="198"/>
      <c r="HB323" s="198"/>
      <c r="HC323" s="198">
        <v>2911.2</v>
      </c>
      <c r="HD323" s="197">
        <v>53748.1</v>
      </c>
      <c r="HE323" s="198">
        <v>3359.1</v>
      </c>
      <c r="HF323" s="198">
        <v>4717.3999999999996</v>
      </c>
      <c r="HG323" s="198">
        <v>15072.3</v>
      </c>
      <c r="HH323" s="198">
        <v>13517.099999999999</v>
      </c>
      <c r="HI323" s="198"/>
      <c r="HJ323" s="198">
        <v>17082.2</v>
      </c>
      <c r="HK323" s="197">
        <v>15246.247651000001</v>
      </c>
      <c r="HL323" s="198">
        <v>2251.1997930000002</v>
      </c>
      <c r="HM323" s="198">
        <v>2191.5027260000002</v>
      </c>
      <c r="HN323" s="198">
        <v>410.115858</v>
      </c>
      <c r="HO323" s="198">
        <v>5272.535589000001</v>
      </c>
      <c r="HP323" s="198"/>
      <c r="HQ323" s="198">
        <v>5120.8936850000009</v>
      </c>
      <c r="HR323" s="197">
        <v>823386.29099999997</v>
      </c>
      <c r="HS323" s="198">
        <v>86891.534</v>
      </c>
      <c r="HT323" s="198">
        <v>309653.94300000003</v>
      </c>
      <c r="HU323" s="198">
        <v>66364.748999999996</v>
      </c>
      <c r="HV323" s="198">
        <v>175051.85</v>
      </c>
      <c r="HW323" s="198">
        <v>43384.228999999999</v>
      </c>
      <c r="HX323" s="198">
        <v>146764.47399999999</v>
      </c>
    </row>
    <row r="324" spans="1:234">
      <c r="A324" s="185" t="s">
        <v>495</v>
      </c>
      <c r="B324" s="198">
        <v>2682.2</v>
      </c>
      <c r="C324" s="198"/>
      <c r="D324" s="198"/>
      <c r="E324" s="198"/>
      <c r="F324" s="198"/>
      <c r="G324" s="198"/>
      <c r="H324" s="198"/>
      <c r="I324" s="197">
        <v>587708.1</v>
      </c>
      <c r="J324" s="198"/>
      <c r="K324" s="198"/>
      <c r="L324" s="198">
        <v>47161.8</v>
      </c>
      <c r="M324" s="198">
        <v>102184.8</v>
      </c>
      <c r="N324" s="198"/>
      <c r="O324" s="199">
        <v>391241.7</v>
      </c>
      <c r="P324" s="197">
        <v>7129.3940000000002</v>
      </c>
      <c r="Q324" s="198">
        <v>54.35</v>
      </c>
      <c r="R324" s="198">
        <v>332.32799999999997</v>
      </c>
      <c r="S324" s="198">
        <v>431.97399999999999</v>
      </c>
      <c r="T324" s="198">
        <v>5250.7910000000002</v>
      </c>
      <c r="U324" s="198"/>
      <c r="V324" s="199">
        <v>1059.951</v>
      </c>
      <c r="W324" s="197">
        <v>5934.63</v>
      </c>
      <c r="X324" s="198">
        <v>106.895</v>
      </c>
      <c r="Y324" s="198">
        <v>719.37896000000001</v>
      </c>
      <c r="Z324" s="198">
        <v>198.13300000000001</v>
      </c>
      <c r="AA324" s="198">
        <v>3291.9050000000002</v>
      </c>
      <c r="AB324" s="198"/>
      <c r="AC324" s="199">
        <v>1618.3180399999997</v>
      </c>
      <c r="AD324" s="198"/>
      <c r="AE324" s="198">
        <v>21.271999999999998</v>
      </c>
      <c r="AF324" s="198">
        <v>287.08799999999997</v>
      </c>
      <c r="AG324" s="198">
        <v>790.66499999999996</v>
      </c>
      <c r="AH324" s="198">
        <v>432.28800000000001</v>
      </c>
      <c r="AI324" s="198">
        <v>72.186999999999998</v>
      </c>
      <c r="AJ324" s="198"/>
      <c r="AK324" s="197"/>
      <c r="AL324" s="198"/>
      <c r="AM324" s="198"/>
      <c r="AN324" s="198"/>
      <c r="AO324" s="198"/>
      <c r="AP324" s="198"/>
      <c r="AQ324" s="199"/>
      <c r="AR324" s="198">
        <v>2830844</v>
      </c>
      <c r="AS324" s="198">
        <v>618370</v>
      </c>
      <c r="AT324" s="198">
        <v>292466</v>
      </c>
      <c r="AU324" s="198">
        <v>506106</v>
      </c>
      <c r="AV324" s="198">
        <v>938932</v>
      </c>
      <c r="AW324" s="198"/>
      <c r="AX324" s="198">
        <v>474970</v>
      </c>
      <c r="AY324" s="197">
        <v>122102555</v>
      </c>
      <c r="AZ324" s="198"/>
      <c r="BA324" s="198">
        <v>73840312</v>
      </c>
      <c r="BB324" s="198">
        <v>30109743</v>
      </c>
      <c r="BC324" s="198">
        <v>16630578</v>
      </c>
      <c r="BD324" s="198"/>
      <c r="BE324" s="198"/>
      <c r="BF324" s="197">
        <v>304171184.06999993</v>
      </c>
      <c r="BG324" s="198"/>
      <c r="BH324" s="198">
        <v>183634522.37</v>
      </c>
      <c r="BI324" s="198">
        <v>27868925.300000001</v>
      </c>
      <c r="BJ324" s="198">
        <v>83816507.959999993</v>
      </c>
      <c r="BK324" s="198">
        <v>8851228.4400000013</v>
      </c>
      <c r="BL324" s="198"/>
      <c r="BM324" s="197">
        <v>15018374.818</v>
      </c>
      <c r="BN324" s="198">
        <v>602221.98</v>
      </c>
      <c r="BO324" s="198">
        <v>1483765.4970000002</v>
      </c>
      <c r="BP324" s="198">
        <v>4589186.7329999991</v>
      </c>
      <c r="BQ324" s="198">
        <v>4383156.9230000004</v>
      </c>
      <c r="BR324" s="198"/>
      <c r="BS324" s="199">
        <v>3960043.6850000005</v>
      </c>
      <c r="BT324" s="198"/>
      <c r="BU324" s="198"/>
      <c r="BV324" s="198"/>
      <c r="BW324" s="198"/>
      <c r="BX324" s="198"/>
      <c r="BY324" s="198"/>
      <c r="BZ324" s="198"/>
      <c r="CA324" s="197">
        <v>927.24800000000005</v>
      </c>
      <c r="CB324" s="198"/>
      <c r="CC324" s="198"/>
      <c r="CD324" s="198"/>
      <c r="CE324" s="198"/>
      <c r="CF324" s="198"/>
      <c r="CG324" s="198"/>
      <c r="CH324" s="197">
        <v>22770100.472770002</v>
      </c>
      <c r="CI324" s="198"/>
      <c r="CJ324" s="198">
        <v>11266957.547760002</v>
      </c>
      <c r="CK324" s="198">
        <v>1690832.3103199997</v>
      </c>
      <c r="CL324" s="198">
        <v>7726668.7463999996</v>
      </c>
      <c r="CM324" s="198">
        <v>2085641.8682900001</v>
      </c>
      <c r="CN324" s="198"/>
      <c r="CO324" s="197">
        <v>10172.357468680002</v>
      </c>
      <c r="CP324" s="198">
        <v>996.51664498000014</v>
      </c>
      <c r="CQ324" s="198">
        <v>1429.7019243800003</v>
      </c>
      <c r="CR324" s="198">
        <v>2308.6886683499997</v>
      </c>
      <c r="CS324" s="198">
        <v>3328.6798458399999</v>
      </c>
      <c r="CT324" s="198"/>
      <c r="CU324" s="198">
        <v>2108.7703851300021</v>
      </c>
      <c r="CV324" s="197">
        <v>1810.345</v>
      </c>
      <c r="CW324" s="198"/>
      <c r="CX324" s="198"/>
      <c r="CY324" s="198"/>
      <c r="CZ324" s="198"/>
      <c r="DA324" s="198"/>
      <c r="DB324" s="198"/>
      <c r="DC324" s="197">
        <v>131373.38399999999</v>
      </c>
      <c r="DD324" s="198">
        <v>16877.295999999998</v>
      </c>
      <c r="DE324" s="198">
        <v>22918.057000000001</v>
      </c>
      <c r="DF324" s="198"/>
      <c r="DG324" s="198">
        <v>40117.932999999997</v>
      </c>
      <c r="DH324" s="198"/>
      <c r="DI324" s="198">
        <v>51460.097999999991</v>
      </c>
      <c r="DJ324" s="197">
        <v>125692.3</v>
      </c>
      <c r="DK324" s="198">
        <v>30634.5</v>
      </c>
      <c r="DL324" s="198">
        <v>32884.199999999997</v>
      </c>
      <c r="DM324" s="198">
        <v>6393.6</v>
      </c>
      <c r="DN324" s="198">
        <v>17394.699999999997</v>
      </c>
      <c r="DO324" s="198"/>
      <c r="DP324" s="198">
        <v>38385.300000000003</v>
      </c>
      <c r="DQ324" s="197"/>
      <c r="DR324" s="198"/>
      <c r="DS324" s="198"/>
      <c r="DT324" s="198"/>
      <c r="DU324" s="198"/>
      <c r="DV324" s="198"/>
      <c r="DW324" s="198"/>
      <c r="DX324" s="197">
        <v>218490.7234588</v>
      </c>
      <c r="DY324" s="198"/>
      <c r="DZ324" s="198">
        <v>144546.09857490001</v>
      </c>
      <c r="EA324" s="198">
        <v>34206.003247419998</v>
      </c>
      <c r="EB324" s="198">
        <v>37263.097947539994</v>
      </c>
      <c r="EC324" s="198">
        <v>2475.5236889399998</v>
      </c>
      <c r="ED324" s="198"/>
      <c r="EE324" s="197">
        <v>377335.40100000001</v>
      </c>
      <c r="EF324" s="198">
        <v>12429.067999999999</v>
      </c>
      <c r="EG324" s="198">
        <v>79470.001999999993</v>
      </c>
      <c r="EH324" s="198">
        <v>24037.777999999998</v>
      </c>
      <c r="EI324" s="198">
        <v>174956</v>
      </c>
      <c r="EJ324" s="198"/>
      <c r="EK324" s="198">
        <v>86442.553000000014</v>
      </c>
      <c r="EL324" s="197">
        <v>3136824.8066179999</v>
      </c>
      <c r="EM324" s="198">
        <v>1365312.9761089999</v>
      </c>
      <c r="EN324" s="198">
        <v>108715.58268600002</v>
      </c>
      <c r="EO324" s="198">
        <v>538873.29585300002</v>
      </c>
      <c r="EP324" s="198">
        <v>695985.25701800012</v>
      </c>
      <c r="EQ324" s="198"/>
      <c r="ER324" s="198">
        <v>427937.69495200005</v>
      </c>
      <c r="ES324" s="197">
        <v>91495.164856444288</v>
      </c>
      <c r="ET324" s="198">
        <v>13885.578587030001</v>
      </c>
      <c r="EU324" s="198">
        <v>31335.386340159999</v>
      </c>
      <c r="EV324" s="198">
        <v>12464.010757849999</v>
      </c>
      <c r="EW324" s="198">
        <v>22937.60706658</v>
      </c>
      <c r="EX324" s="198"/>
      <c r="EY324" s="198">
        <v>10872.582104824287</v>
      </c>
      <c r="EZ324" s="197">
        <v>39013.989237139998</v>
      </c>
      <c r="FA324" s="198">
        <v>1935.5340658800001</v>
      </c>
      <c r="FB324" s="198">
        <v>10564.065228809999</v>
      </c>
      <c r="FC324" s="198">
        <v>10811.746218570001</v>
      </c>
      <c r="FD324" s="198">
        <v>7455.25150399001</v>
      </c>
      <c r="FE324" s="198">
        <v>0</v>
      </c>
      <c r="FF324" s="198">
        <v>8247.3922198899909</v>
      </c>
      <c r="FG324" s="197">
        <v>53944403.611155003</v>
      </c>
      <c r="FH324" s="198">
        <v>5620364.3233069992</v>
      </c>
      <c r="FI324" s="198">
        <v>11927263.324967999</v>
      </c>
      <c r="FJ324" s="198"/>
      <c r="FK324" s="198">
        <v>8345572.7113269996</v>
      </c>
      <c r="FL324" s="198"/>
      <c r="FM324" s="198">
        <v>28051203.251552999</v>
      </c>
      <c r="FN324" s="197">
        <v>181975.30573600001</v>
      </c>
      <c r="FO324" s="198">
        <v>28384.180173000001</v>
      </c>
      <c r="FP324" s="198">
        <v>27778.917594000002</v>
      </c>
      <c r="FQ324" s="198">
        <v>30629.017398</v>
      </c>
      <c r="FR324" s="198">
        <v>31091.692978999999</v>
      </c>
      <c r="FS324" s="198"/>
      <c r="FT324" s="199">
        <v>64091.497592000014</v>
      </c>
      <c r="FU324" s="197">
        <v>682495.70251404995</v>
      </c>
      <c r="FV324" s="198">
        <v>46501.932722539976</v>
      </c>
      <c r="FW324" s="198">
        <v>105526.67057323003</v>
      </c>
      <c r="FX324" s="198">
        <v>146966.84372983011</v>
      </c>
      <c r="FY324" s="198">
        <v>153463.19032023975</v>
      </c>
      <c r="FZ324" s="198"/>
      <c r="GA324" s="199">
        <v>230037.06516821007</v>
      </c>
      <c r="GB324" s="197">
        <v>1819.941</v>
      </c>
      <c r="GC324" s="198"/>
      <c r="GD324" s="198"/>
      <c r="GE324" s="198"/>
      <c r="GF324" s="198"/>
      <c r="GG324" s="198"/>
      <c r="GH324" s="199"/>
      <c r="GI324" s="197">
        <v>1197.316</v>
      </c>
      <c r="GJ324" s="198"/>
      <c r="GK324" s="198"/>
      <c r="GL324" s="198"/>
      <c r="GM324" s="198"/>
      <c r="GN324" s="198"/>
      <c r="GO324" s="199"/>
      <c r="GP324" s="197">
        <v>4352.2969999999996</v>
      </c>
      <c r="GQ324" s="198"/>
      <c r="GR324" s="198"/>
      <c r="GS324" s="198"/>
      <c r="GT324" s="198"/>
      <c r="GU324" s="198"/>
      <c r="GV324" s="199"/>
      <c r="GW324" s="198">
        <v>5918.2999999999993</v>
      </c>
      <c r="GX324" s="198">
        <v>382.20000000000005</v>
      </c>
      <c r="GY324" s="198">
        <v>1393.5</v>
      </c>
      <c r="GZ324" s="198">
        <v>868.4</v>
      </c>
      <c r="HA324" s="198"/>
      <c r="HB324" s="198"/>
      <c r="HC324" s="198">
        <v>3274.2</v>
      </c>
      <c r="HD324" s="197"/>
      <c r="HE324" s="198"/>
      <c r="HF324" s="198"/>
      <c r="HG324" s="198"/>
      <c r="HH324" s="198"/>
      <c r="HI324" s="198"/>
      <c r="HJ324" s="198"/>
      <c r="HK324" s="197">
        <v>14824.841593000001</v>
      </c>
      <c r="HL324" s="198">
        <v>2179.8136700000005</v>
      </c>
      <c r="HM324" s="198">
        <v>1999.3384420000002</v>
      </c>
      <c r="HN324" s="198">
        <v>419.44790799999998</v>
      </c>
      <c r="HO324" s="198">
        <v>5202.4630940000006</v>
      </c>
      <c r="HP324" s="198"/>
      <c r="HQ324" s="198">
        <v>5023.7784790000005</v>
      </c>
      <c r="HR324" s="197">
        <v>863340.30099999998</v>
      </c>
      <c r="HS324" s="198">
        <v>90478.422999999995</v>
      </c>
      <c r="HT324" s="198">
        <v>324545.011</v>
      </c>
      <c r="HU324" s="198">
        <v>67778.239000000001</v>
      </c>
      <c r="HV324" s="198">
        <v>187806.49799999999</v>
      </c>
      <c r="HW324" s="198">
        <v>45755.402999999998</v>
      </c>
      <c r="HX324" s="198">
        <v>153277.77100000001</v>
      </c>
    </row>
    <row r="325" spans="1:234">
      <c r="A325" s="185" t="s">
        <v>496</v>
      </c>
      <c r="B325" s="198">
        <v>2670.489</v>
      </c>
      <c r="C325" s="198"/>
      <c r="D325" s="198"/>
      <c r="E325" s="198"/>
      <c r="F325" s="198"/>
      <c r="G325" s="198"/>
      <c r="H325" s="198"/>
      <c r="I325" s="197">
        <v>596973.4</v>
      </c>
      <c r="J325" s="198"/>
      <c r="K325" s="198"/>
      <c r="L325" s="198">
        <v>47396</v>
      </c>
      <c r="M325" s="198">
        <v>104279.8</v>
      </c>
      <c r="N325" s="198"/>
      <c r="O325" s="199">
        <v>398509.5</v>
      </c>
      <c r="P325" s="197">
        <v>7150.8130000000001</v>
      </c>
      <c r="Q325" s="198">
        <v>47.656999999999996</v>
      </c>
      <c r="R325" s="198">
        <v>324.19400000000002</v>
      </c>
      <c r="S325" s="198">
        <v>438.09899999999999</v>
      </c>
      <c r="T325" s="198">
        <v>5262.72</v>
      </c>
      <c r="U325" s="198"/>
      <c r="V325" s="199">
        <v>1078.1429999999991</v>
      </c>
      <c r="W325" s="197">
        <v>5961.4589999999998</v>
      </c>
      <c r="X325" s="198">
        <v>105.726</v>
      </c>
      <c r="Y325" s="198">
        <v>744.45399999999995</v>
      </c>
      <c r="Z325" s="198">
        <v>208.054</v>
      </c>
      <c r="AA325" s="198">
        <v>3303.0970000000002</v>
      </c>
      <c r="AB325" s="198"/>
      <c r="AC325" s="199">
        <v>1600.1280000000002</v>
      </c>
      <c r="AD325" s="198"/>
      <c r="AE325" s="198">
        <v>19.236000000000001</v>
      </c>
      <c r="AF325" s="198">
        <v>286.45699999999999</v>
      </c>
      <c r="AG325" s="198">
        <v>795.471</v>
      </c>
      <c r="AH325" s="198">
        <v>436.55099999999999</v>
      </c>
      <c r="AI325" s="198">
        <v>72.977999999999994</v>
      </c>
      <c r="AJ325" s="198"/>
      <c r="AK325" s="197"/>
      <c r="AL325" s="198"/>
      <c r="AM325" s="198"/>
      <c r="AN325" s="198"/>
      <c r="AO325" s="198"/>
      <c r="AP325" s="198"/>
      <c r="AQ325" s="199"/>
      <c r="AR325" s="198">
        <v>2857674</v>
      </c>
      <c r="AS325" s="198">
        <v>626305</v>
      </c>
      <c r="AT325" s="198">
        <v>292580</v>
      </c>
      <c r="AU325" s="198">
        <v>515153</v>
      </c>
      <c r="AV325" s="198">
        <v>945622</v>
      </c>
      <c r="AW325" s="198"/>
      <c r="AX325" s="198">
        <v>478014</v>
      </c>
      <c r="AY325" s="197">
        <v>123396782</v>
      </c>
      <c r="AZ325" s="198"/>
      <c r="BA325" s="198">
        <v>74707163</v>
      </c>
      <c r="BB325" s="198">
        <v>30446106</v>
      </c>
      <c r="BC325" s="198">
        <v>16763609</v>
      </c>
      <c r="BD325" s="198"/>
      <c r="BE325" s="198"/>
      <c r="BF325" s="197">
        <v>306813805.38999993</v>
      </c>
      <c r="BG325" s="198"/>
      <c r="BH325" s="198">
        <v>184867955.03999993</v>
      </c>
      <c r="BI325" s="198">
        <v>28277920.32</v>
      </c>
      <c r="BJ325" s="198">
        <v>84740835.639999986</v>
      </c>
      <c r="BK325" s="198">
        <v>8927094.3899999987</v>
      </c>
      <c r="BL325" s="198"/>
      <c r="BM325" s="197">
        <v>15186551.835999999</v>
      </c>
      <c r="BN325" s="198">
        <v>607057.85699999996</v>
      </c>
      <c r="BO325" s="198">
        <v>1488221.6020000002</v>
      </c>
      <c r="BP325" s="198">
        <v>4639448.4869999997</v>
      </c>
      <c r="BQ325" s="198">
        <v>4452154.1739999996</v>
      </c>
      <c r="BR325" s="198"/>
      <c r="BS325" s="199">
        <v>3999669.7159999982</v>
      </c>
      <c r="BT325" s="198"/>
      <c r="BU325" s="198"/>
      <c r="BV325" s="198"/>
      <c r="BW325" s="198"/>
      <c r="BX325" s="198"/>
      <c r="BY325" s="198"/>
      <c r="BZ325" s="198"/>
      <c r="CA325" s="197">
        <v>932.08299999999997</v>
      </c>
      <c r="CB325" s="198"/>
      <c r="CC325" s="198"/>
      <c r="CD325" s="198"/>
      <c r="CE325" s="198"/>
      <c r="CF325" s="198"/>
      <c r="CG325" s="198"/>
      <c r="CH325" s="197">
        <v>22960458.88569</v>
      </c>
      <c r="CI325" s="198"/>
      <c r="CJ325" s="198">
        <v>11249709.112920003</v>
      </c>
      <c r="CK325" s="198">
        <v>1727172.38537</v>
      </c>
      <c r="CL325" s="198">
        <v>7885762.3049199991</v>
      </c>
      <c r="CM325" s="198">
        <v>2097815.0824799994</v>
      </c>
      <c r="CN325" s="198"/>
      <c r="CO325" s="197">
        <v>10285.22198762</v>
      </c>
      <c r="CP325" s="198">
        <v>1014.78280739</v>
      </c>
      <c r="CQ325" s="198">
        <v>1475.53100032</v>
      </c>
      <c r="CR325" s="198">
        <v>2316.6182946899999</v>
      </c>
      <c r="CS325" s="198">
        <v>3362.1722891200002</v>
      </c>
      <c r="CT325" s="198"/>
      <c r="CU325" s="198">
        <v>2116.1175960999994</v>
      </c>
      <c r="CV325" s="197">
        <v>1807.1559999999999</v>
      </c>
      <c r="CW325" s="198"/>
      <c r="CX325" s="198"/>
      <c r="CY325" s="198"/>
      <c r="CZ325" s="198"/>
      <c r="DA325" s="198"/>
      <c r="DB325" s="198"/>
      <c r="DC325" s="197">
        <v>131645.978</v>
      </c>
      <c r="DD325" s="198">
        <v>16583.606</v>
      </c>
      <c r="DE325" s="198">
        <v>23245.989000000001</v>
      </c>
      <c r="DF325" s="198"/>
      <c r="DG325" s="198">
        <v>40543.438999999998</v>
      </c>
      <c r="DH325" s="198"/>
      <c r="DI325" s="198">
        <v>51272.944000000003</v>
      </c>
      <c r="DJ325" s="197">
        <v>126448.59999999999</v>
      </c>
      <c r="DK325" s="198">
        <v>30877.600000000002</v>
      </c>
      <c r="DL325" s="198">
        <v>32670.799999999999</v>
      </c>
      <c r="DM325" s="198">
        <v>6456.9</v>
      </c>
      <c r="DN325" s="198">
        <v>17767</v>
      </c>
      <c r="DO325" s="198"/>
      <c r="DP325" s="198">
        <v>38676.299999999988</v>
      </c>
      <c r="DQ325" s="197"/>
      <c r="DR325" s="198"/>
      <c r="DS325" s="198"/>
      <c r="DT325" s="198"/>
      <c r="DU325" s="198"/>
      <c r="DV325" s="198"/>
      <c r="DW325" s="198"/>
      <c r="DX325" s="197">
        <v>220723.70080312999</v>
      </c>
      <c r="DY325" s="198"/>
      <c r="DZ325" s="198">
        <v>145770.49464018998</v>
      </c>
      <c r="EA325" s="198">
        <v>34329.44633056</v>
      </c>
      <c r="EB325" s="198">
        <v>38180.568733960004</v>
      </c>
      <c r="EC325" s="198">
        <v>2443.1910984199999</v>
      </c>
      <c r="ED325" s="198"/>
      <c r="EE325" s="197">
        <v>378424.35</v>
      </c>
      <c r="EF325" s="198">
        <v>12408.245999999999</v>
      </c>
      <c r="EG325" s="198">
        <v>80232.320999999996</v>
      </c>
      <c r="EH325" s="198">
        <v>24188.145</v>
      </c>
      <c r="EI325" s="198">
        <v>177310.573</v>
      </c>
      <c r="EJ325" s="198"/>
      <c r="EK325" s="198">
        <v>84285.065000000002</v>
      </c>
      <c r="EL325" s="197">
        <v>3161789.0407509999</v>
      </c>
      <c r="EM325" s="198">
        <v>1374285.1422580003</v>
      </c>
      <c r="EN325" s="198">
        <v>107289.39427400001</v>
      </c>
      <c r="EO325" s="198">
        <v>543557.92047100002</v>
      </c>
      <c r="EP325" s="198">
        <v>704396.46717000008</v>
      </c>
      <c r="EQ325" s="198"/>
      <c r="ER325" s="198">
        <v>432260.11657800002</v>
      </c>
      <c r="ES325" s="197">
        <v>92616.091691940004</v>
      </c>
      <c r="ET325" s="198">
        <v>13646.400205819999</v>
      </c>
      <c r="EU325" s="198">
        <v>31590.936575300002</v>
      </c>
      <c r="EV325" s="198">
        <v>12657.659116919998</v>
      </c>
      <c r="EW325" s="198">
        <v>23435.817849670002</v>
      </c>
      <c r="EX325" s="198"/>
      <c r="EY325" s="198">
        <v>11285.277944230005</v>
      </c>
      <c r="EZ325" s="197">
        <v>39607.306552820002</v>
      </c>
      <c r="FA325" s="198">
        <v>2019.34217741</v>
      </c>
      <c r="FB325" s="198">
        <v>10743.42465698</v>
      </c>
      <c r="FC325" s="198">
        <v>10982.014596270001</v>
      </c>
      <c r="FD325" s="198">
        <v>7525.4292380500101</v>
      </c>
      <c r="FE325" s="198">
        <v>0</v>
      </c>
      <c r="FF325" s="198">
        <v>8337.0958841099909</v>
      </c>
      <c r="FG325" s="197">
        <v>54231776.317535006</v>
      </c>
      <c r="FH325" s="198">
        <v>5633053.3246230008</v>
      </c>
      <c r="FI325" s="198">
        <v>12168298.706431001</v>
      </c>
      <c r="FJ325" s="198"/>
      <c r="FK325" s="198">
        <v>8474039.2558860015</v>
      </c>
      <c r="FL325" s="198"/>
      <c r="FM325" s="198">
        <v>27956385.030594997</v>
      </c>
      <c r="FN325" s="197">
        <v>183665.62278600002</v>
      </c>
      <c r="FO325" s="198">
        <v>28697.851170999998</v>
      </c>
      <c r="FP325" s="198">
        <v>28312.421302999999</v>
      </c>
      <c r="FQ325" s="198">
        <v>31087.783217999997</v>
      </c>
      <c r="FR325" s="198">
        <v>31399.220422999999</v>
      </c>
      <c r="FS325" s="198"/>
      <c r="FT325" s="199">
        <v>64168.346671000043</v>
      </c>
      <c r="FU325" s="197">
        <v>690268.22133133991</v>
      </c>
      <c r="FV325" s="198">
        <v>48261.461973090009</v>
      </c>
      <c r="FW325" s="198">
        <v>100664.70952809992</v>
      </c>
      <c r="FX325" s="198">
        <v>149944.44588463992</v>
      </c>
      <c r="FY325" s="198">
        <v>156998.9847450302</v>
      </c>
      <c r="FZ325" s="198"/>
      <c r="GA325" s="199">
        <v>234398.61920047997</v>
      </c>
      <c r="GB325" s="197">
        <v>1685.3489999999999</v>
      </c>
      <c r="GC325" s="198"/>
      <c r="GD325" s="198"/>
      <c r="GE325" s="198"/>
      <c r="GF325" s="198"/>
      <c r="GG325" s="198"/>
      <c r="GH325" s="199"/>
      <c r="GI325" s="197">
        <v>1197.634</v>
      </c>
      <c r="GJ325" s="198"/>
      <c r="GK325" s="198"/>
      <c r="GL325" s="198"/>
      <c r="GM325" s="198"/>
      <c r="GN325" s="198"/>
      <c r="GO325" s="199"/>
      <c r="GP325" s="197">
        <v>4330.8440000000001</v>
      </c>
      <c r="GQ325" s="198"/>
      <c r="GR325" s="198"/>
      <c r="GS325" s="198"/>
      <c r="GT325" s="198"/>
      <c r="GU325" s="198"/>
      <c r="GV325" s="199"/>
      <c r="GW325" s="198">
        <v>5958.2</v>
      </c>
      <c r="GX325" s="198">
        <v>382.4</v>
      </c>
      <c r="GY325" s="198">
        <v>1385.4</v>
      </c>
      <c r="GZ325" s="198">
        <v>875.30000000000007</v>
      </c>
      <c r="HA325" s="198"/>
      <c r="HB325" s="198"/>
      <c r="HC325" s="198">
        <v>3315.1000000000004</v>
      </c>
      <c r="HD325" s="197"/>
      <c r="HE325" s="198"/>
      <c r="HF325" s="198"/>
      <c r="HG325" s="198"/>
      <c r="HH325" s="198"/>
      <c r="HI325" s="198"/>
      <c r="HJ325" s="198"/>
      <c r="HK325" s="197">
        <v>14662.851997</v>
      </c>
      <c r="HL325" s="198">
        <v>2160.9750280000003</v>
      </c>
      <c r="HM325" s="198">
        <v>1912.03088</v>
      </c>
      <c r="HN325" s="198">
        <v>415.46470399999993</v>
      </c>
      <c r="HO325" s="198">
        <v>5141.6573410000001</v>
      </c>
      <c r="HP325" s="198"/>
      <c r="HQ325" s="198">
        <v>5032.7240439999987</v>
      </c>
      <c r="HR325" s="197">
        <v>911468.36100000003</v>
      </c>
      <c r="HS325" s="198">
        <v>95726.474000000002</v>
      </c>
      <c r="HT325" s="198">
        <v>340443.20199999999</v>
      </c>
      <c r="HU325" s="198">
        <v>69363.563999999998</v>
      </c>
      <c r="HV325" s="198">
        <v>205506.69699999999</v>
      </c>
      <c r="HW325" s="198">
        <v>47773.377</v>
      </c>
      <c r="HX325" s="198">
        <v>160628.96100000001</v>
      </c>
    </row>
    <row r="326" spans="1:234">
      <c r="A326" s="185" t="s">
        <v>497</v>
      </c>
      <c r="B326" s="198">
        <v>2647.8910000000001</v>
      </c>
      <c r="C326" s="198">
        <v>37.033999999999999</v>
      </c>
      <c r="D326" s="198">
        <v>483.73</v>
      </c>
      <c r="E326" s="198">
        <v>801.048</v>
      </c>
      <c r="F326" s="198">
        <v>452.24099999999999</v>
      </c>
      <c r="G326" s="198"/>
      <c r="H326" s="198">
        <v>873.83799999999997</v>
      </c>
      <c r="I326" s="197">
        <v>609596.4</v>
      </c>
      <c r="J326" s="198"/>
      <c r="K326" s="198"/>
      <c r="L326" s="198">
        <v>47795.3</v>
      </c>
      <c r="M326" s="198">
        <v>107714.9</v>
      </c>
      <c r="N326" s="198"/>
      <c r="O326" s="199">
        <v>406925</v>
      </c>
      <c r="P326" s="197">
        <v>7208.0360000000001</v>
      </c>
      <c r="Q326" s="198">
        <v>49.497</v>
      </c>
      <c r="R326" s="198">
        <v>327.29300000000001</v>
      </c>
      <c r="S326" s="198">
        <v>432.94400000000002</v>
      </c>
      <c r="T326" s="198">
        <v>5261.7209999999995</v>
      </c>
      <c r="U326" s="198"/>
      <c r="V326" s="199">
        <v>1136.5810000000001</v>
      </c>
      <c r="W326" s="197">
        <v>5943.741</v>
      </c>
      <c r="X326" s="198">
        <v>111.426</v>
      </c>
      <c r="Y326" s="198">
        <v>744.9190000000001</v>
      </c>
      <c r="Z326" s="198">
        <v>207.25399999999999</v>
      </c>
      <c r="AA326" s="198">
        <v>3306.6840000000002</v>
      </c>
      <c r="AB326" s="198"/>
      <c r="AC326" s="199">
        <v>1573.4579999999996</v>
      </c>
      <c r="AD326" s="198">
        <v>2384.8630000000003</v>
      </c>
      <c r="AE326" s="198">
        <v>21.635000000000002</v>
      </c>
      <c r="AF326" s="198">
        <v>285.12200000000001</v>
      </c>
      <c r="AG326" s="198">
        <v>797.0619999999999</v>
      </c>
      <c r="AH326" s="198">
        <v>436.06400000000002</v>
      </c>
      <c r="AI326" s="198">
        <v>73.361999999999995</v>
      </c>
      <c r="AJ326" s="198">
        <v>771.61800000000028</v>
      </c>
      <c r="AK326" s="197">
        <v>93575.22</v>
      </c>
      <c r="AL326" s="198">
        <v>35558.583599999998</v>
      </c>
      <c r="AM326" s="198"/>
      <c r="AN326" s="198">
        <v>19650.796199999997</v>
      </c>
      <c r="AO326" s="198">
        <v>11229.026400000001</v>
      </c>
      <c r="AP326" s="198">
        <v>27230.389019999999</v>
      </c>
      <c r="AQ326" s="199"/>
      <c r="AR326" s="198">
        <v>2896570</v>
      </c>
      <c r="AS326" s="198">
        <v>637104</v>
      </c>
      <c r="AT326" s="198">
        <v>295863</v>
      </c>
      <c r="AU326" s="198">
        <v>521165</v>
      </c>
      <c r="AV326" s="198">
        <v>951990</v>
      </c>
      <c r="AW326" s="198"/>
      <c r="AX326" s="198">
        <v>490448</v>
      </c>
      <c r="AY326" s="197">
        <v>123955944</v>
      </c>
      <c r="AZ326" s="198"/>
      <c r="BA326" s="198">
        <v>75054219</v>
      </c>
      <c r="BB326" s="198">
        <v>30809358</v>
      </c>
      <c r="BC326" s="198">
        <v>16814918</v>
      </c>
      <c r="BD326" s="198"/>
      <c r="BE326" s="198"/>
      <c r="BF326" s="197">
        <v>309432985.26000005</v>
      </c>
      <c r="BG326" s="198"/>
      <c r="BH326" s="198">
        <v>186236345.78000003</v>
      </c>
      <c r="BI326" s="198">
        <v>28237749.129999999</v>
      </c>
      <c r="BJ326" s="198">
        <v>85937412.670000017</v>
      </c>
      <c r="BK326" s="198">
        <v>9021477.6800000016</v>
      </c>
      <c r="BL326" s="198"/>
      <c r="BM326" s="197">
        <v>15296548.731199998</v>
      </c>
      <c r="BN326" s="198">
        <v>615339.27935999993</v>
      </c>
      <c r="BO326" s="198">
        <v>1549125.0779500008</v>
      </c>
      <c r="BP326" s="198">
        <v>4677793.6434099991</v>
      </c>
      <c r="BQ326" s="198">
        <v>4492983.2477300018</v>
      </c>
      <c r="BR326" s="198"/>
      <c r="BS326" s="198">
        <v>3961307.4827499967</v>
      </c>
      <c r="BT326" s="197"/>
      <c r="BU326" s="198"/>
      <c r="BV326" s="198"/>
      <c r="BW326" s="198"/>
      <c r="BX326" s="198"/>
      <c r="BY326" s="198"/>
      <c r="BZ326" s="198"/>
      <c r="CA326" s="197">
        <v>927.83600000000001</v>
      </c>
      <c r="CB326" s="198">
        <v>36.131</v>
      </c>
      <c r="CC326" s="198">
        <v>148.48699999999999</v>
      </c>
      <c r="CD326" s="198">
        <v>278.37700000000001</v>
      </c>
      <c r="CE326" s="198">
        <v>168.44900000000001</v>
      </c>
      <c r="CF326" s="198"/>
      <c r="CG326" s="198">
        <v>296.39200000000005</v>
      </c>
      <c r="CH326" s="197">
        <v>23079932.782200001</v>
      </c>
      <c r="CI326" s="198"/>
      <c r="CJ326" s="198">
        <v>11370584.72968</v>
      </c>
      <c r="CK326" s="198">
        <v>1727172.38537</v>
      </c>
      <c r="CL326" s="198">
        <v>7878469.7222100012</v>
      </c>
      <c r="CM326" s="198">
        <v>2103705.9449400003</v>
      </c>
      <c r="CN326" s="198"/>
      <c r="CO326" s="197">
        <v>10334.613224270001</v>
      </c>
      <c r="CP326" s="198">
        <v>1030.2412973099999</v>
      </c>
      <c r="CQ326" s="198">
        <v>1464.24133882</v>
      </c>
      <c r="CR326" s="198">
        <v>2320.7461857799999</v>
      </c>
      <c r="CS326" s="198">
        <v>3394.5569442000001</v>
      </c>
      <c r="CT326" s="198"/>
      <c r="CU326" s="198">
        <v>2124.8274581600003</v>
      </c>
      <c r="CV326" s="197">
        <v>1777.2180000000001</v>
      </c>
      <c r="CW326" s="198">
        <v>32.820999999999998</v>
      </c>
      <c r="CX326" s="198">
        <v>320.14400000000001</v>
      </c>
      <c r="CY326" s="198">
        <v>620.35799999999995</v>
      </c>
      <c r="CZ326" s="198">
        <v>533.21500000000015</v>
      </c>
      <c r="DA326" s="198"/>
      <c r="DB326" s="198">
        <v>270.68000000000006</v>
      </c>
      <c r="DC326" s="197">
        <v>132177.065</v>
      </c>
      <c r="DD326" s="198">
        <v>16456.733</v>
      </c>
      <c r="DE326" s="198">
        <v>23174.207999999999</v>
      </c>
      <c r="DF326" s="198"/>
      <c r="DG326" s="198">
        <v>40984.512999999999</v>
      </c>
      <c r="DH326" s="198"/>
      <c r="DI326" s="198">
        <v>51561.610999999997</v>
      </c>
      <c r="DJ326" s="197">
        <v>128062.40000000001</v>
      </c>
      <c r="DK326" s="198">
        <v>31621.200000000001</v>
      </c>
      <c r="DL326" s="198">
        <v>32418.400000000001</v>
      </c>
      <c r="DM326" s="198">
        <v>6420</v>
      </c>
      <c r="DN326" s="198">
        <v>17900</v>
      </c>
      <c r="DO326" s="198"/>
      <c r="DP326" s="198">
        <v>39702.800000000003</v>
      </c>
      <c r="DQ326" s="197">
        <v>74.712532979999992</v>
      </c>
      <c r="DR326" s="198">
        <v>12.047008299999998</v>
      </c>
      <c r="DS326" s="198">
        <v>18.316898909999995</v>
      </c>
      <c r="DT326" s="198">
        <v>5.7202450299999992</v>
      </c>
      <c r="DU326" s="198">
        <v>9.2376210800000003</v>
      </c>
      <c r="DV326" s="198"/>
      <c r="DW326" s="198">
        <v>29.390759659999997</v>
      </c>
      <c r="DX326" s="197">
        <v>222691.26139726001</v>
      </c>
      <c r="DY326" s="198"/>
      <c r="DZ326" s="198">
        <v>146263.23556385</v>
      </c>
      <c r="EA326" s="198">
        <v>34457.391598440008</v>
      </c>
      <c r="EB326" s="198">
        <v>39490.618794560003</v>
      </c>
      <c r="EC326" s="198">
        <v>2480.0154404099999</v>
      </c>
      <c r="ED326" s="198"/>
      <c r="EE326" s="197">
        <v>377269.71399999998</v>
      </c>
      <c r="EF326" s="198">
        <v>12574.035</v>
      </c>
      <c r="EG326" s="198">
        <v>78146.784</v>
      </c>
      <c r="EH326" s="198">
        <v>24130.861000000001</v>
      </c>
      <c r="EI326" s="198">
        <v>176720.66800000001</v>
      </c>
      <c r="EJ326" s="198"/>
      <c r="EK326" s="198">
        <v>85697.366000000038</v>
      </c>
      <c r="EL326" s="197">
        <v>3173937.0427869991</v>
      </c>
      <c r="EM326" s="198">
        <v>1378375.1951429998</v>
      </c>
      <c r="EN326" s="198">
        <v>111206.56644200001</v>
      </c>
      <c r="EO326" s="198">
        <v>548427.13910100015</v>
      </c>
      <c r="EP326" s="198">
        <v>705442.070129</v>
      </c>
      <c r="EQ326" s="198"/>
      <c r="ER326" s="198">
        <v>430486.07197200006</v>
      </c>
      <c r="ES326" s="197">
        <v>93765.056747809096</v>
      </c>
      <c r="ET326" s="198">
        <v>13118.621572760001</v>
      </c>
      <c r="EU326" s="198">
        <v>32280.054690420002</v>
      </c>
      <c r="EV326" s="198">
        <v>12834.929662269999</v>
      </c>
      <c r="EW326" s="198">
        <v>23830.178301119999</v>
      </c>
      <c r="EX326" s="198"/>
      <c r="EY326" s="198">
        <v>11701.272521239091</v>
      </c>
      <c r="EZ326" s="197">
        <v>39535.367160779999</v>
      </c>
      <c r="FA326" s="198">
        <v>2018.7162385500001</v>
      </c>
      <c r="FB326" s="198">
        <v>10874.469403859999</v>
      </c>
      <c r="FC326" s="198">
        <v>11117.467613229999</v>
      </c>
      <c r="FD326" s="198">
        <v>7600.2394783899999</v>
      </c>
      <c r="FE326" s="198">
        <v>0</v>
      </c>
      <c r="FF326" s="198">
        <v>7924.4744267500027</v>
      </c>
      <c r="FG326" s="197">
        <v>56397455.66929201</v>
      </c>
      <c r="FH326" s="198">
        <v>5920136.9490259998</v>
      </c>
      <c r="FI326" s="198">
        <v>13171717.638422001</v>
      </c>
      <c r="FJ326" s="198"/>
      <c r="FK326" s="198">
        <v>8639706.5556129999</v>
      </c>
      <c r="FL326" s="198"/>
      <c r="FM326" s="198">
        <v>28665894.526231017</v>
      </c>
      <c r="FN326" s="197">
        <v>185600.91727200002</v>
      </c>
      <c r="FO326" s="198">
        <v>29042.048675999999</v>
      </c>
      <c r="FP326" s="198">
        <v>28622.021522999999</v>
      </c>
      <c r="FQ326" s="198">
        <v>31635.636684999998</v>
      </c>
      <c r="FR326" s="198">
        <v>31806.188844</v>
      </c>
      <c r="FS326" s="198"/>
      <c r="FT326" s="199">
        <v>64495.021544000003</v>
      </c>
      <c r="FU326" s="197">
        <v>697621.66071100975</v>
      </c>
      <c r="FV326" s="198">
        <v>47454.701963159961</v>
      </c>
      <c r="FW326" s="198">
        <v>99432.171048939927</v>
      </c>
      <c r="FX326" s="198">
        <v>152617.23538690992</v>
      </c>
      <c r="FY326" s="198">
        <v>159810.80870455009</v>
      </c>
      <c r="FZ326" s="198"/>
      <c r="GA326" s="199">
        <v>238306.74360744987</v>
      </c>
      <c r="GB326" s="197">
        <v>1687.4639999999999</v>
      </c>
      <c r="GC326" s="198">
        <v>17.832000000000001</v>
      </c>
      <c r="GD326" s="198">
        <v>243.905</v>
      </c>
      <c r="GE326" s="198">
        <v>468.02100000000002</v>
      </c>
      <c r="GF326" s="198">
        <v>438.77799999999996</v>
      </c>
      <c r="GG326" s="198"/>
      <c r="GH326" s="199">
        <v>518.92799999999988</v>
      </c>
      <c r="GI326" s="197">
        <v>1191.0920000000001</v>
      </c>
      <c r="GJ326" s="198">
        <v>32.236400000000003</v>
      </c>
      <c r="GK326" s="198">
        <v>158.63896</v>
      </c>
      <c r="GL326" s="198">
        <v>442.81609999999995</v>
      </c>
      <c r="GM326" s="198">
        <v>367.96765000000011</v>
      </c>
      <c r="GN326" s="198"/>
      <c r="GO326" s="199">
        <v>189.43288999999999</v>
      </c>
      <c r="GP326" s="197">
        <v>4272.1260000000002</v>
      </c>
      <c r="GQ326" s="198">
        <v>93.994</v>
      </c>
      <c r="GR326" s="198">
        <v>950.673</v>
      </c>
      <c r="GS326" s="198">
        <v>952.08699999999999</v>
      </c>
      <c r="GT326" s="198">
        <v>673.30799999999999</v>
      </c>
      <c r="GU326" s="198"/>
      <c r="GV326" s="199">
        <v>1602.0640000000008</v>
      </c>
      <c r="GW326" s="198">
        <v>6011.3</v>
      </c>
      <c r="GX326" s="198">
        <v>396</v>
      </c>
      <c r="GY326" s="198">
        <v>1373.9</v>
      </c>
      <c r="GZ326" s="198">
        <v>874.2</v>
      </c>
      <c r="HA326" s="198"/>
      <c r="HB326" s="198"/>
      <c r="HC326" s="198">
        <v>3367.2</v>
      </c>
      <c r="HD326" s="197">
        <v>54520</v>
      </c>
      <c r="HE326" s="198">
        <v>3213.7</v>
      </c>
      <c r="HF326" s="198">
        <v>4469.6000000000004</v>
      </c>
      <c r="HG326" s="198">
        <v>15747.8</v>
      </c>
      <c r="HH326" s="198">
        <v>13704.699999999999</v>
      </c>
      <c r="HI326" s="214"/>
      <c r="HJ326" s="198">
        <v>17384.200000000004</v>
      </c>
      <c r="HK326" s="197">
        <v>14530.266927999997</v>
      </c>
      <c r="HL326" s="198">
        <v>2036.9951779999999</v>
      </c>
      <c r="HM326" s="198">
        <v>1947.7646930000001</v>
      </c>
      <c r="HN326" s="198">
        <v>420.51948200000004</v>
      </c>
      <c r="HO326" s="198">
        <v>5020.414745</v>
      </c>
      <c r="HP326" s="198"/>
      <c r="HQ326" s="198">
        <v>5104.5728299999992</v>
      </c>
      <c r="HR326" s="197">
        <v>961971.98600000003</v>
      </c>
      <c r="HS326" s="198">
        <v>101306.16899999999</v>
      </c>
      <c r="HT326" s="198">
        <v>353290.94699999999</v>
      </c>
      <c r="HU326" s="198">
        <v>70994.539000000004</v>
      </c>
      <c r="HV326" s="198">
        <v>226811.068</v>
      </c>
      <c r="HW326" s="198">
        <v>49373.302000000003</v>
      </c>
      <c r="HX326" s="198">
        <v>170319.51199999999</v>
      </c>
    </row>
    <row r="327" spans="1:234">
      <c r="A327" s="185" t="s">
        <v>498</v>
      </c>
      <c r="B327" s="198">
        <v>2633.11</v>
      </c>
      <c r="C327" s="198"/>
      <c r="D327" s="198"/>
      <c r="E327" s="198"/>
      <c r="F327" s="198"/>
      <c r="G327" s="198"/>
      <c r="H327" s="198"/>
      <c r="I327" s="197">
        <v>617454</v>
      </c>
      <c r="J327" s="198"/>
      <c r="K327" s="198"/>
      <c r="L327" s="198">
        <v>48055.3</v>
      </c>
      <c r="M327" s="198">
        <v>110961.9</v>
      </c>
      <c r="N327" s="198"/>
      <c r="O327" s="199">
        <v>412975.69999999995</v>
      </c>
      <c r="P327" s="197">
        <v>7053.424</v>
      </c>
      <c r="Q327" s="198">
        <v>36.933999999999997</v>
      </c>
      <c r="R327" s="198">
        <v>307.29599999999999</v>
      </c>
      <c r="S327" s="198">
        <v>396.36200000000002</v>
      </c>
      <c r="T327" s="198">
        <v>5244.576</v>
      </c>
      <c r="U327" s="198"/>
      <c r="V327" s="199">
        <v>1068.2559999999994</v>
      </c>
      <c r="W327" s="197">
        <v>5974.6559999999999</v>
      </c>
      <c r="X327" s="198">
        <v>121.09</v>
      </c>
      <c r="Y327" s="198">
        <v>744.26700000000005</v>
      </c>
      <c r="Z327" s="198">
        <v>208.91499999999999</v>
      </c>
      <c r="AA327" s="198">
        <v>3306.596</v>
      </c>
      <c r="AB327" s="198"/>
      <c r="AC327" s="199">
        <v>1593.788</v>
      </c>
      <c r="AD327" s="198"/>
      <c r="AE327" s="198">
        <v>20.518999999999998</v>
      </c>
      <c r="AF327" s="198">
        <v>292.95799999999997</v>
      </c>
      <c r="AG327" s="198">
        <v>799.51499999999987</v>
      </c>
      <c r="AH327" s="198">
        <v>436.56200000000001</v>
      </c>
      <c r="AI327" s="198">
        <v>73.787000000000006</v>
      </c>
      <c r="AJ327" s="198"/>
      <c r="AK327" s="197"/>
      <c r="AL327" s="198"/>
      <c r="AM327" s="198"/>
      <c r="AN327" s="198"/>
      <c r="AO327" s="198"/>
      <c r="AP327" s="198"/>
      <c r="AQ327" s="199"/>
      <c r="AR327" s="198">
        <v>2919447</v>
      </c>
      <c r="AS327" s="198">
        <v>639743</v>
      </c>
      <c r="AT327" s="198">
        <v>296425</v>
      </c>
      <c r="AU327" s="198">
        <v>531262</v>
      </c>
      <c r="AV327" s="198">
        <v>960042</v>
      </c>
      <c r="AW327" s="198"/>
      <c r="AX327" s="198">
        <v>491975</v>
      </c>
      <c r="AY327" s="197">
        <v>124502126</v>
      </c>
      <c r="AZ327" s="198"/>
      <c r="BA327" s="198">
        <v>74936083</v>
      </c>
      <c r="BB327" s="198">
        <v>31270398</v>
      </c>
      <c r="BC327" s="198">
        <v>16885265</v>
      </c>
      <c r="BD327" s="198"/>
      <c r="BE327" s="198"/>
      <c r="BF327" s="197">
        <v>312906695.76999998</v>
      </c>
      <c r="BG327" s="198"/>
      <c r="BH327" s="198">
        <v>187934810.03</v>
      </c>
      <c r="BI327" s="198">
        <v>28740898.73</v>
      </c>
      <c r="BJ327" s="198">
        <v>87126546.659999967</v>
      </c>
      <c r="BK327" s="198">
        <v>9104440.3499999996</v>
      </c>
      <c r="BL327" s="198"/>
      <c r="BM327" s="197">
        <v>16069756.49729</v>
      </c>
      <c r="BN327" s="198">
        <v>674111.59608000005</v>
      </c>
      <c r="BO327" s="198">
        <v>1579495.6368499994</v>
      </c>
      <c r="BP327" s="198">
        <v>4849317.9360600002</v>
      </c>
      <c r="BQ327" s="198">
        <v>4746781.05076</v>
      </c>
      <c r="BR327" s="198"/>
      <c r="BS327" s="198">
        <v>4220050.277540002</v>
      </c>
      <c r="BT327" s="197"/>
      <c r="BU327" s="198"/>
      <c r="BV327" s="198"/>
      <c r="BW327" s="198"/>
      <c r="BX327" s="198"/>
      <c r="BY327" s="198"/>
      <c r="BZ327" s="198"/>
      <c r="CA327" s="197">
        <v>929.18899999999996</v>
      </c>
      <c r="CB327" s="198"/>
      <c r="CC327" s="198"/>
      <c r="CD327" s="198"/>
      <c r="CE327" s="198"/>
      <c r="CF327" s="198"/>
      <c r="CG327" s="198"/>
      <c r="CH327" s="197">
        <v>23544712.972900003</v>
      </c>
      <c r="CJ327" s="198">
        <v>11480249.600240001</v>
      </c>
      <c r="CK327" s="198">
        <v>1763456.30635</v>
      </c>
      <c r="CL327" s="198">
        <v>8184323.5090400008</v>
      </c>
      <c r="CM327" s="198">
        <v>2116683.5572699998</v>
      </c>
      <c r="CN327" s="198"/>
      <c r="CO327" s="197">
        <v>10370.33384777</v>
      </c>
      <c r="CP327" s="198">
        <v>998.47926026000005</v>
      </c>
      <c r="CQ327" s="198">
        <v>1453.1917971499997</v>
      </c>
      <c r="CR327" s="198">
        <v>2327.3764813000003</v>
      </c>
      <c r="CS327" s="198">
        <v>3428.3839042300001</v>
      </c>
      <c r="CT327" s="198"/>
      <c r="CU327" s="198">
        <v>2162.9024048299984</v>
      </c>
      <c r="CV327" s="197">
        <v>1776.2639999999999</v>
      </c>
      <c r="CW327" s="198"/>
      <c r="CX327" s="198"/>
      <c r="CY327" s="198"/>
      <c r="CZ327" s="198"/>
      <c r="DA327" s="198"/>
      <c r="DB327" s="198"/>
      <c r="DC327" s="197">
        <v>133527.97</v>
      </c>
      <c r="DD327" s="198">
        <v>16880.328000000001</v>
      </c>
      <c r="DE327" s="198">
        <v>23860.344000000001</v>
      </c>
      <c r="DF327" s="198"/>
      <c r="DG327" s="198">
        <v>41491.059000000001</v>
      </c>
      <c r="DH327" s="198"/>
      <c r="DI327" s="198">
        <v>51296.238999999994</v>
      </c>
      <c r="DJ327" s="197">
        <v>129351.40000000001</v>
      </c>
      <c r="DK327" s="198">
        <v>31587.4</v>
      </c>
      <c r="DL327" s="198">
        <v>32364.2</v>
      </c>
      <c r="DM327" s="198">
        <v>6417.5</v>
      </c>
      <c r="DN327" s="198">
        <v>18076.7</v>
      </c>
      <c r="DO327" s="198"/>
      <c r="DP327" s="198">
        <v>40905.600000000006</v>
      </c>
      <c r="DQ327" s="197"/>
      <c r="DR327" s="198"/>
      <c r="DS327" s="198"/>
      <c r="DT327" s="198"/>
      <c r="DU327" s="198"/>
      <c r="DV327" s="198"/>
      <c r="DW327" s="198"/>
      <c r="DX327" s="197">
        <v>225684.97378753001</v>
      </c>
      <c r="DY327" s="198"/>
      <c r="DZ327" s="198">
        <v>148535.77296645002</v>
      </c>
      <c r="EA327" s="198">
        <v>34569.029588489997</v>
      </c>
      <c r="EB327" s="198">
        <v>40058.136725050004</v>
      </c>
      <c r="EC327" s="198">
        <v>2522.03450754</v>
      </c>
      <c r="ED327" s="198"/>
      <c r="EE327" s="197">
        <v>378927.73700000002</v>
      </c>
      <c r="EF327" s="198">
        <v>12579.781999999999</v>
      </c>
      <c r="EG327" s="198">
        <v>81378.206000000006</v>
      </c>
      <c r="EH327" s="198">
        <v>24024.679</v>
      </c>
      <c r="EI327" s="198">
        <v>176185.35800000001</v>
      </c>
      <c r="EJ327" s="198"/>
      <c r="EK327" s="198">
        <v>84759.712</v>
      </c>
      <c r="EL327" s="197">
        <v>3206662.6572729992</v>
      </c>
      <c r="EM327" s="198">
        <v>1394586.35033</v>
      </c>
      <c r="EN327" s="198">
        <v>114098.24497500002</v>
      </c>
      <c r="EO327" s="198">
        <v>552595.10238099995</v>
      </c>
      <c r="EP327" s="198">
        <v>709034.29454299994</v>
      </c>
      <c r="EQ327" s="198"/>
      <c r="ER327" s="198">
        <v>436348.66504399996</v>
      </c>
      <c r="ES327" s="197">
        <v>95297.933118760004</v>
      </c>
      <c r="ET327" s="198">
        <v>12544.856354219999</v>
      </c>
      <c r="EU327" s="198">
        <v>32751.224122150001</v>
      </c>
      <c r="EV327" s="198">
        <v>13037.066469670001</v>
      </c>
      <c r="EW327" s="198">
        <v>24324.040882340003</v>
      </c>
      <c r="EX327" s="198"/>
      <c r="EY327" s="198">
        <v>12640.745290380004</v>
      </c>
      <c r="EZ327" s="197">
        <v>40023.941273730001</v>
      </c>
      <c r="FA327" s="198">
        <v>2112.9942325299999</v>
      </c>
      <c r="FB327" s="198">
        <v>11036.25185096</v>
      </c>
      <c r="FC327" s="198">
        <v>11194.438452689999</v>
      </c>
      <c r="FD327" s="198">
        <v>7680.7783770800197</v>
      </c>
      <c r="FE327" s="198">
        <v>0</v>
      </c>
      <c r="FF327" s="198">
        <v>7999.4783604699842</v>
      </c>
      <c r="FG327" s="197">
        <v>58991203.341264002</v>
      </c>
      <c r="FH327" s="198">
        <v>6076617.7423089994</v>
      </c>
      <c r="FI327" s="198">
        <v>13661150.313301001</v>
      </c>
      <c r="FJ327" s="198"/>
      <c r="FK327" s="198">
        <v>8816814.6830560006</v>
      </c>
      <c r="FL327" s="198"/>
      <c r="FM327" s="198">
        <v>30436620.602598008</v>
      </c>
      <c r="FN327" s="197">
        <v>187887.33391699998</v>
      </c>
      <c r="FO327" s="198">
        <v>29574.068552000001</v>
      </c>
      <c r="FP327" s="198">
        <v>28993.750124000002</v>
      </c>
      <c r="FQ327" s="198">
        <v>32061.155349000001</v>
      </c>
      <c r="FR327" s="198">
        <v>32295.404489</v>
      </c>
      <c r="FS327" s="198"/>
      <c r="FT327" s="199">
        <v>64962.955402999978</v>
      </c>
      <c r="FU327" s="197">
        <v>713052.08920073987</v>
      </c>
      <c r="FV327" s="198">
        <v>50063.336654849998</v>
      </c>
      <c r="FW327" s="198">
        <v>104109.71714100998</v>
      </c>
      <c r="FX327" s="198">
        <v>159872.33593795</v>
      </c>
      <c r="FY327" s="198">
        <v>162482.50935975989</v>
      </c>
      <c r="FZ327" s="198"/>
      <c r="GA327" s="199">
        <v>236524.19010716994</v>
      </c>
      <c r="GB327" s="197">
        <v>1676.2439999999999</v>
      </c>
      <c r="GC327" s="198"/>
      <c r="GD327" s="198"/>
      <c r="GE327" s="198"/>
      <c r="GF327" s="198"/>
      <c r="GG327" s="198"/>
      <c r="GH327" s="199"/>
      <c r="GI327" s="197">
        <v>1187.145</v>
      </c>
      <c r="GJ327" s="198"/>
      <c r="GK327" s="198"/>
      <c r="GL327" s="198"/>
      <c r="GM327" s="198"/>
      <c r="GN327" s="198"/>
      <c r="GO327" s="199"/>
      <c r="GP327" s="197">
        <v>4142.9219999999996</v>
      </c>
      <c r="GQ327" s="198"/>
      <c r="GR327" s="198"/>
      <c r="GS327" s="198"/>
      <c r="GT327" s="198"/>
      <c r="GU327" s="198"/>
      <c r="GV327" s="199"/>
      <c r="GW327" s="198">
        <v>6107.1</v>
      </c>
      <c r="GX327" s="198">
        <v>411</v>
      </c>
      <c r="GY327" s="198">
        <v>1409.4</v>
      </c>
      <c r="GZ327" s="198">
        <v>880.4</v>
      </c>
      <c r="HA327" s="198"/>
      <c r="HB327" s="198"/>
      <c r="HC327" s="198">
        <v>3406.3</v>
      </c>
      <c r="HD327" s="197"/>
      <c r="HE327" s="198"/>
      <c r="HF327" s="198"/>
      <c r="HG327" s="198"/>
      <c r="HH327" s="198"/>
      <c r="HI327" s="198"/>
      <c r="HJ327" s="198"/>
      <c r="HK327" s="197">
        <v>14829.281981</v>
      </c>
      <c r="HL327" s="198">
        <v>2052.7130309999998</v>
      </c>
      <c r="HM327" s="198">
        <v>1999.6654479999997</v>
      </c>
      <c r="HN327" s="198">
        <v>420.13893999999999</v>
      </c>
      <c r="HO327" s="198">
        <v>5188.2064020000007</v>
      </c>
      <c r="HP327" s="198"/>
      <c r="HQ327" s="198">
        <v>5168.5581599999996</v>
      </c>
      <c r="HR327" s="197">
        <v>1030806.96</v>
      </c>
      <c r="HS327" s="198">
        <v>108244.899</v>
      </c>
      <c r="HT327" s="198">
        <v>377245.24300000002</v>
      </c>
      <c r="HU327" s="198">
        <v>75180.873999999996</v>
      </c>
      <c r="HV327" s="198">
        <v>248227.59</v>
      </c>
      <c r="HW327" s="198">
        <v>51655.487000000001</v>
      </c>
      <c r="HX327" s="198">
        <v>181943.24600000001</v>
      </c>
    </row>
    <row r="328" spans="1:234">
      <c r="A328" s="185" t="s">
        <v>499</v>
      </c>
      <c r="B328" s="198">
        <v>2630</v>
      </c>
      <c r="C328" s="198"/>
      <c r="D328" s="198"/>
      <c r="E328" s="198"/>
      <c r="F328" s="198"/>
      <c r="G328" s="198"/>
      <c r="H328" s="198"/>
      <c r="I328" s="197">
        <v>627374.30000000005</v>
      </c>
      <c r="J328" s="198"/>
      <c r="K328" s="198"/>
      <c r="L328" s="198">
        <v>48196.4</v>
      </c>
      <c r="M328" s="198">
        <v>113927.1</v>
      </c>
      <c r="N328" s="198"/>
      <c r="O328" s="199">
        <v>421961.9</v>
      </c>
      <c r="P328" s="197">
        <v>7088.6840000000002</v>
      </c>
      <c r="Q328" s="198">
        <v>35.869</v>
      </c>
      <c r="R328" s="198">
        <v>304.65899999999999</v>
      </c>
      <c r="S328" s="198">
        <v>385.56700000000001</v>
      </c>
      <c r="T328" s="198">
        <v>5259.6869999999999</v>
      </c>
      <c r="U328" s="198"/>
      <c r="V328" s="199">
        <v>1102.902000000001</v>
      </c>
      <c r="W328" s="197">
        <v>5951.7340000000004</v>
      </c>
      <c r="X328" s="198">
        <v>115.619</v>
      </c>
      <c r="Y328" s="198">
        <v>734.28800000000001</v>
      </c>
      <c r="Z328" s="198">
        <v>207.61</v>
      </c>
      <c r="AA328" s="198">
        <v>3318.1350000000002</v>
      </c>
      <c r="AB328" s="198"/>
      <c r="AC328" s="199">
        <v>1576.0820000000012</v>
      </c>
      <c r="AD328" s="198"/>
      <c r="AE328" s="198">
        <v>20.021000000000001</v>
      </c>
      <c r="AF328" s="198">
        <v>294.70300000000003</v>
      </c>
      <c r="AG328" s="198">
        <v>801.995</v>
      </c>
      <c r="AH328" s="198">
        <v>442.678</v>
      </c>
      <c r="AI328" s="198">
        <v>74.251000000000005</v>
      </c>
      <c r="AJ328" s="198"/>
      <c r="AK328" s="197"/>
      <c r="AL328" s="198"/>
      <c r="AM328" s="198"/>
      <c r="AN328" s="198"/>
      <c r="AO328" s="198"/>
      <c r="AP328" s="198"/>
      <c r="AQ328" s="199"/>
      <c r="AR328" s="198">
        <v>2956599</v>
      </c>
      <c r="AS328" s="198">
        <v>648570</v>
      </c>
      <c r="AT328" s="198">
        <v>302332</v>
      </c>
      <c r="AU328" s="198">
        <v>540255</v>
      </c>
      <c r="AV328" s="198">
        <v>963779</v>
      </c>
      <c r="AW328" s="198"/>
      <c r="AX328" s="198">
        <v>501663</v>
      </c>
      <c r="AY328" s="197">
        <v>127275442</v>
      </c>
      <c r="AZ328" s="198"/>
      <c r="BA328" s="198">
        <v>76796428</v>
      </c>
      <c r="BB328" s="198">
        <v>31808509</v>
      </c>
      <c r="BC328" s="198">
        <v>17059556</v>
      </c>
      <c r="BD328" s="198"/>
      <c r="BE328" s="198"/>
      <c r="BF328" s="197">
        <v>319824038.55000007</v>
      </c>
      <c r="BG328" s="198"/>
      <c r="BH328" s="198">
        <v>192799097.93000004</v>
      </c>
      <c r="BI328" s="198">
        <v>29178386.049999997</v>
      </c>
      <c r="BJ328" s="198">
        <v>88684708.810000002</v>
      </c>
      <c r="BK328" s="198">
        <v>9161845.7600000016</v>
      </c>
      <c r="BL328" s="198"/>
      <c r="BM328" s="197">
        <v>15752589.71847</v>
      </c>
      <c r="BN328" s="198">
        <v>630181.07664000022</v>
      </c>
      <c r="BO328" s="198">
        <v>1542026.3571099997</v>
      </c>
      <c r="BP328" s="198">
        <v>4726065.3648899999</v>
      </c>
      <c r="BQ328" s="198">
        <v>4713073.4448400009</v>
      </c>
      <c r="BR328" s="198"/>
      <c r="BS328" s="198">
        <v>4141243.4749899991</v>
      </c>
      <c r="BT328" s="197"/>
      <c r="BU328" s="198"/>
      <c r="BV328" s="198"/>
      <c r="BW328" s="198"/>
      <c r="BX328" s="198"/>
      <c r="BY328" s="198"/>
      <c r="BZ328" s="198"/>
      <c r="CA328" s="197">
        <v>928.20699999999999</v>
      </c>
      <c r="CB328" s="198"/>
      <c r="CC328" s="198"/>
      <c r="CD328" s="198"/>
      <c r="CE328" s="198"/>
      <c r="CF328" s="198"/>
      <c r="CG328" s="198"/>
      <c r="CH328" s="197">
        <v>23748448.929920003</v>
      </c>
      <c r="CI328" s="198"/>
      <c r="CJ328" s="198">
        <v>11551303.122740002</v>
      </c>
      <c r="CK328" s="198">
        <v>1784214.7326299993</v>
      </c>
      <c r="CL328" s="198">
        <v>8264098.7985200007</v>
      </c>
      <c r="CM328" s="198">
        <v>2148832.2760300003</v>
      </c>
      <c r="CN328" s="198"/>
      <c r="CO328" s="197">
        <v>10468.673443590002</v>
      </c>
      <c r="CP328" s="198">
        <v>1018.25635491</v>
      </c>
      <c r="CQ328" s="198">
        <v>1468.2039288999997</v>
      </c>
      <c r="CR328" s="198">
        <v>2335.5796607799998</v>
      </c>
      <c r="CS328" s="198">
        <v>3468.0493316700004</v>
      </c>
      <c r="CT328" s="198"/>
      <c r="CU328" s="198">
        <v>2178.5841673300029</v>
      </c>
      <c r="CV328" s="197">
        <v>1786.2280000000001</v>
      </c>
      <c r="CW328" s="198"/>
      <c r="CX328" s="198"/>
      <c r="CY328" s="198"/>
      <c r="CZ328" s="198"/>
      <c r="DA328" s="198"/>
      <c r="DB328" s="198"/>
      <c r="DC328" s="197">
        <v>135105.96100000001</v>
      </c>
      <c r="DD328" s="198">
        <v>17110.948</v>
      </c>
      <c r="DE328" s="198">
        <v>24220.67</v>
      </c>
      <c r="DF328" s="198"/>
      <c r="DG328" s="198">
        <v>42062.275000000001</v>
      </c>
      <c r="DH328" s="198"/>
      <c r="DI328" s="198">
        <v>51712.068000000007</v>
      </c>
      <c r="DJ328" s="197">
        <v>129819.1</v>
      </c>
      <c r="DK328" s="198">
        <v>32402.100000000002</v>
      </c>
      <c r="DL328" s="198">
        <v>31597.4</v>
      </c>
      <c r="DM328" s="198">
        <v>6586.5</v>
      </c>
      <c r="DN328" s="198">
        <v>18118.599999999999</v>
      </c>
      <c r="DO328" s="198"/>
      <c r="DP328" s="198">
        <v>41114.5</v>
      </c>
      <c r="DQ328" s="197"/>
      <c r="DR328" s="198"/>
      <c r="DS328" s="198"/>
      <c r="DT328" s="198"/>
      <c r="DU328" s="198"/>
      <c r="DV328" s="198"/>
      <c r="DW328" s="198"/>
      <c r="DX328" s="197">
        <v>230106.39836809001</v>
      </c>
      <c r="DY328" s="198"/>
      <c r="DZ328" s="198">
        <v>152084.60406546001</v>
      </c>
      <c r="EA328" s="198">
        <v>34654.949678819998</v>
      </c>
      <c r="EB328" s="198">
        <v>40813.231767360012</v>
      </c>
      <c r="EC328" s="198">
        <v>2553.61285645</v>
      </c>
      <c r="ED328" s="198"/>
      <c r="EE328" s="197">
        <v>381105.24300000002</v>
      </c>
      <c r="EF328" s="198">
        <v>12898.739</v>
      </c>
      <c r="EG328" s="198">
        <v>82233.486999999994</v>
      </c>
      <c r="EH328" s="198">
        <v>24275.556</v>
      </c>
      <c r="EI328" s="198">
        <v>177688.69</v>
      </c>
      <c r="EJ328" s="198"/>
      <c r="EK328" s="198">
        <v>84008.770999999979</v>
      </c>
      <c r="EL328" s="197">
        <v>3295085.27966</v>
      </c>
      <c r="EM328" s="198">
        <v>1421691.0060960001</v>
      </c>
      <c r="EN328" s="198">
        <v>120167.82999700001</v>
      </c>
      <c r="EO328" s="198">
        <v>558520.16875699989</v>
      </c>
      <c r="EP328" s="198">
        <v>721704.94769700035</v>
      </c>
      <c r="EQ328" s="198"/>
      <c r="ER328" s="198">
        <v>473001.32711299998</v>
      </c>
      <c r="ES328" s="197">
        <v>99031.913</v>
      </c>
      <c r="ET328" s="198">
        <v>12391.36736753</v>
      </c>
      <c r="EU328" s="198">
        <v>35082.209732170006</v>
      </c>
      <c r="EV328" s="198">
        <v>13195.739341119999</v>
      </c>
      <c r="EW328" s="198">
        <v>25054.921329519999</v>
      </c>
      <c r="EX328" s="198"/>
      <c r="EY328" s="198">
        <v>13307.675229660006</v>
      </c>
      <c r="EZ328" s="197">
        <v>40414.252145710001</v>
      </c>
      <c r="FA328" s="198">
        <v>2133.54788831</v>
      </c>
      <c r="FB328" s="198">
        <v>11167.70295141</v>
      </c>
      <c r="FC328" s="198">
        <v>11251.84120769</v>
      </c>
      <c r="FD328" s="198">
        <v>7770.8904453900004</v>
      </c>
      <c r="FE328" s="198">
        <v>0</v>
      </c>
      <c r="FF328" s="198">
        <v>8090.2696529100003</v>
      </c>
      <c r="FG328" s="197">
        <v>60192087.520939</v>
      </c>
      <c r="FH328" s="198">
        <v>6298855.2314159991</v>
      </c>
      <c r="FI328" s="198">
        <v>13950764.323216001</v>
      </c>
      <c r="FJ328" s="198"/>
      <c r="FK328" s="198">
        <v>9006105.8850979991</v>
      </c>
      <c r="FL328" s="198"/>
      <c r="FM328" s="198">
        <v>30936362.081209</v>
      </c>
      <c r="FN328" s="197">
        <v>189589.49120600001</v>
      </c>
      <c r="FO328" s="198">
        <v>29606.663756999998</v>
      </c>
      <c r="FP328" s="198">
        <v>29432.766871</v>
      </c>
      <c r="FQ328" s="198">
        <v>32446.181231999999</v>
      </c>
      <c r="FR328" s="198">
        <v>32806.516423000001</v>
      </c>
      <c r="FS328" s="198"/>
      <c r="FT328" s="199">
        <v>65297.362923000001</v>
      </c>
      <c r="FU328" s="197">
        <v>710071.5885313598</v>
      </c>
      <c r="FV328" s="198">
        <v>51334.535417179999</v>
      </c>
      <c r="FW328" s="198">
        <v>105431.79037152998</v>
      </c>
      <c r="FX328" s="198">
        <v>172583.60995274011</v>
      </c>
      <c r="FY328" s="198">
        <v>167540.51098609969</v>
      </c>
      <c r="FZ328" s="198"/>
      <c r="GA328" s="199">
        <v>213181.14180380994</v>
      </c>
      <c r="GB328" s="197">
        <v>1690.902</v>
      </c>
      <c r="GC328" s="198"/>
      <c r="GD328" s="198"/>
      <c r="GE328" s="198"/>
      <c r="GF328" s="198"/>
      <c r="GG328" s="198"/>
      <c r="GH328" s="199"/>
      <c r="GI328" s="197">
        <v>1197.9349999999999</v>
      </c>
      <c r="GJ328" s="198"/>
      <c r="GK328" s="198"/>
      <c r="GL328" s="198"/>
      <c r="GM328" s="198"/>
      <c r="GN328" s="198"/>
      <c r="GO328" s="199"/>
      <c r="GP328" s="197">
        <v>4130.808</v>
      </c>
      <c r="GQ328" s="198"/>
      <c r="GR328" s="198"/>
      <c r="GS328" s="198"/>
      <c r="GT328" s="198"/>
      <c r="GU328" s="198"/>
      <c r="GV328" s="199"/>
      <c r="GW328" s="198">
        <v>6227.3</v>
      </c>
      <c r="GX328" s="198">
        <v>414.5</v>
      </c>
      <c r="GY328" s="198">
        <v>1494.8000000000002</v>
      </c>
      <c r="GZ328" s="198">
        <v>883.1</v>
      </c>
      <c r="HA328" s="198"/>
      <c r="HB328" s="198"/>
      <c r="HC328" s="198">
        <v>3434.8999999999996</v>
      </c>
      <c r="HD328" s="197"/>
      <c r="HE328" s="198"/>
      <c r="HF328" s="198"/>
      <c r="HG328" s="198"/>
      <c r="HH328" s="198"/>
      <c r="HI328" s="198"/>
      <c r="HJ328" s="198"/>
      <c r="HK328" s="197">
        <v>15137.058437999998</v>
      </c>
      <c r="HL328" s="198">
        <v>2053.3794650000004</v>
      </c>
      <c r="HM328" s="198">
        <v>2022.6250130000001</v>
      </c>
      <c r="HN328" s="198">
        <v>435.86471700000004</v>
      </c>
      <c r="HO328" s="198">
        <v>5336.3650149999994</v>
      </c>
      <c r="HP328" s="198"/>
      <c r="HQ328" s="198">
        <v>5288.8242279999977</v>
      </c>
      <c r="HR328" s="197">
        <v>1110034.9809999999</v>
      </c>
      <c r="HS328" s="198">
        <v>113803.588</v>
      </c>
      <c r="HT328" s="198">
        <v>445151.935</v>
      </c>
      <c r="HU328" s="198">
        <v>80589.241999999998</v>
      </c>
      <c r="HV328" s="198">
        <v>230049.788</v>
      </c>
      <c r="HW328" s="198">
        <v>54415.309000000001</v>
      </c>
      <c r="HX328" s="198">
        <v>198393.28200000001</v>
      </c>
    </row>
    <row r="329" spans="1:234">
      <c r="A329" s="202" t="s">
        <v>500</v>
      </c>
      <c r="B329" s="204">
        <v>2617.9499999999998</v>
      </c>
      <c r="C329" s="204">
        <v>35.841000000000001</v>
      </c>
      <c r="D329" s="204">
        <v>462.58</v>
      </c>
      <c r="E329" s="204">
        <v>798.68299999999999</v>
      </c>
      <c r="F329" s="204">
        <v>451.1579999999999</v>
      </c>
      <c r="G329" s="204"/>
      <c r="H329" s="204">
        <v>869.6880000000001</v>
      </c>
      <c r="I329" s="203">
        <v>649206.19999999995</v>
      </c>
      <c r="J329" s="204"/>
      <c r="K329" s="204"/>
      <c r="L329" s="204">
        <v>48766.400000000001</v>
      </c>
      <c r="M329" s="204">
        <v>115351.9</v>
      </c>
      <c r="N329" s="204"/>
      <c r="O329" s="205">
        <v>439943.5</v>
      </c>
      <c r="P329" s="203">
        <v>6954.3680000000004</v>
      </c>
      <c r="Q329" s="204">
        <v>37.31</v>
      </c>
      <c r="R329" s="204">
        <v>300.49</v>
      </c>
      <c r="S329" s="204">
        <v>363.72800000000001</v>
      </c>
      <c r="T329" s="204">
        <v>5260.9769999999999</v>
      </c>
      <c r="U329" s="204"/>
      <c r="V329" s="205">
        <v>991.86300000000028</v>
      </c>
      <c r="W329" s="203">
        <v>5968.277</v>
      </c>
      <c r="X329" s="204">
        <v>111.876</v>
      </c>
      <c r="Y329" s="204">
        <v>719.32199999999989</v>
      </c>
      <c r="Z329" s="204">
        <v>208.434</v>
      </c>
      <c r="AA329" s="204">
        <v>3339.1089999999999</v>
      </c>
      <c r="AB329" s="204"/>
      <c r="AC329" s="205">
        <v>1589.5359999999996</v>
      </c>
      <c r="AD329" s="204">
        <v>2507.652</v>
      </c>
      <c r="AE329" s="204">
        <v>21.841999999999999</v>
      </c>
      <c r="AF329" s="204">
        <v>286.99400000000003</v>
      </c>
      <c r="AG329" s="204">
        <v>803.12800000000004</v>
      </c>
      <c r="AH329" s="204">
        <v>442.565</v>
      </c>
      <c r="AI329" s="204">
        <v>77.402000000000001</v>
      </c>
      <c r="AJ329" s="205">
        <v>875.72099999999955</v>
      </c>
      <c r="AK329" s="203">
        <v>98030.097000000009</v>
      </c>
      <c r="AL329" s="204">
        <v>36859.316471999999</v>
      </c>
      <c r="AM329" s="204"/>
      <c r="AN329" s="204">
        <v>20782.380564000003</v>
      </c>
      <c r="AO329" s="204">
        <v>11567.551446000001</v>
      </c>
      <c r="AP329" s="204">
        <v>28820.848517999999</v>
      </c>
      <c r="AQ329" s="205"/>
      <c r="AR329" s="204">
        <v>3017456</v>
      </c>
      <c r="AS329" s="204">
        <v>664533</v>
      </c>
      <c r="AT329" s="204">
        <v>307513</v>
      </c>
      <c r="AU329" s="204">
        <v>548947</v>
      </c>
      <c r="AV329" s="204">
        <v>980433</v>
      </c>
      <c r="AW329" s="204"/>
      <c r="AX329" s="204">
        <v>516030</v>
      </c>
      <c r="AY329" s="203">
        <v>127834447</v>
      </c>
      <c r="AZ329" s="204"/>
      <c r="BA329" s="204">
        <v>76527116</v>
      </c>
      <c r="BB329" s="204">
        <v>32158817</v>
      </c>
      <c r="BC329" s="204">
        <v>17182298</v>
      </c>
      <c r="BD329" s="204"/>
      <c r="BE329" s="205"/>
      <c r="BF329" s="203">
        <v>324750619.49000007</v>
      </c>
      <c r="BG329" s="204"/>
      <c r="BH329" s="204">
        <v>196965280.43000001</v>
      </c>
      <c r="BI329" s="204">
        <v>29249117.29999999</v>
      </c>
      <c r="BJ329" s="204">
        <v>89381963.060000032</v>
      </c>
      <c r="BK329" s="204">
        <v>9154258.6999999955</v>
      </c>
      <c r="BL329" s="204"/>
      <c r="BM329" s="203">
        <v>15961908.316890001</v>
      </c>
      <c r="BN329" s="204">
        <v>671325.55078000028</v>
      </c>
      <c r="BO329" s="204">
        <v>1579860.0843099987</v>
      </c>
      <c r="BP329" s="204">
        <v>4811247.3460300015</v>
      </c>
      <c r="BQ329" s="204">
        <v>4700416.4668300003</v>
      </c>
      <c r="BR329" s="204"/>
      <c r="BS329" s="204">
        <v>4199058.8689399995</v>
      </c>
      <c r="BT329" s="203"/>
      <c r="BU329" s="204"/>
      <c r="BV329" s="204"/>
      <c r="BW329" s="204"/>
      <c r="BX329" s="204"/>
      <c r="BY329" s="204"/>
      <c r="BZ329" s="204"/>
      <c r="CA329" s="203">
        <v>918.93200000000002</v>
      </c>
      <c r="CB329" s="204">
        <v>30.318000000000001</v>
      </c>
      <c r="CC329" s="204">
        <v>144.74299999999999</v>
      </c>
      <c r="CD329" s="204">
        <v>278.988</v>
      </c>
      <c r="CE329" s="204">
        <v>166.87599999999998</v>
      </c>
      <c r="CF329" s="204"/>
      <c r="CG329" s="205">
        <v>298.00700000000012</v>
      </c>
      <c r="CH329" s="203">
        <v>24209673.142359998</v>
      </c>
      <c r="CI329" s="204"/>
      <c r="CJ329" s="204">
        <v>11938006.189649999</v>
      </c>
      <c r="CK329" s="204">
        <v>1784214.7326299993</v>
      </c>
      <c r="CL329" s="204">
        <v>8320244.2308999998</v>
      </c>
      <c r="CM329" s="204">
        <v>2167207.98918</v>
      </c>
      <c r="CN329" s="204"/>
      <c r="CO329" s="203">
        <v>10413.088357170001</v>
      </c>
      <c r="CP329" s="204">
        <v>1016.4101271099998</v>
      </c>
      <c r="CQ329" s="204">
        <v>1425.54226363</v>
      </c>
      <c r="CR329" s="204">
        <v>2336.9948026500001</v>
      </c>
      <c r="CS329" s="204">
        <v>3460.6542354500002</v>
      </c>
      <c r="CT329" s="204"/>
      <c r="CU329" s="204">
        <v>2173.4869283300027</v>
      </c>
      <c r="CV329" s="203">
        <v>1756.365</v>
      </c>
      <c r="CW329" s="204">
        <v>31.960999999999999</v>
      </c>
      <c r="CX329" s="204">
        <v>308.12700000000001</v>
      </c>
      <c r="CY329" s="204">
        <v>609.36300000000006</v>
      </c>
      <c r="CZ329" s="204">
        <v>539.00499999999988</v>
      </c>
      <c r="DA329" s="204"/>
      <c r="DB329" s="204">
        <v>267.90900000000011</v>
      </c>
      <c r="DC329" s="203">
        <v>137150.03700000001</v>
      </c>
      <c r="DD329" s="204">
        <v>17222.370999999999</v>
      </c>
      <c r="DE329" s="204">
        <v>24824.952000000001</v>
      </c>
      <c r="DF329" s="204"/>
      <c r="DG329" s="204">
        <v>42284.769</v>
      </c>
      <c r="DH329" s="204"/>
      <c r="DI329" s="205">
        <v>52817.945000000007</v>
      </c>
      <c r="DJ329" s="203">
        <v>134328.20000000001</v>
      </c>
      <c r="DK329" s="204">
        <v>32705.800000000003</v>
      </c>
      <c r="DL329" s="204">
        <v>33666</v>
      </c>
      <c r="DM329" s="204">
        <v>6565.3</v>
      </c>
      <c r="DN329" s="204">
        <v>18282.8</v>
      </c>
      <c r="DO329" s="204"/>
      <c r="DP329" s="205">
        <v>43108.3</v>
      </c>
      <c r="DQ329" s="203">
        <v>76.66978730999999</v>
      </c>
      <c r="DR329" s="204">
        <v>11.936862</v>
      </c>
      <c r="DS329" s="204">
        <v>19.199417699999998</v>
      </c>
      <c r="DT329" s="204">
        <v>6.0509754100000004</v>
      </c>
      <c r="DU329" s="204">
        <v>9.0827089700000005</v>
      </c>
      <c r="DV329" s="204"/>
      <c r="DW329" s="204">
        <v>30.399823229999988</v>
      </c>
      <c r="DX329" s="203">
        <v>233128.11784368998</v>
      </c>
      <c r="DY329" s="204"/>
      <c r="DZ329" s="204">
        <v>155079.51628039</v>
      </c>
      <c r="EA329" s="204">
        <v>34659.032707660001</v>
      </c>
      <c r="EB329" s="204">
        <v>40829.321882129996</v>
      </c>
      <c r="EC329" s="204">
        <v>2560.2469735099999</v>
      </c>
      <c r="ED329" s="204"/>
      <c r="EE329" s="203">
        <v>380970.283</v>
      </c>
      <c r="EF329" s="204">
        <v>12678.962</v>
      </c>
      <c r="EG329" s="204">
        <v>80950.092000000004</v>
      </c>
      <c r="EH329" s="204">
        <v>24371.111000000001</v>
      </c>
      <c r="EI329" s="204">
        <v>178123.948</v>
      </c>
      <c r="EJ329" s="204"/>
      <c r="EK329" s="204">
        <v>84846.170000000013</v>
      </c>
      <c r="EL329" s="203">
        <v>3352230.2672060002</v>
      </c>
      <c r="EM329" s="204">
        <v>1446273.7832210001</v>
      </c>
      <c r="EN329" s="204">
        <v>124584.64343099995</v>
      </c>
      <c r="EO329" s="204">
        <v>562608.46256700007</v>
      </c>
      <c r="EP329" s="204">
        <v>713669.923297</v>
      </c>
      <c r="EQ329" s="204"/>
      <c r="ER329" s="205">
        <v>505093.45468999993</v>
      </c>
      <c r="ES329" s="203">
        <v>100712.01206302999</v>
      </c>
      <c r="ET329" s="204">
        <v>13289.0700633</v>
      </c>
      <c r="EU329" s="204">
        <v>35233.906377370004</v>
      </c>
      <c r="EV329" s="204">
        <v>13431.00834319</v>
      </c>
      <c r="EW329" s="204">
        <v>25145.136218069998</v>
      </c>
      <c r="EX329" s="204"/>
      <c r="EY329" s="205">
        <v>13612.891061099999</v>
      </c>
      <c r="EZ329" s="203">
        <v>40351.500731100001</v>
      </c>
      <c r="FA329" s="204">
        <v>2199.20650277</v>
      </c>
      <c r="FB329" s="204">
        <v>10957.314770159999</v>
      </c>
      <c r="FC329" s="204">
        <v>11371.036966740001</v>
      </c>
      <c r="FD329" s="204">
        <v>7895.7450497199998</v>
      </c>
      <c r="FE329" s="204">
        <v>0</v>
      </c>
      <c r="FF329" s="204">
        <v>7928.19744171</v>
      </c>
      <c r="FG329" s="203">
        <v>61694565.181233004</v>
      </c>
      <c r="FH329" s="204">
        <v>6401985.0735459998</v>
      </c>
      <c r="FI329" s="204">
        <v>14472651.261171</v>
      </c>
      <c r="FJ329" s="204"/>
      <c r="FK329" s="204">
        <v>9049356.9403930008</v>
      </c>
      <c r="FL329" s="204"/>
      <c r="FM329" s="205">
        <v>31770571.906123005</v>
      </c>
      <c r="FN329" s="203">
        <v>193128.41067399998</v>
      </c>
      <c r="FO329" s="204">
        <v>30775.278962</v>
      </c>
      <c r="FP329" s="204">
        <v>29170.609749000003</v>
      </c>
      <c r="FQ329" s="204">
        <v>32867.491681</v>
      </c>
      <c r="FR329" s="204">
        <v>33179.163309000003</v>
      </c>
      <c r="FS329" s="204"/>
      <c r="FT329" s="205">
        <v>67135.866972999967</v>
      </c>
      <c r="FU329" s="203">
        <v>725586.18163466011</v>
      </c>
      <c r="FV329" s="204">
        <v>54705.394139089971</v>
      </c>
      <c r="FW329" s="204">
        <v>103893.04029403995</v>
      </c>
      <c r="FX329" s="204">
        <v>153091.00945682995</v>
      </c>
      <c r="FY329" s="204">
        <v>168643.65311162017</v>
      </c>
      <c r="FZ329" s="204"/>
      <c r="GA329" s="205">
        <v>245253.08463308</v>
      </c>
      <c r="GB329" s="203">
        <v>1708.5329999999999</v>
      </c>
      <c r="GC329" s="204">
        <v>18.277000000000001</v>
      </c>
      <c r="GD329" s="204">
        <v>274.87</v>
      </c>
      <c r="GE329" s="204">
        <v>471.42099999999999</v>
      </c>
      <c r="GF329" s="204">
        <v>447.82900000000001</v>
      </c>
      <c r="GG329" s="204"/>
      <c r="GH329" s="205">
        <v>496.13599999999991</v>
      </c>
      <c r="GI329" s="203">
        <v>1181.9749999999999</v>
      </c>
      <c r="GJ329" s="204">
        <v>24.181999999999999</v>
      </c>
      <c r="GK329" s="204">
        <v>160.34</v>
      </c>
      <c r="GL329" s="204">
        <v>447.92200000000003</v>
      </c>
      <c r="GM329" s="204">
        <v>368.43899999999996</v>
      </c>
      <c r="GN329" s="204"/>
      <c r="GO329" s="205">
        <v>181.09199999999987</v>
      </c>
      <c r="GP329" s="203">
        <v>4105.3900000000003</v>
      </c>
      <c r="GQ329" s="204">
        <v>98.23</v>
      </c>
      <c r="GR329" s="204">
        <v>900.93100000000004</v>
      </c>
      <c r="GS329" s="204">
        <v>1018.629</v>
      </c>
      <c r="GT329" s="204">
        <v>763.71699999999998</v>
      </c>
      <c r="GU329" s="204"/>
      <c r="GV329" s="205">
        <v>1323.8830000000003</v>
      </c>
      <c r="GW329" s="203">
        <v>6371</v>
      </c>
      <c r="GX329" s="204">
        <v>406.4</v>
      </c>
      <c r="GY329" s="204">
        <v>1523.4</v>
      </c>
      <c r="GZ329" s="204">
        <v>890.8</v>
      </c>
      <c r="HA329" s="204"/>
      <c r="HB329" s="204"/>
      <c r="HC329" s="205">
        <v>3550.3999999999996</v>
      </c>
      <c r="HD329" s="203">
        <v>58266.7</v>
      </c>
      <c r="HE329" s="204">
        <v>3115.5</v>
      </c>
      <c r="HF329" s="204">
        <v>4508.3</v>
      </c>
      <c r="HG329" s="204">
        <v>15997.400000000001</v>
      </c>
      <c r="HH329" s="204">
        <v>14413.099999999999</v>
      </c>
      <c r="HI329" s="204"/>
      <c r="HJ329" s="204">
        <v>20232.400000000001</v>
      </c>
      <c r="HK329" s="203">
        <v>15780.841873000001</v>
      </c>
      <c r="HL329" s="204">
        <v>2069.2098110000002</v>
      </c>
      <c r="HM329" s="204">
        <v>2114.0147139999999</v>
      </c>
      <c r="HN329" s="204">
        <v>466.78053799999998</v>
      </c>
      <c r="HO329" s="204">
        <v>5300.2678129999995</v>
      </c>
      <c r="HP329" s="204"/>
      <c r="HQ329" s="205">
        <v>5830.5689970000012</v>
      </c>
      <c r="HR329" s="203">
        <v>1160278.236</v>
      </c>
      <c r="HS329" s="204">
        <v>115635.386</v>
      </c>
      <c r="HT329" s="204">
        <v>466690.701</v>
      </c>
      <c r="HU329" s="204">
        <v>83399.875</v>
      </c>
      <c r="HV329" s="204">
        <v>246111.726</v>
      </c>
      <c r="HW329" s="204">
        <v>56278.108</v>
      </c>
      <c r="HX329" s="204">
        <v>205553.715</v>
      </c>
    </row>
    <row r="330" spans="1:234">
      <c r="A330" s="185" t="s">
        <v>682</v>
      </c>
      <c r="B330" s="198">
        <v>2598.6970000000001</v>
      </c>
      <c r="C330" s="198"/>
      <c r="D330" s="198"/>
      <c r="E330" s="198"/>
      <c r="F330" s="198"/>
      <c r="G330" s="198"/>
      <c r="H330" s="198"/>
      <c r="I330" s="197">
        <v>653493.1</v>
      </c>
      <c r="J330" s="198"/>
      <c r="K330" s="198"/>
      <c r="L330" s="198">
        <v>48840.9</v>
      </c>
      <c r="M330" s="198">
        <v>117974.39999999999</v>
      </c>
      <c r="N330" s="198"/>
      <c r="O330" s="199">
        <v>486677.79999999993</v>
      </c>
      <c r="P330" s="197">
        <v>6990.4989999999998</v>
      </c>
      <c r="Q330" s="198">
        <v>34.92</v>
      </c>
      <c r="R330" s="198">
        <v>299.02</v>
      </c>
      <c r="S330" s="198">
        <v>362.71100000000001</v>
      </c>
      <c r="T330" s="198">
        <v>5247.51</v>
      </c>
      <c r="U330" s="198"/>
      <c r="V330" s="199">
        <v>1046.3379999999988</v>
      </c>
      <c r="W330" s="197">
        <v>5959.8919999999998</v>
      </c>
      <c r="X330" s="198">
        <v>117.788</v>
      </c>
      <c r="Y330" s="198">
        <v>715.18399999999997</v>
      </c>
      <c r="Z330" s="198">
        <v>205.19300000000001</v>
      </c>
      <c r="AA330" s="198">
        <v>3343.1390000000001</v>
      </c>
      <c r="AB330" s="198"/>
      <c r="AC330" s="199">
        <v>1578.5879999999997</v>
      </c>
      <c r="AD330" s="198"/>
      <c r="AE330" s="198">
        <v>22.495999999999999</v>
      </c>
      <c r="AF330" s="198">
        <v>287.65699999999998</v>
      </c>
      <c r="AG330" s="198">
        <v>805.27299999999991</v>
      </c>
      <c r="AH330" s="198">
        <v>440.46100000000001</v>
      </c>
      <c r="AI330" s="198">
        <v>74.947000000000003</v>
      </c>
      <c r="AJ330" s="198"/>
      <c r="AK330" s="197"/>
      <c r="AL330" s="198"/>
      <c r="AM330" s="198"/>
      <c r="AN330" s="198"/>
      <c r="AO330" s="198"/>
      <c r="AP330" s="198"/>
      <c r="AQ330" s="199"/>
      <c r="AR330" s="198">
        <v>3012721</v>
      </c>
      <c r="AS330" s="198">
        <v>663224</v>
      </c>
      <c r="AT330" s="198">
        <v>296962</v>
      </c>
      <c r="AU330" s="198">
        <v>555658</v>
      </c>
      <c r="AV330" s="198">
        <v>984510</v>
      </c>
      <c r="AW330" s="198"/>
      <c r="AX330" s="198">
        <v>512367</v>
      </c>
      <c r="AY330" s="197">
        <v>128638809</v>
      </c>
      <c r="AZ330" s="198"/>
      <c r="BA330" s="198">
        <v>77338465</v>
      </c>
      <c r="BB330" s="198">
        <v>32334720</v>
      </c>
      <c r="BC330" s="198">
        <v>17227142</v>
      </c>
      <c r="BD330" s="198"/>
      <c r="BE330" s="198"/>
      <c r="BF330" s="197">
        <v>329661448.79000002</v>
      </c>
      <c r="BG330" s="198"/>
      <c r="BH330" s="198">
        <v>194203315.05999997</v>
      </c>
      <c r="BI330" s="198">
        <v>36735239.469999984</v>
      </c>
      <c r="BJ330" s="198">
        <v>89590214.770000026</v>
      </c>
      <c r="BK330" s="198">
        <v>9132679.4900000021</v>
      </c>
      <c r="BL330" s="198"/>
      <c r="BM330" s="197">
        <v>15991988.385869998</v>
      </c>
      <c r="BN330" s="198">
        <v>691376.39301</v>
      </c>
      <c r="BO330" s="198">
        <v>1549952.97343</v>
      </c>
      <c r="BP330" s="198">
        <v>4886722.3547799988</v>
      </c>
      <c r="BQ330" s="198">
        <v>4661397.5855100006</v>
      </c>
      <c r="BR330" s="198"/>
      <c r="BS330" s="198">
        <v>4202539.07914</v>
      </c>
      <c r="BT330" s="208"/>
      <c r="BU330" s="198"/>
      <c r="BV330" s="198"/>
      <c r="BW330" s="198"/>
      <c r="BX330" s="198"/>
      <c r="BY330" s="198"/>
      <c r="BZ330" s="198"/>
      <c r="CA330" s="197">
        <v>927.44600000000003</v>
      </c>
      <c r="CB330" s="198"/>
      <c r="CC330" s="198"/>
      <c r="CD330" s="198"/>
      <c r="CE330" s="198"/>
      <c r="CF330" s="198"/>
      <c r="CG330" s="198"/>
      <c r="CH330" s="197">
        <v>24275188.74808</v>
      </c>
      <c r="CI330" s="198"/>
      <c r="CJ330" s="198">
        <v>11937617.100820001</v>
      </c>
      <c r="CK330" s="198">
        <v>1824702.84286</v>
      </c>
      <c r="CL330" s="198">
        <v>8304190.7049399996</v>
      </c>
      <c r="CM330" s="198">
        <v>2208678.0994599997</v>
      </c>
      <c r="CN330" s="198"/>
      <c r="CO330" s="197">
        <v>10465.60765478</v>
      </c>
      <c r="CP330" s="198">
        <v>1043.52575114</v>
      </c>
      <c r="CQ330" s="198">
        <v>1438.6140197900002</v>
      </c>
      <c r="CR330" s="198">
        <v>2340.2214212399999</v>
      </c>
      <c r="CS330" s="198">
        <v>3481.5690773300003</v>
      </c>
      <c r="CT330" s="198"/>
      <c r="CU330" s="198">
        <v>2161.6773852800006</v>
      </c>
      <c r="CV330" s="197">
        <v>1751.829</v>
      </c>
      <c r="CW330" s="198"/>
      <c r="CX330" s="198"/>
      <c r="CY330" s="198"/>
      <c r="CZ330" s="198"/>
      <c r="DA330" s="198"/>
      <c r="DB330" s="198"/>
      <c r="DC330" s="197">
        <v>138175.783</v>
      </c>
      <c r="DD330" s="198">
        <v>17454.705000000002</v>
      </c>
      <c r="DE330" s="198">
        <v>24998.993999999999</v>
      </c>
      <c r="DF330" s="198"/>
      <c r="DG330" s="198">
        <v>42775.339</v>
      </c>
      <c r="DH330" s="198"/>
      <c r="DI330" s="198">
        <v>52946.745000000003</v>
      </c>
      <c r="DJ330" s="197">
        <v>131238.5</v>
      </c>
      <c r="DK330" s="198">
        <v>32752.400000000001</v>
      </c>
      <c r="DL330" s="198">
        <v>31538.799999999999</v>
      </c>
      <c r="DM330" s="198">
        <v>6642.1</v>
      </c>
      <c r="DN330" s="198">
        <v>17573.900000000001</v>
      </c>
      <c r="DO330" s="198"/>
      <c r="DP330" s="198">
        <v>42731.299999999988</v>
      </c>
      <c r="DQ330" s="197"/>
      <c r="DR330" s="198"/>
      <c r="DS330" s="198"/>
      <c r="DT330" s="198"/>
      <c r="DU330" s="198"/>
      <c r="DV330" s="198"/>
      <c r="DW330" s="198"/>
      <c r="DX330" s="197">
        <v>231965.49349999998</v>
      </c>
      <c r="DY330" s="198"/>
      <c r="DZ330" s="198">
        <v>153655.27559999999</v>
      </c>
      <c r="EA330" s="198">
        <v>34816.808299999997</v>
      </c>
      <c r="EB330" s="198">
        <v>40951.707499999997</v>
      </c>
      <c r="EC330" s="198">
        <v>2541.7021</v>
      </c>
      <c r="ED330" s="198"/>
      <c r="EE330" s="197">
        <v>381924.99900000001</v>
      </c>
      <c r="EF330" s="198">
        <v>11677.745000000001</v>
      </c>
      <c r="EG330" s="198">
        <v>82616.054999999993</v>
      </c>
      <c r="EH330" s="198">
        <v>25169.257000000001</v>
      </c>
      <c r="EI330" s="198">
        <v>178782.962</v>
      </c>
      <c r="EJ330" s="198"/>
      <c r="EK330" s="198">
        <v>83678.98000000004</v>
      </c>
      <c r="EL330" s="197">
        <v>3384246.8454909995</v>
      </c>
      <c r="EM330" s="198">
        <v>1469083.8880780006</v>
      </c>
      <c r="EN330" s="198">
        <v>115779.96584500001</v>
      </c>
      <c r="EO330" s="198">
        <v>568783.88282700011</v>
      </c>
      <c r="EP330" s="198">
        <v>712910.3135129998</v>
      </c>
      <c r="EQ330" s="198"/>
      <c r="ER330" s="198">
        <v>517688.79522800003</v>
      </c>
      <c r="ES330" s="197">
        <v>101552.46722518999</v>
      </c>
      <c r="ET330" s="198">
        <v>12933.614804739998</v>
      </c>
      <c r="EU330" s="198">
        <v>35738.41330018</v>
      </c>
      <c r="EV330" s="198">
        <v>13602.280792699999</v>
      </c>
      <c r="EW330" s="198">
        <v>25535.985126060001</v>
      </c>
      <c r="EX330" s="198"/>
      <c r="EY330" s="198">
        <v>13742.173201509981</v>
      </c>
      <c r="EZ330" s="197">
        <v>40838.278454750005</v>
      </c>
      <c r="FA330" s="198">
        <v>2186.2768508200002</v>
      </c>
      <c r="FB330" s="198">
        <v>10967.564421220002</v>
      </c>
      <c r="FC330" s="198">
        <v>11544.992975320001</v>
      </c>
      <c r="FD330" s="198">
        <v>7983.6962037799995</v>
      </c>
      <c r="FE330" s="198">
        <v>0</v>
      </c>
      <c r="FF330" s="198">
        <v>8155.7480036099996</v>
      </c>
      <c r="FG330" s="197">
        <v>62906627.370072</v>
      </c>
      <c r="FH330" s="198">
        <v>6342200.4241580004</v>
      </c>
      <c r="FI330" s="198">
        <v>14802050.419218004</v>
      </c>
      <c r="FJ330" s="198"/>
      <c r="FK330" s="198">
        <v>9162960.2644529995</v>
      </c>
      <c r="FL330" s="198"/>
      <c r="FM330" s="198">
        <v>32599416.262242995</v>
      </c>
      <c r="FN330" s="197">
        <v>195609.19484099999</v>
      </c>
      <c r="FO330" s="198">
        <v>31219.425381999998</v>
      </c>
      <c r="FP330" s="198">
        <v>29265.843246</v>
      </c>
      <c r="FQ330" s="198">
        <v>33269.845095999997</v>
      </c>
      <c r="FR330" s="198">
        <v>33456.199128</v>
      </c>
      <c r="FS330" s="198"/>
      <c r="FT330" s="199">
        <v>68397.881988999987</v>
      </c>
      <c r="FU330" s="197">
        <v>735083.1265269795</v>
      </c>
      <c r="FV330" s="198">
        <v>56128.75662136999</v>
      </c>
      <c r="FW330" s="198">
        <v>103446.91276467989</v>
      </c>
      <c r="FX330" s="198">
        <v>178423.98817372991</v>
      </c>
      <c r="FY330" s="198">
        <v>169030.31374832973</v>
      </c>
      <c r="FZ330" s="198"/>
      <c r="GA330" s="199">
        <v>228053.15521887</v>
      </c>
      <c r="GB330" s="197">
        <v>1696.7560000000001</v>
      </c>
      <c r="GC330" s="198"/>
      <c r="GD330" s="198"/>
      <c r="GE330" s="198"/>
      <c r="GF330" s="198"/>
      <c r="GG330" s="198"/>
      <c r="GH330" s="199"/>
      <c r="GI330" s="197">
        <v>1182.4870000000001</v>
      </c>
      <c r="GJ330" s="198"/>
      <c r="GK330" s="198"/>
      <c r="GL330" s="198"/>
      <c r="GM330" s="198"/>
      <c r="GN330" s="198"/>
      <c r="GO330" s="199"/>
      <c r="GP330" s="197">
        <v>4115.9669999999996</v>
      </c>
      <c r="GQ330" s="198"/>
      <c r="GR330" s="198"/>
      <c r="GS330" s="198"/>
      <c r="GT330" s="198"/>
      <c r="GU330" s="198"/>
      <c r="GV330" s="199"/>
      <c r="GW330" s="198">
        <v>6402.2</v>
      </c>
      <c r="GX330" s="198">
        <v>407.6</v>
      </c>
      <c r="GY330" s="198">
        <v>1545.3000000000002</v>
      </c>
      <c r="GZ330" s="198">
        <v>899.4</v>
      </c>
      <c r="HA330" s="198"/>
      <c r="HB330" s="198"/>
      <c r="HC330" s="198">
        <v>3549.8999999999996</v>
      </c>
      <c r="HD330" s="197"/>
      <c r="HE330" s="198"/>
      <c r="HF330" s="198"/>
      <c r="HG330" s="198"/>
      <c r="HH330" s="198"/>
      <c r="HI330" s="198"/>
      <c r="HJ330" s="198"/>
      <c r="HK330" s="208">
        <v>15634.245601000001</v>
      </c>
      <c r="HL330" s="198">
        <v>2089.1692459999995</v>
      </c>
      <c r="HM330" s="198">
        <v>2068.903495</v>
      </c>
      <c r="HN330" s="198">
        <v>455.62550800000002</v>
      </c>
      <c r="HO330" s="198">
        <v>5272.6698220000007</v>
      </c>
      <c r="HP330" s="198"/>
      <c r="HQ330" s="198">
        <v>5747.8775300000007</v>
      </c>
      <c r="HR330" s="197">
        <v>1183700.3589999999</v>
      </c>
      <c r="HS330" s="198">
        <v>115449.34600000001</v>
      </c>
      <c r="HT330" s="198">
        <v>471079.91899999999</v>
      </c>
      <c r="HU330" s="198">
        <v>84674.452000000005</v>
      </c>
      <c r="HV330" s="198">
        <v>257910.755</v>
      </c>
      <c r="HW330" s="198">
        <v>56724.091</v>
      </c>
      <c r="HX330" s="198">
        <v>212515.05300000001</v>
      </c>
      <c r="HY330" s="180"/>
      <c r="HZ330" s="180"/>
    </row>
    <row r="331" spans="1:234">
      <c r="A331" s="185" t="s">
        <v>490</v>
      </c>
      <c r="B331" s="198">
        <v>2578.2890000000002</v>
      </c>
      <c r="C331" s="198"/>
      <c r="D331" s="198"/>
      <c r="E331" s="198"/>
      <c r="F331" s="198"/>
      <c r="G331" s="198"/>
      <c r="H331" s="198"/>
      <c r="I331" s="197">
        <v>663225.1</v>
      </c>
      <c r="J331" s="198"/>
      <c r="K331" s="198"/>
      <c r="L331" s="198">
        <v>48777.5</v>
      </c>
      <c r="M331" s="198">
        <v>120623.6</v>
      </c>
      <c r="N331" s="198"/>
      <c r="O331" s="199">
        <v>493824</v>
      </c>
      <c r="P331" s="197">
        <v>6948.2879999999996</v>
      </c>
      <c r="Q331" s="198">
        <v>33.396999999999998</v>
      </c>
      <c r="R331" s="198">
        <v>305.93200000000002</v>
      </c>
      <c r="S331" s="198">
        <v>364.80399999999997</v>
      </c>
      <c r="T331" s="198">
        <v>5239.7269999999999</v>
      </c>
      <c r="U331" s="198"/>
      <c r="V331" s="199">
        <v>1004.4279999999999</v>
      </c>
      <c r="W331" s="197">
        <v>5970.34</v>
      </c>
      <c r="X331" s="198">
        <v>112.27500000000001</v>
      </c>
      <c r="Y331" s="198">
        <v>721.11799999999994</v>
      </c>
      <c r="Z331" s="198">
        <v>206.643</v>
      </c>
      <c r="AA331" s="198">
        <v>3343.7820000000002</v>
      </c>
      <c r="AB331" s="198"/>
      <c r="AC331" s="199">
        <v>1586.5219999999999</v>
      </c>
      <c r="AD331" s="198"/>
      <c r="AE331" s="198">
        <v>22.16</v>
      </c>
      <c r="AF331" s="198">
        <v>283.77199999999999</v>
      </c>
      <c r="AG331" s="198">
        <v>809.1880000000001</v>
      </c>
      <c r="AH331" s="198">
        <v>438.21</v>
      </c>
      <c r="AI331" s="198">
        <v>75.613</v>
      </c>
      <c r="AJ331" s="198"/>
      <c r="AK331" s="197"/>
      <c r="AL331" s="198"/>
      <c r="AM331" s="198"/>
      <c r="AN331" s="198"/>
      <c r="AO331" s="198"/>
      <c r="AP331" s="198"/>
      <c r="AQ331" s="199"/>
      <c r="AR331" s="198">
        <v>3024316</v>
      </c>
      <c r="AS331" s="198">
        <v>668213</v>
      </c>
      <c r="AT331" s="198">
        <v>294508</v>
      </c>
      <c r="AU331" s="198">
        <v>561154</v>
      </c>
      <c r="AV331" s="198">
        <v>982840</v>
      </c>
      <c r="AW331" s="198"/>
      <c r="AX331" s="198">
        <v>517601</v>
      </c>
      <c r="AY331" s="197">
        <v>128300209</v>
      </c>
      <c r="AZ331" s="198"/>
      <c r="BA331" s="198">
        <v>76685465</v>
      </c>
      <c r="BB331" s="198">
        <v>32516039</v>
      </c>
      <c r="BC331" s="198">
        <v>17122985</v>
      </c>
      <c r="BD331" s="198"/>
      <c r="BE331" s="198"/>
      <c r="BF331" s="197">
        <v>335639206.56999993</v>
      </c>
      <c r="BG331" s="198"/>
      <c r="BH331" s="198">
        <v>196931708.91999999</v>
      </c>
      <c r="BI331" s="198">
        <v>38417143.989999987</v>
      </c>
      <c r="BJ331" s="198">
        <v>90180887.109999955</v>
      </c>
      <c r="BK331" s="198">
        <v>10109466.550000004</v>
      </c>
      <c r="BL331" s="198"/>
      <c r="BM331" s="197">
        <v>16069756.49729</v>
      </c>
      <c r="BN331" s="198">
        <v>674111.59608000005</v>
      </c>
      <c r="BO331" s="198">
        <v>1579495.6368499994</v>
      </c>
      <c r="BP331" s="198">
        <v>4849317.9360600002</v>
      </c>
      <c r="BQ331" s="198">
        <v>4746781.05076</v>
      </c>
      <c r="BR331" s="198"/>
      <c r="BS331" s="198">
        <v>4220050.2775400011</v>
      </c>
      <c r="BT331" s="197"/>
      <c r="BU331" s="198"/>
      <c r="BV331" s="198"/>
      <c r="BW331" s="198"/>
      <c r="BX331" s="198"/>
      <c r="BY331" s="198"/>
      <c r="BZ331" s="198"/>
      <c r="CA331" s="197">
        <v>925.03200000000004</v>
      </c>
      <c r="CB331" s="198"/>
      <c r="CC331" s="198"/>
      <c r="CD331" s="198"/>
      <c r="CE331" s="198"/>
      <c r="CF331" s="198"/>
      <c r="CG331" s="198"/>
      <c r="CH331" s="197">
        <v>24475575.424140003</v>
      </c>
      <c r="CI331" s="198"/>
      <c r="CJ331" s="198">
        <v>12145530.52871</v>
      </c>
      <c r="CK331" s="198">
        <v>1844517.3268300002</v>
      </c>
      <c r="CL331" s="198">
        <v>8272118.6872000005</v>
      </c>
      <c r="CM331" s="198">
        <v>2213408.8813999998</v>
      </c>
      <c r="CN331" s="198"/>
      <c r="CO331" s="197">
        <v>10473.091456109998</v>
      </c>
      <c r="CP331" s="198">
        <v>1061.9481234500001</v>
      </c>
      <c r="CQ331" s="198">
        <v>1420.4982943199998</v>
      </c>
      <c r="CR331" s="198">
        <v>2342.47074643</v>
      </c>
      <c r="CS331" s="198">
        <v>3508.6182882900007</v>
      </c>
      <c r="CT331" s="198"/>
      <c r="CU331" s="198">
        <v>2139.5560036199981</v>
      </c>
      <c r="CV331" s="197">
        <v>1758.03</v>
      </c>
      <c r="CW331" s="198"/>
      <c r="CX331" s="198"/>
      <c r="CY331" s="198"/>
      <c r="CZ331" s="198"/>
      <c r="DA331" s="198"/>
      <c r="DB331" s="198"/>
      <c r="DC331" s="197">
        <v>139800.519</v>
      </c>
      <c r="DD331" s="198">
        <v>17619.127</v>
      </c>
      <c r="DE331" s="198">
        <v>25321.116000000002</v>
      </c>
      <c r="DF331" s="198"/>
      <c r="DG331" s="198">
        <v>43403.851999999999</v>
      </c>
      <c r="DH331" s="198"/>
      <c r="DI331" s="198">
        <v>53456.423999999985</v>
      </c>
      <c r="DJ331" s="197">
        <v>129951.5</v>
      </c>
      <c r="DK331" s="198">
        <v>32718</v>
      </c>
      <c r="DL331" s="198">
        <v>32114.800000000003</v>
      </c>
      <c r="DM331" s="198">
        <v>6733.6</v>
      </c>
      <c r="DN331" s="198">
        <v>17227.900000000001</v>
      </c>
      <c r="DO331" s="198"/>
      <c r="DP331" s="198">
        <v>41157.199999999983</v>
      </c>
      <c r="DQ331" s="197"/>
      <c r="DR331" s="198"/>
      <c r="DS331" s="198"/>
      <c r="DT331" s="198"/>
      <c r="DU331" s="198"/>
      <c r="DV331" s="198"/>
      <c r="DW331" s="198"/>
      <c r="DX331" s="197">
        <v>233467.027</v>
      </c>
      <c r="DY331" s="198"/>
      <c r="DZ331" s="198">
        <v>154856.3455</v>
      </c>
      <c r="EA331" s="198">
        <v>34843.2572</v>
      </c>
      <c r="EB331" s="198">
        <v>41173.003700000001</v>
      </c>
      <c r="EC331" s="198">
        <v>2594.4205999999999</v>
      </c>
      <c r="ED331" s="198"/>
      <c r="EE331" s="197">
        <v>384726.04800000001</v>
      </c>
      <c r="EF331" s="198">
        <v>13860.619000000001</v>
      </c>
      <c r="EG331" s="198">
        <v>79679.928</v>
      </c>
      <c r="EH331" s="198">
        <v>24693.154999999999</v>
      </c>
      <c r="EI331" s="198">
        <v>181311.83100000001</v>
      </c>
      <c r="EJ331" s="198"/>
      <c r="EK331" s="198">
        <v>85180.515000000014</v>
      </c>
      <c r="EL331" s="197">
        <v>3375617.4400010025</v>
      </c>
      <c r="EM331" s="198">
        <v>1461746.5356070001</v>
      </c>
      <c r="EN331" s="198">
        <v>114452.47281400004</v>
      </c>
      <c r="EO331" s="198">
        <v>571102.43426899996</v>
      </c>
      <c r="EP331" s="198">
        <v>712802.08449799998</v>
      </c>
      <c r="EQ331" s="198"/>
      <c r="ER331" s="198">
        <v>515513.91281300003</v>
      </c>
      <c r="ES331" s="197">
        <v>102605.43635852</v>
      </c>
      <c r="ET331" s="198">
        <v>13315.03490225</v>
      </c>
      <c r="EU331" s="198">
        <v>36112.960486070006</v>
      </c>
      <c r="EV331" s="198">
        <v>13803.722224409999</v>
      </c>
      <c r="EW331" s="198">
        <v>25825.781826890001</v>
      </c>
      <c r="EX331" s="198"/>
      <c r="EY331" s="198">
        <v>13547.936918899999</v>
      </c>
      <c r="EZ331" s="197">
        <v>41146.798463779996</v>
      </c>
      <c r="FA331" s="198">
        <v>2211.03604954</v>
      </c>
      <c r="FB331" s="198">
        <v>10984.890216309999</v>
      </c>
      <c r="FC331" s="198">
        <v>11653.010179700001</v>
      </c>
      <c r="FD331" s="198">
        <v>8064.6337277399989</v>
      </c>
      <c r="FE331" s="198">
        <v>0</v>
      </c>
      <c r="FF331" s="198">
        <v>8233.2282904899948</v>
      </c>
      <c r="FG331" s="197">
        <v>63450758.629300997</v>
      </c>
      <c r="FH331" s="198">
        <v>6375498.7871909998</v>
      </c>
      <c r="FI331" s="198">
        <v>14990558.658684</v>
      </c>
      <c r="FJ331" s="198"/>
      <c r="FK331" s="198">
        <v>9680758.9316770006</v>
      </c>
      <c r="FL331" s="198"/>
      <c r="FM331" s="198">
        <v>32403942.251748994</v>
      </c>
      <c r="FN331" s="197">
        <v>196788.46655899999</v>
      </c>
      <c r="FO331" s="198">
        <v>31207.196517</v>
      </c>
      <c r="FP331" s="198">
        <v>29692.938387999999</v>
      </c>
      <c r="FQ331" s="198">
        <v>33650.272996</v>
      </c>
      <c r="FR331" s="198">
        <v>33888.330774999995</v>
      </c>
      <c r="FS331" s="198"/>
      <c r="FT331" s="199">
        <v>68349.727882999985</v>
      </c>
      <c r="FU331" s="197">
        <v>742738.3991353201</v>
      </c>
      <c r="FV331" s="198">
        <v>53888.87807079999</v>
      </c>
      <c r="FW331" s="198">
        <v>104985.80202410996</v>
      </c>
      <c r="FX331" s="198">
        <v>174476.52525531998</v>
      </c>
      <c r="FY331" s="198">
        <v>170950.55669288014</v>
      </c>
      <c r="FZ331" s="198"/>
      <c r="GA331" s="199">
        <v>238436.63709220997</v>
      </c>
      <c r="GB331" s="197">
        <v>1689.2439999999999</v>
      </c>
      <c r="GC331" s="198"/>
      <c r="GD331" s="198"/>
      <c r="GE331" s="198"/>
      <c r="GF331" s="198"/>
      <c r="GG331" s="198"/>
      <c r="GH331" s="199"/>
      <c r="GI331" s="197">
        <v>1195.3219999999999</v>
      </c>
      <c r="GJ331" s="198"/>
      <c r="GK331" s="198"/>
      <c r="GL331" s="198"/>
      <c r="GM331" s="198"/>
      <c r="GN331" s="198"/>
      <c r="GO331" s="199"/>
      <c r="GP331" s="197">
        <v>4097.5680000000002</v>
      </c>
      <c r="GQ331" s="198"/>
      <c r="GR331" s="198"/>
      <c r="GS331" s="198"/>
      <c r="GT331" s="198"/>
      <c r="GU331" s="198"/>
      <c r="GV331" s="199"/>
      <c r="GW331" s="198">
        <v>6456.8</v>
      </c>
      <c r="GX331" s="198">
        <v>405</v>
      </c>
      <c r="GY331" s="198">
        <v>1574.9</v>
      </c>
      <c r="GZ331" s="198">
        <v>903.59999999999991</v>
      </c>
      <c r="HA331" s="198"/>
      <c r="HB331" s="198"/>
      <c r="HC331" s="198">
        <v>3573.3000000000006</v>
      </c>
      <c r="HD331" s="197"/>
      <c r="HE331" s="198"/>
      <c r="HF331" s="198"/>
      <c r="HG331" s="198"/>
      <c r="HH331" s="198"/>
      <c r="HI331" s="198"/>
      <c r="HJ331" s="198"/>
      <c r="HK331" s="197">
        <v>15780.179665000001</v>
      </c>
      <c r="HL331" s="198">
        <v>2117.6667009999996</v>
      </c>
      <c r="HM331" s="198">
        <v>2078.574028</v>
      </c>
      <c r="HN331" s="198">
        <v>457.127994</v>
      </c>
      <c r="HO331" s="198">
        <v>5290.7811330000004</v>
      </c>
      <c r="HP331" s="198"/>
      <c r="HQ331" s="198">
        <v>5836.0298090000015</v>
      </c>
      <c r="HR331" s="197">
        <v>1229882.9380000001</v>
      </c>
      <c r="HS331" s="198">
        <v>119385.749</v>
      </c>
      <c r="HT331" s="198">
        <v>488141.14600000001</v>
      </c>
      <c r="HU331" s="198">
        <v>86293.114000000001</v>
      </c>
      <c r="HV331" s="198">
        <v>269269.50599999999</v>
      </c>
      <c r="HW331" s="198">
        <v>58237.856</v>
      </c>
      <c r="HX331" s="198">
        <v>224540.361</v>
      </c>
      <c r="HY331" s="180"/>
      <c r="HZ331" s="180"/>
    </row>
    <row r="332" spans="1:234">
      <c r="A332" s="185" t="s">
        <v>491</v>
      </c>
      <c r="B332" s="198">
        <v>2565.1529999999998</v>
      </c>
      <c r="C332" s="198">
        <v>35.305</v>
      </c>
      <c r="D332" s="198">
        <v>452.67</v>
      </c>
      <c r="E332" s="198">
        <v>794.70399999999995</v>
      </c>
      <c r="F332" s="198">
        <v>438.89299999999997</v>
      </c>
      <c r="G332" s="198"/>
      <c r="H332" s="198">
        <v>843.5809999999999</v>
      </c>
      <c r="I332" s="197">
        <v>689080.6</v>
      </c>
      <c r="J332" s="198"/>
      <c r="K332" s="198"/>
      <c r="L332" s="198">
        <v>49088.7</v>
      </c>
      <c r="M332" s="198">
        <v>123497.3</v>
      </c>
      <c r="N332" s="198"/>
      <c r="O332" s="199">
        <v>516494.60000000003</v>
      </c>
      <c r="P332" s="197">
        <v>6935.4530000000004</v>
      </c>
      <c r="Q332" s="198">
        <v>30.681000000000001</v>
      </c>
      <c r="R332" s="198">
        <v>296.71100000000001</v>
      </c>
      <c r="S332" s="198">
        <v>351.57299999999998</v>
      </c>
      <c r="T332" s="198">
        <v>5233.6750000000002</v>
      </c>
      <c r="U332" s="198"/>
      <c r="V332" s="199">
        <v>1022.8130000000001</v>
      </c>
      <c r="W332" s="197">
        <v>5998.6959999999999</v>
      </c>
      <c r="X332" s="198">
        <v>100.43874000000001</v>
      </c>
      <c r="Y332" s="198">
        <v>703.74786000000006</v>
      </c>
      <c r="Z332" s="198">
        <v>206.21626000000001</v>
      </c>
      <c r="AA332" s="198">
        <v>3340.9867200000003</v>
      </c>
      <c r="AB332" s="198"/>
      <c r="AC332" s="199">
        <v>1647.3064199999994</v>
      </c>
      <c r="AD332" s="198">
        <v>2491.165</v>
      </c>
      <c r="AE332" s="198">
        <v>21.523</v>
      </c>
      <c r="AF332" s="198">
        <v>281.166</v>
      </c>
      <c r="AG332" s="198">
        <v>815.70600000000002</v>
      </c>
      <c r="AH332" s="198">
        <v>431.90699999999998</v>
      </c>
      <c r="AI332" s="198">
        <v>75.356999999999999</v>
      </c>
      <c r="AJ332" s="198">
        <v>865.50599999999963</v>
      </c>
      <c r="AK332" s="197">
        <v>99622.39121999999</v>
      </c>
      <c r="AL332" s="198">
        <v>37856.508663599998</v>
      </c>
      <c r="AM332" s="198"/>
      <c r="AN332" s="198">
        <v>20920.702156199997</v>
      </c>
      <c r="AO332" s="198">
        <v>11954.686946399997</v>
      </c>
      <c r="AP332" s="198">
        <v>28990.115845019995</v>
      </c>
      <c r="AQ332" s="199"/>
      <c r="AR332" s="198">
        <v>3060731</v>
      </c>
      <c r="AS332" s="198">
        <v>679402</v>
      </c>
      <c r="AT332" s="198">
        <v>297867</v>
      </c>
      <c r="AU332" s="198">
        <v>567246</v>
      </c>
      <c r="AV332" s="198">
        <v>986753</v>
      </c>
      <c r="AW332" s="198"/>
      <c r="AX332" s="198">
        <v>529463</v>
      </c>
      <c r="AY332" s="197">
        <v>129006544</v>
      </c>
      <c r="AZ332" s="198"/>
      <c r="BA332" s="198">
        <v>76858926</v>
      </c>
      <c r="BB332" s="198">
        <v>32893878</v>
      </c>
      <c r="BC332" s="198">
        <v>17287275</v>
      </c>
      <c r="BD332" s="198"/>
      <c r="BE332" s="198"/>
      <c r="BF332" s="197">
        <v>339506223.39999992</v>
      </c>
      <c r="BG332" s="198"/>
      <c r="BH332" s="198">
        <v>199686225.61999997</v>
      </c>
      <c r="BI332" s="198">
        <v>38419351.409999989</v>
      </c>
      <c r="BJ332" s="198">
        <v>91228958.439999968</v>
      </c>
      <c r="BK332" s="198">
        <v>10171687.93</v>
      </c>
      <c r="BL332" s="198"/>
      <c r="BM332" s="197">
        <v>16197845.649479998</v>
      </c>
      <c r="BN332" s="198">
        <v>671145.53013999993</v>
      </c>
      <c r="BO332" s="198">
        <v>1386960.5931299999</v>
      </c>
      <c r="BP332" s="198">
        <v>4745908.8958500009</v>
      </c>
      <c r="BQ332" s="198">
        <v>4811176.9615500011</v>
      </c>
      <c r="BR332" s="198"/>
      <c r="BS332" s="198">
        <v>4582653.6688099969</v>
      </c>
      <c r="BT332" s="197"/>
      <c r="BU332" s="198"/>
      <c r="BV332" s="198"/>
      <c r="BW332" s="198"/>
      <c r="BX332" s="198"/>
      <c r="BY332" s="198"/>
      <c r="BZ332" s="198"/>
      <c r="CA332" s="197">
        <v>922.32299999999998</v>
      </c>
      <c r="CB332" s="198">
        <v>29.687000000000001</v>
      </c>
      <c r="CC332" s="198">
        <v>142.483</v>
      </c>
      <c r="CD332" s="198">
        <v>276.67500000000001</v>
      </c>
      <c r="CE332" s="198">
        <v>169.92099999999999</v>
      </c>
      <c r="CF332" s="198"/>
      <c r="CG332" s="198">
        <v>303.55700000000002</v>
      </c>
      <c r="CH332" s="197">
        <v>24564851.570029993</v>
      </c>
      <c r="CI332" s="198"/>
      <c r="CJ332" s="198">
        <v>12149351.465699995</v>
      </c>
      <c r="CK332" s="198">
        <v>1870007.4461199995</v>
      </c>
      <c r="CL332" s="198">
        <v>8311358.1399000008</v>
      </c>
      <c r="CM332" s="198">
        <v>2234134.5183100002</v>
      </c>
      <c r="CN332" s="198"/>
      <c r="CO332" s="197">
        <v>10477.512230749999</v>
      </c>
      <c r="CP332" s="198">
        <v>1057.1404641599997</v>
      </c>
      <c r="CQ332" s="198">
        <v>1416.6579135200002</v>
      </c>
      <c r="CR332" s="198">
        <v>2359.7013153999997</v>
      </c>
      <c r="CS332" s="198">
        <v>3522.0413567000005</v>
      </c>
      <c r="CT332" s="198"/>
      <c r="CU332" s="198">
        <v>2121.9711809699984</v>
      </c>
      <c r="CV332" s="197">
        <v>1740.116</v>
      </c>
      <c r="CW332" s="198">
        <v>31.073</v>
      </c>
      <c r="CX332" s="198">
        <v>295.19</v>
      </c>
      <c r="CY332" s="198">
        <v>598.74699999999996</v>
      </c>
      <c r="CZ332" s="198">
        <v>541.80799999999999</v>
      </c>
      <c r="DA332" s="198"/>
      <c r="DB332" s="198">
        <v>273.29799999999989</v>
      </c>
      <c r="DC332" s="197">
        <v>141284.204</v>
      </c>
      <c r="DD332" s="198">
        <v>17890.498</v>
      </c>
      <c r="DE332" s="198">
        <v>25406.098999999998</v>
      </c>
      <c r="DF332" s="198"/>
      <c r="DG332" s="198">
        <v>44129.106</v>
      </c>
      <c r="DH332" s="198"/>
      <c r="DI332" s="198">
        <v>53858.501000000004</v>
      </c>
      <c r="DJ332" s="197">
        <v>129986.09999999999</v>
      </c>
      <c r="DK332" s="198">
        <v>32499.3</v>
      </c>
      <c r="DL332" s="198">
        <v>32871.9</v>
      </c>
      <c r="DM332" s="198">
        <v>6696.9</v>
      </c>
      <c r="DN332" s="198">
        <v>16878.300000000003</v>
      </c>
      <c r="DO332" s="198"/>
      <c r="DP332" s="198">
        <v>41039.699999999997</v>
      </c>
      <c r="DQ332" s="197">
        <v>76.467133727999993</v>
      </c>
      <c r="DR332" s="198">
        <v>11.629870550000001</v>
      </c>
      <c r="DS332" s="198">
        <v>19.126464939999998</v>
      </c>
      <c r="DT332" s="198">
        <v>6.4905798099999998</v>
      </c>
      <c r="DU332" s="198">
        <v>8.8757583500000017</v>
      </c>
      <c r="DV332" s="198"/>
      <c r="DW332" s="198">
        <v>30.344460077999987</v>
      </c>
      <c r="DX332" s="197">
        <v>235468.76509999999</v>
      </c>
      <c r="DY332" s="198"/>
      <c r="DZ332" s="198">
        <v>156015.57199999999</v>
      </c>
      <c r="EA332" s="198">
        <v>35887.706599999998</v>
      </c>
      <c r="EB332" s="198">
        <v>40993.113100000002</v>
      </c>
      <c r="EC332" s="198">
        <v>2572.3733999999999</v>
      </c>
      <c r="ED332" s="198"/>
      <c r="EE332" s="197">
        <v>382161.41499999998</v>
      </c>
      <c r="EF332" s="198">
        <v>14082.428</v>
      </c>
      <c r="EG332" s="198">
        <v>77897.600000000006</v>
      </c>
      <c r="EH332" s="198">
        <v>24498.971000000001</v>
      </c>
      <c r="EI332" s="198">
        <v>182054.14799999999</v>
      </c>
      <c r="EJ332" s="198"/>
      <c r="EK332" s="198">
        <v>83628.267999999982</v>
      </c>
      <c r="EL332" s="197">
        <v>3412413.6865199991</v>
      </c>
      <c r="EM332" s="198">
        <v>1491540.2882650001</v>
      </c>
      <c r="EN332" s="198">
        <v>116291.77360499999</v>
      </c>
      <c r="EO332" s="198">
        <v>576981.96476099989</v>
      </c>
      <c r="EP332" s="198">
        <v>714878.08840499993</v>
      </c>
      <c r="EQ332" s="198"/>
      <c r="ER332" s="198">
        <v>512721.57148400007</v>
      </c>
      <c r="ES332" s="197">
        <v>103646.0477501</v>
      </c>
      <c r="ET332" s="198">
        <v>14591.086780510002</v>
      </c>
      <c r="EU332" s="198">
        <v>36907.211001730007</v>
      </c>
      <c r="EV332" s="198">
        <v>13994.4404605</v>
      </c>
      <c r="EW332" s="198">
        <v>26161.332801559998</v>
      </c>
      <c r="EX332" s="198"/>
      <c r="EY332" s="198">
        <v>11991.976705799992</v>
      </c>
      <c r="EZ332" s="197">
        <v>41656.649625729995</v>
      </c>
      <c r="FA332" s="198">
        <v>2238.4160124199998</v>
      </c>
      <c r="FB332" s="198">
        <v>10962.53044457</v>
      </c>
      <c r="FC332" s="198">
        <v>11881.321871640001</v>
      </c>
      <c r="FD332" s="198">
        <v>8149.5555555999999</v>
      </c>
      <c r="FE332" s="198">
        <v>0</v>
      </c>
      <c r="FF332" s="198">
        <v>8424.8257414999935</v>
      </c>
      <c r="FG332" s="197">
        <v>64582520.696001001</v>
      </c>
      <c r="FH332" s="198">
        <v>6450641.089404</v>
      </c>
      <c r="FI332" s="198">
        <v>15277712.507510999</v>
      </c>
      <c r="FJ332" s="198"/>
      <c r="FK332" s="198">
        <v>9801500.9344129991</v>
      </c>
      <c r="FL332" s="198"/>
      <c r="FM332" s="198">
        <v>33052666.164673001</v>
      </c>
      <c r="FN332" s="197">
        <v>203179.87159400003</v>
      </c>
      <c r="FO332" s="198">
        <v>31015.391909000002</v>
      </c>
      <c r="FP332" s="198">
        <v>31542.42165</v>
      </c>
      <c r="FQ332" s="198">
        <v>34013.397450999997</v>
      </c>
      <c r="FR332" s="198">
        <v>34777.893523999999</v>
      </c>
      <c r="FS332" s="198"/>
      <c r="FT332" s="199">
        <v>71830.767060000027</v>
      </c>
      <c r="FU332" s="197">
        <v>743105.84912455035</v>
      </c>
      <c r="FV332" s="198">
        <v>52169.757600220044</v>
      </c>
      <c r="FW332" s="198">
        <v>103624.97866162995</v>
      </c>
      <c r="FX332" s="198">
        <v>159392.69953680009</v>
      </c>
      <c r="FY332" s="198">
        <v>171860.34480999029</v>
      </c>
      <c r="FZ332" s="198"/>
      <c r="GA332" s="199">
        <v>256058.06851590998</v>
      </c>
      <c r="GB332" s="197">
        <v>1700.61</v>
      </c>
      <c r="GC332" s="198">
        <v>17.613</v>
      </c>
      <c r="GD332" s="198">
        <v>265.226</v>
      </c>
      <c r="GE332" s="198">
        <v>468.06</v>
      </c>
      <c r="GF332" s="198">
        <v>436.73200000000003</v>
      </c>
      <c r="GG332" s="198"/>
      <c r="GH332" s="199">
        <v>507.49799999999999</v>
      </c>
      <c r="GI332" s="197">
        <v>1183.9469999999999</v>
      </c>
      <c r="GJ332" s="198">
        <v>24.071999999999999</v>
      </c>
      <c r="GK332" s="198">
        <v>159.035</v>
      </c>
      <c r="GL332" s="198">
        <v>450.17399999999998</v>
      </c>
      <c r="GM332" s="198">
        <v>368.93799999999999</v>
      </c>
      <c r="GN332" s="198"/>
      <c r="GO332" s="199">
        <v>181.72800000000007</v>
      </c>
      <c r="GP332" s="197">
        <v>4070.4270000000001</v>
      </c>
      <c r="GQ332" s="198">
        <v>96.988</v>
      </c>
      <c r="GR332" s="198">
        <v>853.12</v>
      </c>
      <c r="GS332" s="198">
        <v>1017.88</v>
      </c>
      <c r="GT332" s="198">
        <v>765.40800000000002</v>
      </c>
      <c r="GU332" s="198"/>
      <c r="GV332" s="199">
        <v>1337.0310000000004</v>
      </c>
      <c r="GW332" s="198">
        <v>6472.7999999999993</v>
      </c>
      <c r="GX332" s="198">
        <v>417.3</v>
      </c>
      <c r="GY332" s="198">
        <v>1602.7</v>
      </c>
      <c r="GZ332" s="198">
        <v>877.2</v>
      </c>
      <c r="HA332" s="198"/>
      <c r="HB332" s="198"/>
      <c r="HC332" s="198">
        <v>3575.6000000000004</v>
      </c>
      <c r="HD332" s="197">
        <v>58222.2</v>
      </c>
      <c r="HE332" s="198">
        <v>3322.3</v>
      </c>
      <c r="HF332" s="198">
        <v>4210.7</v>
      </c>
      <c r="HG332" s="198">
        <v>16206.3</v>
      </c>
      <c r="HH332" s="198">
        <v>14377.199999999999</v>
      </c>
      <c r="HI332" s="198"/>
      <c r="HJ332" s="198">
        <v>20105.699999999997</v>
      </c>
      <c r="HK332" s="197">
        <v>15666.780933999999</v>
      </c>
      <c r="HL332" s="198">
        <v>2102.0194139999999</v>
      </c>
      <c r="HM332" s="198">
        <v>2095.4190280000003</v>
      </c>
      <c r="HN332" s="198">
        <v>458.02832799999999</v>
      </c>
      <c r="HO332" s="198">
        <v>5185.4199820000003</v>
      </c>
      <c r="HP332" s="198"/>
      <c r="HQ332" s="198">
        <v>5825.8941819999973</v>
      </c>
      <c r="HR332" s="197">
        <v>1309888.155</v>
      </c>
      <c r="HS332" s="198">
        <v>126658.90300000001</v>
      </c>
      <c r="HT332" s="198">
        <v>528224.79500000004</v>
      </c>
      <c r="HU332" s="198">
        <v>89001.634000000005</v>
      </c>
      <c r="HV332" s="198">
        <v>281779.3</v>
      </c>
      <c r="HW332" s="198">
        <v>61739.767999999996</v>
      </c>
      <c r="HX332" s="198">
        <v>240553.59700000001</v>
      </c>
      <c r="HY332" s="180"/>
      <c r="HZ332" s="180"/>
    </row>
    <row r="333" spans="1:234">
      <c r="A333" s="185" t="s">
        <v>492</v>
      </c>
      <c r="B333" s="198">
        <v>2548.4009999999998</v>
      </c>
      <c r="C333" s="198"/>
      <c r="D333" s="198"/>
      <c r="E333" s="198"/>
      <c r="F333" s="198"/>
      <c r="G333" s="198"/>
      <c r="H333" s="198"/>
      <c r="I333" s="197">
        <v>698576</v>
      </c>
      <c r="J333" s="198"/>
      <c r="K333" s="198"/>
      <c r="L333" s="198">
        <v>49296.4</v>
      </c>
      <c r="M333" s="198">
        <v>127159.3</v>
      </c>
      <c r="N333" s="198"/>
      <c r="O333" s="199">
        <v>522120.3</v>
      </c>
      <c r="P333" s="197">
        <v>6888.5969999999998</v>
      </c>
      <c r="Q333" s="198">
        <v>28.792999999999999</v>
      </c>
      <c r="R333" s="198">
        <v>292.88</v>
      </c>
      <c r="S333" s="198">
        <v>356.517</v>
      </c>
      <c r="T333" s="198">
        <v>5227.6589999999997</v>
      </c>
      <c r="U333" s="198"/>
      <c r="V333" s="199">
        <v>982.7480000000005</v>
      </c>
      <c r="W333" s="197">
        <v>5941.26</v>
      </c>
      <c r="X333" s="198">
        <v>105.102</v>
      </c>
      <c r="Y333" s="198">
        <v>685.99099999999999</v>
      </c>
      <c r="Z333" s="198">
        <v>179.376</v>
      </c>
      <c r="AA333" s="198">
        <v>3359.652</v>
      </c>
      <c r="AB333" s="198"/>
      <c r="AC333" s="199">
        <v>1611.1390000000001</v>
      </c>
      <c r="AD333" s="198"/>
      <c r="AE333" s="198">
        <v>32.499000000000002</v>
      </c>
      <c r="AF333" s="198">
        <v>280.726</v>
      </c>
      <c r="AG333" s="198">
        <v>820.84699999999998</v>
      </c>
      <c r="AH333" s="198">
        <v>431.346</v>
      </c>
      <c r="AI333" s="198">
        <v>77.727000000000004</v>
      </c>
      <c r="AJ333" s="198"/>
      <c r="AK333" s="197"/>
      <c r="AL333" s="198"/>
      <c r="AM333" s="198"/>
      <c r="AN333" s="198"/>
      <c r="AO333" s="198"/>
      <c r="AP333" s="198"/>
      <c r="AQ333" s="199"/>
      <c r="AR333" s="198">
        <v>3061492</v>
      </c>
      <c r="AS333" s="198">
        <v>677312</v>
      </c>
      <c r="AT333" s="198">
        <v>298784</v>
      </c>
      <c r="AU333" s="198">
        <v>575338</v>
      </c>
      <c r="AV333" s="198">
        <v>986489</v>
      </c>
      <c r="AW333" s="198"/>
      <c r="AX333" s="198">
        <v>523569</v>
      </c>
      <c r="AY333" s="197">
        <v>129621227</v>
      </c>
      <c r="AZ333" s="198"/>
      <c r="BA333" s="198">
        <v>77022568</v>
      </c>
      <c r="BB333" s="198">
        <v>33420432</v>
      </c>
      <c r="BC333" s="198">
        <v>17480787</v>
      </c>
      <c r="BD333" s="198"/>
      <c r="BE333" s="198"/>
      <c r="BF333" s="197">
        <v>341089001.80000007</v>
      </c>
      <c r="BG333" s="198"/>
      <c r="BH333" s="198">
        <v>199186349.93000004</v>
      </c>
      <c r="BI333" s="198">
        <v>39551746.599999994</v>
      </c>
      <c r="BJ333" s="198">
        <v>92108926.290000007</v>
      </c>
      <c r="BK333" s="198">
        <v>10241978.979999999</v>
      </c>
      <c r="BL333" s="198"/>
      <c r="BM333" s="197">
        <v>16303826.368740002</v>
      </c>
      <c r="BN333" s="198">
        <v>660504.13626000006</v>
      </c>
      <c r="BO333" s="198">
        <v>1397527.0278299998</v>
      </c>
      <c r="BP333" s="198">
        <v>4791784.9487900008</v>
      </c>
      <c r="BQ333" s="198">
        <v>4868199.7017900003</v>
      </c>
      <c r="BR333" s="198"/>
      <c r="BS333" s="198">
        <v>4585810.5540700005</v>
      </c>
      <c r="BT333" s="197"/>
      <c r="BU333" s="198"/>
      <c r="BV333" s="198"/>
      <c r="BW333" s="198"/>
      <c r="BX333" s="198"/>
      <c r="BY333" s="198"/>
      <c r="BZ333" s="198"/>
      <c r="CA333" s="197">
        <v>934.71699999999998</v>
      </c>
      <c r="CB333" s="198"/>
      <c r="CC333" s="198"/>
      <c r="CD333" s="198"/>
      <c r="CE333" s="198"/>
      <c r="CF333" s="198"/>
      <c r="CG333" s="198"/>
      <c r="CH333" s="197">
        <v>24553598.773870002</v>
      </c>
      <c r="CI333" s="198"/>
      <c r="CJ333" s="198">
        <v>12197837.786540002</v>
      </c>
      <c r="CK333" s="198">
        <v>1883624.5753900001</v>
      </c>
      <c r="CL333" s="198">
        <v>8228994.9958199998</v>
      </c>
      <c r="CM333" s="198">
        <v>2243141.4161200002</v>
      </c>
      <c r="CN333" s="198"/>
      <c r="CO333" s="197">
        <v>10482.423064320001</v>
      </c>
      <c r="CP333" s="198">
        <v>1049.9595235699999</v>
      </c>
      <c r="CQ333" s="198">
        <v>1403.4299647099999</v>
      </c>
      <c r="CR333" s="198">
        <v>2359.5062297100003</v>
      </c>
      <c r="CS333" s="198">
        <v>3557.5219773799995</v>
      </c>
      <c r="CT333" s="198"/>
      <c r="CU333" s="198">
        <v>2112.0053689500014</v>
      </c>
      <c r="CV333" s="197">
        <v>1736.962</v>
      </c>
      <c r="CW333" s="198"/>
      <c r="CX333" s="198"/>
      <c r="CY333" s="198"/>
      <c r="CZ333" s="198"/>
      <c r="DA333" s="198"/>
      <c r="DB333" s="198"/>
      <c r="DC333" s="197">
        <v>143174.86600000001</v>
      </c>
      <c r="DD333" s="198">
        <v>18121.217000000001</v>
      </c>
      <c r="DE333" s="198">
        <v>25627.634999999998</v>
      </c>
      <c r="DF333" s="198"/>
      <c r="DG333" s="198">
        <v>44714.413999999997</v>
      </c>
      <c r="DH333" s="198"/>
      <c r="DI333" s="198">
        <v>54711.600000000013</v>
      </c>
      <c r="DJ333" s="197">
        <v>130803.7</v>
      </c>
      <c r="DK333" s="198">
        <v>32369</v>
      </c>
      <c r="DL333" s="198">
        <v>32668.1</v>
      </c>
      <c r="DM333" s="198">
        <v>6682.8</v>
      </c>
      <c r="DN333" s="198">
        <v>16936.599999999999</v>
      </c>
      <c r="DO333" s="198"/>
      <c r="DP333" s="198">
        <v>42147.199999999997</v>
      </c>
      <c r="DQ333" s="197"/>
      <c r="DR333" s="198"/>
      <c r="DS333" s="198"/>
      <c r="DT333" s="198"/>
      <c r="DU333" s="198"/>
      <c r="DV333" s="198"/>
      <c r="DW333" s="198"/>
      <c r="DX333" s="197">
        <v>236599.53640000001</v>
      </c>
      <c r="DY333" s="198"/>
      <c r="DZ333" s="198">
        <v>156533.81479999999</v>
      </c>
      <c r="EA333" s="198">
        <v>35866.885499999997</v>
      </c>
      <c r="EB333" s="198">
        <v>41589.392800000001</v>
      </c>
      <c r="EC333" s="198">
        <v>2609.4432999999999</v>
      </c>
      <c r="ED333" s="198"/>
      <c r="EE333" s="197">
        <v>382439.23800000001</v>
      </c>
      <c r="EF333" s="198">
        <v>14013.111999999999</v>
      </c>
      <c r="EG333" s="198">
        <v>78428.125</v>
      </c>
      <c r="EH333" s="198">
        <v>25882.682000000001</v>
      </c>
      <c r="EI333" s="198">
        <v>182836.50099999999</v>
      </c>
      <c r="EJ333" s="198"/>
      <c r="EK333" s="198">
        <v>81278.818000000028</v>
      </c>
      <c r="EL333" s="197">
        <v>3450780.9339819984</v>
      </c>
      <c r="EM333" s="198">
        <v>1522163.5932179997</v>
      </c>
      <c r="EN333" s="198">
        <v>117730.74258199999</v>
      </c>
      <c r="EO333" s="198">
        <v>579737.10753099993</v>
      </c>
      <c r="EP333" s="198">
        <v>722404.07091300003</v>
      </c>
      <c r="EQ333" s="198"/>
      <c r="ER333" s="198">
        <v>509547.481806</v>
      </c>
      <c r="ES333" s="197">
        <v>105013.91117512</v>
      </c>
      <c r="ET333" s="198">
        <v>15030.90093838</v>
      </c>
      <c r="EU333" s="198">
        <v>37055.851153259995</v>
      </c>
      <c r="EV333" s="198">
        <v>14205.97568421</v>
      </c>
      <c r="EW333" s="198">
        <v>26732.816556199999</v>
      </c>
      <c r="EX333" s="198"/>
      <c r="EY333" s="198">
        <v>11988.366843069998</v>
      </c>
      <c r="EZ333" s="197">
        <v>41664.929560029996</v>
      </c>
      <c r="FA333" s="198">
        <v>2206.0192668100003</v>
      </c>
      <c r="FB333" s="198">
        <v>11019.40100385</v>
      </c>
      <c r="FC333" s="198">
        <v>12043.593918460001</v>
      </c>
      <c r="FD333" s="198">
        <v>8246.9458255600002</v>
      </c>
      <c r="FE333" s="198">
        <v>0</v>
      </c>
      <c r="FF333" s="198">
        <v>8148.969545349999</v>
      </c>
      <c r="FG333" s="197">
        <v>65829305.246813998</v>
      </c>
      <c r="FH333" s="198">
        <v>6649799.7294070004</v>
      </c>
      <c r="FI333" s="198">
        <v>15695480.351257</v>
      </c>
      <c r="FJ333" s="198"/>
      <c r="FK333" s="198">
        <v>9884709.1127589997</v>
      </c>
      <c r="FL333" s="198"/>
      <c r="FM333" s="198">
        <v>33599316.053391002</v>
      </c>
      <c r="FN333" s="197">
        <v>206941.61042099999</v>
      </c>
      <c r="FO333" s="198">
        <v>32209.353300000002</v>
      </c>
      <c r="FP333" s="198">
        <v>31610.044379999999</v>
      </c>
      <c r="FQ333" s="198">
        <v>34325.678295999998</v>
      </c>
      <c r="FR333" s="198">
        <v>35377.477643999999</v>
      </c>
      <c r="FS333" s="198"/>
      <c r="FT333" s="199">
        <v>73419.05680099997</v>
      </c>
      <c r="FU333" s="197">
        <v>746982.4856281</v>
      </c>
      <c r="FV333" s="198">
        <v>53099.958622099999</v>
      </c>
      <c r="FW333" s="198">
        <v>108082.51119102002</v>
      </c>
      <c r="FX333" s="198">
        <v>160646.28458702995</v>
      </c>
      <c r="FY333" s="198">
        <v>174637.18975492014</v>
      </c>
      <c r="FZ333" s="198"/>
      <c r="GA333" s="199">
        <v>250516.54147302994</v>
      </c>
      <c r="GB333" s="197">
        <v>1717.4259999999999</v>
      </c>
      <c r="GC333" s="198"/>
      <c r="GD333" s="198"/>
      <c r="GE333" s="198"/>
      <c r="GF333" s="198"/>
      <c r="GG333" s="198"/>
      <c r="GH333" s="199"/>
      <c r="GI333" s="197">
        <v>1197.854</v>
      </c>
      <c r="GJ333" s="198"/>
      <c r="GK333" s="198"/>
      <c r="GL333" s="198"/>
      <c r="GM333" s="198"/>
      <c r="GN333" s="198"/>
      <c r="GO333" s="199"/>
      <c r="GP333" s="197">
        <v>4050.27</v>
      </c>
      <c r="GQ333" s="198"/>
      <c r="GR333" s="198"/>
      <c r="GS333" s="198"/>
      <c r="GT333" s="198"/>
      <c r="GU333" s="198"/>
      <c r="GV333" s="199"/>
      <c r="GW333" s="198">
        <v>6472.7999999999993</v>
      </c>
      <c r="GX333" s="198">
        <v>417.3</v>
      </c>
      <c r="GY333" s="198">
        <v>1602.7</v>
      </c>
      <c r="GZ333" s="198">
        <v>877.2</v>
      </c>
      <c r="HA333" s="198"/>
      <c r="HB333" s="198"/>
      <c r="HC333" s="198">
        <v>3575.6000000000004</v>
      </c>
      <c r="HD333" s="197"/>
      <c r="HE333" s="198"/>
      <c r="HF333" s="198"/>
      <c r="HG333" s="198"/>
      <c r="HH333" s="198"/>
      <c r="HI333" s="198"/>
      <c r="HJ333" s="198"/>
      <c r="HK333" s="197">
        <v>15369.764364000001</v>
      </c>
      <c r="HL333" s="198">
        <v>2135.0895410000003</v>
      </c>
      <c r="HM333" s="198">
        <v>2131.6802589999998</v>
      </c>
      <c r="HN333" s="198">
        <v>448.94679500000001</v>
      </c>
      <c r="HO333" s="198">
        <v>5094.2971590000006</v>
      </c>
      <c r="HP333" s="198"/>
      <c r="HQ333" s="198">
        <v>5559.7506100000001</v>
      </c>
      <c r="HR333" s="197">
        <v>1400144.86</v>
      </c>
      <c r="HS333" s="198">
        <v>135259.12700000001</v>
      </c>
      <c r="HT333" s="198">
        <v>574569.13500000001</v>
      </c>
      <c r="HU333" s="198">
        <v>91075.063999999998</v>
      </c>
      <c r="HV333" s="198">
        <v>297582.45500000002</v>
      </c>
      <c r="HW333" s="198">
        <v>65492.803999999996</v>
      </c>
      <c r="HX333" s="198">
        <v>255804.55600000001</v>
      </c>
      <c r="HY333" s="180"/>
      <c r="HZ333" s="180"/>
    </row>
    <row r="334" spans="1:234">
      <c r="A334" s="185" t="s">
        <v>493</v>
      </c>
      <c r="B334" s="198">
        <v>2552.6390000000001</v>
      </c>
      <c r="C334" s="198"/>
      <c r="D334" s="198"/>
      <c r="E334" s="198"/>
      <c r="F334" s="198"/>
      <c r="G334" s="198"/>
      <c r="H334" s="198"/>
      <c r="I334" s="197">
        <v>715612.8</v>
      </c>
      <c r="J334" s="198"/>
      <c r="K334" s="198"/>
      <c r="L334" s="198">
        <v>49613</v>
      </c>
      <c r="M334" s="198">
        <v>130002.5</v>
      </c>
      <c r="N334" s="198"/>
      <c r="O334" s="199">
        <v>535997.30000000005</v>
      </c>
      <c r="P334" s="197">
        <v>6919.0720000000001</v>
      </c>
      <c r="Q334" s="198">
        <v>27.167000000000002</v>
      </c>
      <c r="R334" s="198">
        <v>291.06799999999998</v>
      </c>
      <c r="S334" s="198">
        <v>357.97199999999998</v>
      </c>
      <c r="T334" s="198">
        <v>5230.5010000000002</v>
      </c>
      <c r="U334" s="198"/>
      <c r="V334" s="199">
        <v>1012.3639999999996</v>
      </c>
      <c r="W334" s="197">
        <v>5923.9210000000003</v>
      </c>
      <c r="X334" s="198">
        <v>108.283</v>
      </c>
      <c r="Y334" s="198">
        <v>654.38300000000004</v>
      </c>
      <c r="Z334" s="198">
        <v>172.50700000000001</v>
      </c>
      <c r="AA334" s="198">
        <v>3365.3490000000002</v>
      </c>
      <c r="AB334" s="198"/>
      <c r="AC334" s="199">
        <v>1623.3990000000003</v>
      </c>
      <c r="AD334" s="198"/>
      <c r="AE334" s="198">
        <v>32.610999999999997</v>
      </c>
      <c r="AF334" s="198">
        <v>280.91700000000003</v>
      </c>
      <c r="AG334" s="198">
        <v>828.32299999999998</v>
      </c>
      <c r="AH334" s="198">
        <v>431.78500000000003</v>
      </c>
      <c r="AI334" s="198">
        <v>78.075999999999993</v>
      </c>
      <c r="AJ334" s="198"/>
      <c r="AK334" s="197"/>
      <c r="AL334" s="198"/>
      <c r="AM334" s="198"/>
      <c r="AN334" s="198"/>
      <c r="AO334" s="198"/>
      <c r="AP334" s="198"/>
      <c r="AQ334" s="199"/>
      <c r="AR334" s="198">
        <v>3082430</v>
      </c>
      <c r="AS334" s="198">
        <v>685414</v>
      </c>
      <c r="AT334" s="198">
        <v>297031</v>
      </c>
      <c r="AU334" s="198">
        <v>580209</v>
      </c>
      <c r="AV334" s="198">
        <v>989566</v>
      </c>
      <c r="AW334" s="198"/>
      <c r="AX334" s="198">
        <v>530210</v>
      </c>
      <c r="AY334" s="197">
        <v>131550148</v>
      </c>
      <c r="AZ334" s="198"/>
      <c r="BA334" s="198">
        <v>78119671</v>
      </c>
      <c r="BB334" s="198">
        <v>33863852</v>
      </c>
      <c r="BC334" s="198">
        <v>17802955</v>
      </c>
      <c r="BD334" s="198"/>
      <c r="BE334" s="198"/>
      <c r="BF334" s="197">
        <v>347030388.87000006</v>
      </c>
      <c r="BG334" s="198"/>
      <c r="BH334" s="198">
        <v>203560002.66</v>
      </c>
      <c r="BI334" s="198">
        <v>40165895.609999999</v>
      </c>
      <c r="BJ334" s="198">
        <v>93032607.250000015</v>
      </c>
      <c r="BK334" s="198">
        <v>10271883.35</v>
      </c>
      <c r="BL334" s="198"/>
      <c r="BM334" s="197">
        <v>15577868.428099999</v>
      </c>
      <c r="BN334" s="198">
        <v>645677.85800000012</v>
      </c>
      <c r="BO334" s="198">
        <v>1645405.5626000003</v>
      </c>
      <c r="BP334" s="198">
        <v>4957526.3439799994</v>
      </c>
      <c r="BQ334" s="198">
        <v>4720057.8891000003</v>
      </c>
      <c r="BR334" s="198"/>
      <c r="BS334" s="198">
        <v>3609200.7744199988</v>
      </c>
      <c r="BT334" s="197"/>
      <c r="BU334" s="198"/>
      <c r="BV334" s="198"/>
      <c r="BW334" s="198"/>
      <c r="BX334" s="198"/>
      <c r="BY334" s="198"/>
      <c r="BZ334" s="198"/>
      <c r="CA334" s="197">
        <v>927.80499999999995</v>
      </c>
      <c r="CB334" s="198"/>
      <c r="CC334" s="198"/>
      <c r="CD334" s="198"/>
      <c r="CE334" s="198"/>
      <c r="CF334" s="198"/>
      <c r="CG334" s="198"/>
      <c r="CH334" s="197">
        <v>24315688.937449992</v>
      </c>
      <c r="CI334" s="198"/>
      <c r="CJ334" s="198">
        <v>11976974.170879994</v>
      </c>
      <c r="CK334" s="198">
        <v>1900790.4809600003</v>
      </c>
      <c r="CL334" s="198">
        <v>8172441.9601299996</v>
      </c>
      <c r="CM334" s="198">
        <v>2265482.3254800001</v>
      </c>
      <c r="CN334" s="198"/>
      <c r="CO334" s="197">
        <v>10468.03446717</v>
      </c>
      <c r="CP334" s="198">
        <v>1044.28715483</v>
      </c>
      <c r="CQ334" s="198">
        <v>1385.5660816899999</v>
      </c>
      <c r="CR334" s="198">
        <v>2359.8951625499999</v>
      </c>
      <c r="CS334" s="198">
        <v>3574.3054119200001</v>
      </c>
      <c r="CT334" s="198"/>
      <c r="CU334" s="198">
        <v>2103.9806561800019</v>
      </c>
      <c r="CV334" s="197">
        <v>1737.816</v>
      </c>
      <c r="CW334" s="198"/>
      <c r="CX334" s="198"/>
      <c r="CY334" s="198"/>
      <c r="CZ334" s="198"/>
      <c r="DA334" s="198"/>
      <c r="DB334" s="198"/>
      <c r="DC334" s="211">
        <v>144860.511</v>
      </c>
      <c r="DD334" s="198">
        <v>18094.488000000001</v>
      </c>
      <c r="DE334" s="198">
        <v>25600.884999999998</v>
      </c>
      <c r="DF334" s="198"/>
      <c r="DG334" s="180">
        <v>45656.771999999997</v>
      </c>
      <c r="DH334" s="198"/>
      <c r="DI334" s="198">
        <v>55665.583000000021</v>
      </c>
      <c r="DJ334" s="197">
        <v>130866.6</v>
      </c>
      <c r="DK334" s="198">
        <v>31585.200000000001</v>
      </c>
      <c r="DL334" s="198">
        <v>33384.400000000001</v>
      </c>
      <c r="DM334" s="198">
        <v>6897.6</v>
      </c>
      <c r="DN334" s="198">
        <v>16713.400000000001</v>
      </c>
      <c r="DO334" s="198"/>
      <c r="DP334" s="198">
        <v>42286</v>
      </c>
      <c r="DQ334" s="197"/>
      <c r="DR334" s="198"/>
      <c r="DS334" s="198"/>
      <c r="DT334" s="198"/>
      <c r="DU334" s="198"/>
      <c r="DV334" s="198"/>
      <c r="DW334" s="198"/>
      <c r="DX334" s="197">
        <v>236750.24750000003</v>
      </c>
      <c r="DY334" s="198"/>
      <c r="DZ334" s="198">
        <v>155042.85860000001</v>
      </c>
      <c r="EA334" s="198">
        <v>35965.744700000003</v>
      </c>
      <c r="EB334" s="198">
        <v>43057.692999999999</v>
      </c>
      <c r="EC334" s="198">
        <v>2683.9512</v>
      </c>
      <c r="ED334" s="198"/>
      <c r="EE334" s="197">
        <v>385715.94199999998</v>
      </c>
      <c r="EF334" s="198">
        <v>13303.802</v>
      </c>
      <c r="EG334" s="198">
        <v>79013.153000000006</v>
      </c>
      <c r="EH334" s="198">
        <v>25969.995999999999</v>
      </c>
      <c r="EI334" s="198">
        <v>184094.261</v>
      </c>
      <c r="EJ334" s="198"/>
      <c r="EK334" s="198">
        <v>83334.729999999981</v>
      </c>
      <c r="EL334" s="197">
        <v>3508552.5067959991</v>
      </c>
      <c r="EM334" s="198">
        <v>1543501.5399930002</v>
      </c>
      <c r="EN334" s="198">
        <v>142530.87933699999</v>
      </c>
      <c r="EO334" s="198">
        <v>585905.51935099985</v>
      </c>
      <c r="EP334" s="198">
        <v>727072.22562699998</v>
      </c>
      <c r="EQ334" s="198"/>
      <c r="ER334" s="198">
        <v>509542.34248800005</v>
      </c>
      <c r="ES334" s="197">
        <v>106542.15806299</v>
      </c>
      <c r="ET334" s="198">
        <v>14977.607373899998</v>
      </c>
      <c r="EU334" s="198">
        <v>37636.043345550002</v>
      </c>
      <c r="EV334" s="198">
        <v>14444.753100889999</v>
      </c>
      <c r="EW334" s="198">
        <v>27406.039128029999</v>
      </c>
      <c r="EX334" s="198"/>
      <c r="EY334" s="198">
        <v>12077.715114620001</v>
      </c>
      <c r="EZ334" s="197">
        <v>42008.948349229991</v>
      </c>
      <c r="FA334" s="198">
        <v>2171.1535631300003</v>
      </c>
      <c r="FB334" s="198">
        <v>11075.024765599999</v>
      </c>
      <c r="FC334" s="198">
        <v>12124.28747806</v>
      </c>
      <c r="FD334" s="198">
        <v>8342.8074355699991</v>
      </c>
      <c r="FE334" s="198">
        <v>0</v>
      </c>
      <c r="FF334" s="198">
        <v>8295.6751068699941</v>
      </c>
      <c r="FG334" s="197">
        <v>66700673.734297991</v>
      </c>
      <c r="FH334" s="198">
        <v>6650515.546751</v>
      </c>
      <c r="FI334" s="198">
        <v>15946659.475097999</v>
      </c>
      <c r="FJ334" s="198"/>
      <c r="FK334" s="198">
        <v>9964283.6085509993</v>
      </c>
      <c r="FL334" s="198"/>
      <c r="FM334" s="198">
        <v>34139215.103897989</v>
      </c>
      <c r="FN334" s="197">
        <v>209793.83069999999</v>
      </c>
      <c r="FO334" s="198">
        <v>32316.280039000001</v>
      </c>
      <c r="FP334" s="198">
        <v>32098.483929000002</v>
      </c>
      <c r="FQ334" s="198">
        <v>34672.350361999997</v>
      </c>
      <c r="FR334" s="198">
        <v>36182.107321000003</v>
      </c>
      <c r="FS334" s="198"/>
      <c r="FT334" s="199">
        <v>74524.609048999977</v>
      </c>
      <c r="FU334" s="197">
        <v>753810.16734971013</v>
      </c>
      <c r="FV334" s="198">
        <v>55421.907755409971</v>
      </c>
      <c r="FW334" s="198">
        <v>109035.75534342998</v>
      </c>
      <c r="FX334" s="198">
        <v>162301.29754737997</v>
      </c>
      <c r="FY334" s="198">
        <v>179597.23482810016</v>
      </c>
      <c r="FZ334" s="198"/>
      <c r="GA334" s="199">
        <v>247453.97187539007</v>
      </c>
      <c r="GB334" s="197">
        <v>1713.3720000000001</v>
      </c>
      <c r="GC334" s="198"/>
      <c r="GD334" s="198"/>
      <c r="GE334" s="198"/>
      <c r="GF334" s="198"/>
      <c r="GG334" s="198"/>
      <c r="GH334" s="199"/>
      <c r="GI334" s="197">
        <v>1219.175</v>
      </c>
      <c r="GJ334" s="198"/>
      <c r="GK334" s="198"/>
      <c r="GL334" s="198"/>
      <c r="GM334" s="198"/>
      <c r="GN334" s="198"/>
      <c r="GO334" s="199"/>
      <c r="GP334" s="197">
        <v>3907.7</v>
      </c>
      <c r="GQ334" s="198"/>
      <c r="GR334" s="198"/>
      <c r="GS334" s="198"/>
      <c r="GT334" s="198"/>
      <c r="GU334" s="198"/>
      <c r="GV334" s="199"/>
      <c r="GW334" s="198">
        <v>6575.2</v>
      </c>
      <c r="GX334" s="198">
        <v>434.6</v>
      </c>
      <c r="GY334" s="198">
        <v>1619.7</v>
      </c>
      <c r="GZ334" s="198">
        <v>909.80000000000007</v>
      </c>
      <c r="HA334" s="198"/>
      <c r="HB334" s="198"/>
      <c r="HC334" s="198">
        <v>3611.0999999999995</v>
      </c>
      <c r="HD334" s="197"/>
      <c r="HE334" s="198"/>
      <c r="HF334" s="198"/>
      <c r="HG334" s="198"/>
      <c r="HH334" s="198"/>
      <c r="HI334" s="198"/>
      <c r="HJ334" s="198"/>
      <c r="HK334" s="197">
        <v>15359.386340000001</v>
      </c>
      <c r="HL334" s="198">
        <v>2134.3792539999995</v>
      </c>
      <c r="HM334" s="198">
        <v>2190.0845840000002</v>
      </c>
      <c r="HN334" s="198">
        <v>452.80108100000001</v>
      </c>
      <c r="HO334" s="198">
        <v>5054.4298719999997</v>
      </c>
      <c r="HP334" s="198"/>
      <c r="HQ334" s="198">
        <v>5527.6915490000019</v>
      </c>
      <c r="HR334" s="197">
        <v>1509448.0390000001</v>
      </c>
      <c r="HS334" s="198">
        <v>142356.90400000001</v>
      </c>
      <c r="HT334" s="198">
        <v>636016.73600000003</v>
      </c>
      <c r="HU334" s="198">
        <v>91476.625</v>
      </c>
      <c r="HV334" s="198">
        <v>313500.70500000002</v>
      </c>
      <c r="HW334" s="198">
        <v>69664.466</v>
      </c>
      <c r="HX334" s="198">
        <v>272550.728</v>
      </c>
      <c r="HY334" s="180"/>
      <c r="HZ334" s="180"/>
    </row>
    <row r="335" spans="1:234">
      <c r="A335" s="185" t="s">
        <v>494</v>
      </c>
      <c r="B335" s="198">
        <v>2528.2669999999998</v>
      </c>
      <c r="C335" s="198">
        <v>36.412999999999997</v>
      </c>
      <c r="D335" s="198">
        <v>440.315</v>
      </c>
      <c r="E335" s="198">
        <v>786.1</v>
      </c>
      <c r="F335" s="198">
        <v>438.959</v>
      </c>
      <c r="G335" s="198"/>
      <c r="H335" s="198">
        <v>826.47999999999979</v>
      </c>
      <c r="I335" s="197">
        <v>741294.3</v>
      </c>
      <c r="J335" s="198"/>
      <c r="K335" s="198"/>
      <c r="L335" s="198">
        <v>50694.6</v>
      </c>
      <c r="M335" s="198">
        <v>132700.70000000001</v>
      </c>
      <c r="N335" s="198"/>
      <c r="O335" s="199">
        <v>557899</v>
      </c>
      <c r="P335" s="197">
        <v>6918.3289999999997</v>
      </c>
      <c r="Q335" s="198">
        <v>33.151000000000003</v>
      </c>
      <c r="R335" s="198">
        <v>285.46499999999997</v>
      </c>
      <c r="S335" s="198">
        <v>359.07299999999998</v>
      </c>
      <c r="T335" s="198">
        <v>5228.7430000000004</v>
      </c>
      <c r="U335" s="198"/>
      <c r="V335" s="199">
        <v>1011.896999999999</v>
      </c>
      <c r="W335" s="197">
        <v>5886.7380000000003</v>
      </c>
      <c r="X335" s="198">
        <v>101.053</v>
      </c>
      <c r="Y335" s="198">
        <v>638.32000000000005</v>
      </c>
      <c r="Z335" s="198">
        <v>167.155</v>
      </c>
      <c r="AA335" s="198">
        <v>3359.8130000000001</v>
      </c>
      <c r="AB335" s="198"/>
      <c r="AC335" s="199">
        <v>1620.3970000000008</v>
      </c>
      <c r="AD335" s="198">
        <v>2529.2449999999999</v>
      </c>
      <c r="AE335" s="198">
        <v>31.981000000000002</v>
      </c>
      <c r="AF335" s="198">
        <v>287.78499999999997</v>
      </c>
      <c r="AG335" s="198">
        <v>829.50099999999998</v>
      </c>
      <c r="AH335" s="198">
        <v>424.589</v>
      </c>
      <c r="AI335" s="198">
        <v>79.174999999999997</v>
      </c>
      <c r="AJ335" s="198">
        <v>876.21399999999994</v>
      </c>
      <c r="AK335" s="197">
        <v>104375</v>
      </c>
      <c r="AL335" s="198">
        <v>38618.75</v>
      </c>
      <c r="AM335" s="198"/>
      <c r="AN335" s="198">
        <v>22753.75</v>
      </c>
      <c r="AO335" s="198">
        <v>12003.125</v>
      </c>
      <c r="AP335" s="198">
        <v>30999.375</v>
      </c>
      <c r="AQ335" s="199"/>
      <c r="AR335" s="198">
        <v>3100422</v>
      </c>
      <c r="AS335" s="198">
        <v>688317</v>
      </c>
      <c r="AT335" s="198">
        <v>302430</v>
      </c>
      <c r="AU335" s="198">
        <v>585285</v>
      </c>
      <c r="AV335" s="198">
        <v>992487</v>
      </c>
      <c r="AW335" s="198"/>
      <c r="AX335" s="198">
        <v>531903</v>
      </c>
      <c r="AY335" s="197">
        <v>132186315</v>
      </c>
      <c r="AZ335" s="198"/>
      <c r="BA335" s="198">
        <v>78464387</v>
      </c>
      <c r="BB335" s="198">
        <v>34253840</v>
      </c>
      <c r="BC335" s="198">
        <v>17879364</v>
      </c>
      <c r="BD335" s="198"/>
      <c r="BE335" s="198"/>
      <c r="BF335" s="197">
        <v>352060537.20000005</v>
      </c>
      <c r="BG335" s="198"/>
      <c r="BH335" s="198">
        <v>206853850.62</v>
      </c>
      <c r="BI335" s="198">
        <v>40362215.789999999</v>
      </c>
      <c r="BJ335" s="198">
        <v>94521771.050000012</v>
      </c>
      <c r="BK335" s="198">
        <v>10322699.740000002</v>
      </c>
      <c r="BL335" s="198"/>
      <c r="BM335" s="197">
        <v>15716655.663050001</v>
      </c>
      <c r="BN335" s="198">
        <v>629027.34908000019</v>
      </c>
      <c r="BO335" s="198">
        <v>1687538.5554100005</v>
      </c>
      <c r="BP335" s="198">
        <v>4977776.0063100019</v>
      </c>
      <c r="BQ335" s="198">
        <v>4768132.7892800011</v>
      </c>
      <c r="BR335" s="198"/>
      <c r="BS335" s="198">
        <v>3654180.9629699998</v>
      </c>
      <c r="BT335" s="197"/>
      <c r="BU335" s="198"/>
      <c r="BV335" s="198"/>
      <c r="BW335" s="198"/>
      <c r="BX335" s="198"/>
      <c r="BY335" s="198"/>
      <c r="BZ335" s="198"/>
      <c r="CA335" s="197">
        <v>932.60699999999997</v>
      </c>
      <c r="CB335" s="198">
        <v>27.568000000000001</v>
      </c>
      <c r="CC335" s="198">
        <v>138.77000000000001</v>
      </c>
      <c r="CD335" s="198">
        <v>272.96899999999999</v>
      </c>
      <c r="CE335" s="198">
        <v>181.16499999999999</v>
      </c>
      <c r="CF335" s="198"/>
      <c r="CG335" s="198">
        <v>312.13499999999999</v>
      </c>
      <c r="CH335" s="197">
        <v>24232506.943899997</v>
      </c>
      <c r="CI335" s="198"/>
      <c r="CJ335" s="198">
        <v>11957272.338369997</v>
      </c>
      <c r="CK335" s="198">
        <v>1916485.1569899996</v>
      </c>
      <c r="CL335" s="198">
        <v>8086615.4922599979</v>
      </c>
      <c r="CM335" s="198">
        <v>2272133.9562799996</v>
      </c>
      <c r="CN335" s="198"/>
      <c r="CO335" s="197">
        <v>10465.854790019999</v>
      </c>
      <c r="CP335" s="198">
        <v>1013.34986099</v>
      </c>
      <c r="CQ335" s="198">
        <v>1388.2555016399999</v>
      </c>
      <c r="CR335" s="198">
        <v>2362.4376846099999</v>
      </c>
      <c r="CS335" s="198">
        <v>3592.79492815</v>
      </c>
      <c r="CT335" s="198"/>
      <c r="CU335" s="198">
        <v>2109.0168146299989</v>
      </c>
      <c r="CV335" s="197">
        <v>1729.499</v>
      </c>
      <c r="CW335" s="198">
        <v>31</v>
      </c>
      <c r="CX335" s="198">
        <v>293.22899999999998</v>
      </c>
      <c r="CY335" s="198">
        <v>582.529</v>
      </c>
      <c r="CZ335" s="198">
        <v>547.346</v>
      </c>
      <c r="DA335" s="198"/>
      <c r="DB335" s="198">
        <v>275.39499999999998</v>
      </c>
      <c r="DC335" s="197">
        <v>145546.90100000001</v>
      </c>
      <c r="DD335" s="198">
        <v>18164.853999999999</v>
      </c>
      <c r="DE335" s="198">
        <v>25107.705000000002</v>
      </c>
      <c r="DF335" s="198"/>
      <c r="DG335" s="198">
        <v>46185.945</v>
      </c>
      <c r="DH335" s="198"/>
      <c r="DI335" s="198">
        <v>57172.331000000013</v>
      </c>
      <c r="DJ335" s="197">
        <v>130250.3</v>
      </c>
      <c r="DK335" s="198">
        <v>31718.5</v>
      </c>
      <c r="DL335" s="198">
        <v>32514.5</v>
      </c>
      <c r="DM335" s="198">
        <v>7020.7</v>
      </c>
      <c r="DN335" s="198">
        <v>16921</v>
      </c>
      <c r="DO335" s="198"/>
      <c r="DP335" s="198">
        <v>42075.600000000006</v>
      </c>
      <c r="DQ335" s="197">
        <v>77.919322930000007</v>
      </c>
      <c r="DR335" s="198">
        <v>12.838262749999997</v>
      </c>
      <c r="DS335" s="198">
        <v>18.891030619999999</v>
      </c>
      <c r="DT335" s="198">
        <v>6.4198942800000003</v>
      </c>
      <c r="DU335" s="198">
        <v>9.3147295999999997</v>
      </c>
      <c r="DV335" s="198"/>
      <c r="DW335" s="198">
        <v>30.455405680000013</v>
      </c>
      <c r="DX335" s="197">
        <v>238409.3296</v>
      </c>
      <c r="DY335" s="198"/>
      <c r="DZ335" s="198">
        <v>156097.18919999999</v>
      </c>
      <c r="EA335" s="198">
        <v>36614.965300000003</v>
      </c>
      <c r="EB335" s="198">
        <v>42907.627</v>
      </c>
      <c r="EC335" s="198">
        <v>2789.5481</v>
      </c>
      <c r="ED335" s="198"/>
      <c r="EE335" s="197">
        <v>386110.141</v>
      </c>
      <c r="EF335" s="198">
        <v>14171.121999999999</v>
      </c>
      <c r="EG335" s="198">
        <v>79825.442999999999</v>
      </c>
      <c r="EH335" s="198">
        <v>24383.188999999998</v>
      </c>
      <c r="EI335" s="198">
        <v>184179.61499999999</v>
      </c>
      <c r="EJ335" s="198"/>
      <c r="EK335" s="198">
        <v>83550.771999999997</v>
      </c>
      <c r="EL335" s="197">
        <v>3510139.5320270001</v>
      </c>
      <c r="EM335" s="198">
        <v>1545588.3823560001</v>
      </c>
      <c r="EN335" s="198">
        <v>125914.20731099998</v>
      </c>
      <c r="EO335" s="198">
        <v>589837.4131720002</v>
      </c>
      <c r="EP335" s="198">
        <v>742629.85326799995</v>
      </c>
      <c r="EQ335" s="198"/>
      <c r="ER335" s="198">
        <v>506169.67592000001</v>
      </c>
      <c r="ES335" s="197">
        <v>108059.78041768</v>
      </c>
      <c r="ET335" s="198">
        <v>14836.465200449999</v>
      </c>
      <c r="EU335" s="198">
        <v>38308.737298129992</v>
      </c>
      <c r="EV335" s="198">
        <v>14676.56510346</v>
      </c>
      <c r="EW335" s="198">
        <v>28035.220618859999</v>
      </c>
      <c r="EX335" s="198"/>
      <c r="EY335" s="198">
        <v>12202.79219678001</v>
      </c>
      <c r="EZ335" s="197">
        <v>42331.774291139998</v>
      </c>
      <c r="FA335" s="198">
        <v>2168.9776663000002</v>
      </c>
      <c r="FB335" s="198">
        <v>11050.20150838</v>
      </c>
      <c r="FC335" s="198">
        <v>12293.880634089999</v>
      </c>
      <c r="FD335" s="198">
        <v>8441.7166448799999</v>
      </c>
      <c r="FE335" s="198">
        <v>0</v>
      </c>
      <c r="FF335" s="198">
        <v>8376.9978374900002</v>
      </c>
      <c r="FG335" s="197">
        <v>67479453.182101011</v>
      </c>
      <c r="FH335" s="198">
        <v>6628053.1770879999</v>
      </c>
      <c r="FI335" s="198">
        <v>15988492.390924001</v>
      </c>
      <c r="FJ335" s="198"/>
      <c r="FK335" s="198">
        <v>10131852.321924999</v>
      </c>
      <c r="FL335" s="198"/>
      <c r="FM335" s="198">
        <v>34731055.292164013</v>
      </c>
      <c r="FN335" s="197">
        <v>211066.0569</v>
      </c>
      <c r="FO335" s="198">
        <v>32467.763428999999</v>
      </c>
      <c r="FP335" s="198">
        <v>32786.657935000003</v>
      </c>
      <c r="FQ335" s="198">
        <v>34908.288376999997</v>
      </c>
      <c r="FR335" s="198">
        <v>36751.111814999997</v>
      </c>
      <c r="FS335" s="198"/>
      <c r="FT335" s="199">
        <v>74152.235344000001</v>
      </c>
      <c r="FU335" s="197">
        <v>757509.28384505992</v>
      </c>
      <c r="FV335" s="198">
        <v>55603.897422560025</v>
      </c>
      <c r="FW335" s="198">
        <v>108124.37347097989</v>
      </c>
      <c r="FX335" s="198">
        <v>164308.94405067002</v>
      </c>
      <c r="FY335" s="198">
        <v>182135.18695797992</v>
      </c>
      <c r="FZ335" s="198"/>
      <c r="GA335" s="199">
        <v>247336.8819428701</v>
      </c>
      <c r="GB335" s="197">
        <v>1715.1420000000001</v>
      </c>
      <c r="GC335" s="198">
        <v>17.655000000000001</v>
      </c>
      <c r="GD335" s="198">
        <v>256.23899999999998</v>
      </c>
      <c r="GE335" s="198">
        <v>469.25700000000001</v>
      </c>
      <c r="GF335" s="198">
        <v>433.435</v>
      </c>
      <c r="GG335" s="198"/>
      <c r="GH335" s="199">
        <v>533.43000000000006</v>
      </c>
      <c r="GI335" s="197">
        <v>1210.2760000000001</v>
      </c>
      <c r="GJ335" s="198">
        <v>24.446000000000002</v>
      </c>
      <c r="GK335" s="198">
        <v>158.84200000000001</v>
      </c>
      <c r="GL335" s="198">
        <v>472.06</v>
      </c>
      <c r="GM335" s="198">
        <v>371.37</v>
      </c>
      <c r="GN335" s="198"/>
      <c r="GO335" s="199">
        <v>183.55800000000011</v>
      </c>
      <c r="GP335" s="197">
        <v>3910.48</v>
      </c>
      <c r="GQ335" s="198">
        <v>106.983</v>
      </c>
      <c r="GR335" s="198">
        <v>723.755</v>
      </c>
      <c r="GS335" s="198">
        <v>1012.331</v>
      </c>
      <c r="GT335" s="198">
        <v>764.41</v>
      </c>
      <c r="GU335" s="198"/>
      <c r="GV335" s="199">
        <v>1303.1069999999995</v>
      </c>
      <c r="GW335" s="198">
        <v>6675.9</v>
      </c>
      <c r="GX335" s="198">
        <v>445.40000000000003</v>
      </c>
      <c r="GY335" s="198">
        <v>1655.4</v>
      </c>
      <c r="GZ335" s="198">
        <v>914.9</v>
      </c>
      <c r="HA335" s="198"/>
      <c r="HB335" s="198"/>
      <c r="HC335" s="198">
        <v>3660.2</v>
      </c>
      <c r="HD335" s="197">
        <v>60397.700000000004</v>
      </c>
      <c r="HE335" s="198">
        <v>3849.2999999999997</v>
      </c>
      <c r="HF335" s="198">
        <v>4382.5</v>
      </c>
      <c r="HG335" s="198">
        <v>16532.199999999997</v>
      </c>
      <c r="HH335" s="198">
        <v>14501.600000000002</v>
      </c>
      <c r="HI335" s="198"/>
      <c r="HJ335" s="198">
        <v>21132.1</v>
      </c>
      <c r="HK335" s="197">
        <v>15362.238615000002</v>
      </c>
      <c r="HL335" s="198">
        <v>2179.1513960000002</v>
      </c>
      <c r="HM335" s="198">
        <v>2205.9058560000003</v>
      </c>
      <c r="HN335" s="198">
        <v>458.05997199999996</v>
      </c>
      <c r="HO335" s="198">
        <v>5018.3294770000002</v>
      </c>
      <c r="HP335" s="198"/>
      <c r="HQ335" s="198">
        <v>5500.7919140000004</v>
      </c>
      <c r="HR335" s="197">
        <v>1630737.0079999999</v>
      </c>
      <c r="HS335" s="198">
        <v>153991.94</v>
      </c>
      <c r="HT335" s="198">
        <v>703688.73899999994</v>
      </c>
      <c r="HU335" s="198">
        <v>93483.710999999996</v>
      </c>
      <c r="HV335" s="198">
        <v>335325.364</v>
      </c>
      <c r="HW335" s="198">
        <v>74972.837</v>
      </c>
      <c r="HX335" s="198">
        <v>288132.07699999999</v>
      </c>
      <c r="HY335" s="180"/>
      <c r="HZ335" s="180"/>
    </row>
    <row r="336" spans="1:234">
      <c r="A336" s="185" t="s">
        <v>495</v>
      </c>
      <c r="B336" s="198">
        <v>2528.7150000000001</v>
      </c>
      <c r="C336" s="198"/>
      <c r="D336" s="198"/>
      <c r="E336" s="198"/>
      <c r="F336" s="198"/>
      <c r="G336" s="198"/>
      <c r="H336" s="198"/>
      <c r="I336" s="197">
        <v>750560.9</v>
      </c>
      <c r="J336" s="198"/>
      <c r="K336" s="198"/>
      <c r="L336" s="198">
        <v>51541.4</v>
      </c>
      <c r="M336" s="198">
        <v>136765.4</v>
      </c>
      <c r="N336" s="198"/>
      <c r="O336" s="199">
        <v>562254.1</v>
      </c>
      <c r="P336" s="197">
        <v>6892.1490000000003</v>
      </c>
      <c r="Q336" s="198">
        <v>26.981999999999999</v>
      </c>
      <c r="R336" s="198">
        <v>281.952</v>
      </c>
      <c r="S336" s="198">
        <v>343.00799999999998</v>
      </c>
      <c r="T336" s="198">
        <v>5238.4589999999998</v>
      </c>
      <c r="U336" s="198"/>
      <c r="V336" s="199">
        <v>1001.7480000000005</v>
      </c>
      <c r="W336" s="197">
        <v>5882.3720000000003</v>
      </c>
      <c r="X336" s="198">
        <v>101.10218999999999</v>
      </c>
      <c r="Y336" s="198">
        <v>635.35374999999999</v>
      </c>
      <c r="Z336" s="198">
        <v>172.26098999999999</v>
      </c>
      <c r="AA336" s="198">
        <v>3337.77369</v>
      </c>
      <c r="AB336" s="198"/>
      <c r="AC336" s="199">
        <v>1635.8813800000007</v>
      </c>
      <c r="AD336" s="198"/>
      <c r="AE336" s="198">
        <v>34.28</v>
      </c>
      <c r="AF336" s="198">
        <v>288.81899999999996</v>
      </c>
      <c r="AG336" s="198">
        <v>834.77300000000002</v>
      </c>
      <c r="AH336" s="198">
        <v>422.63</v>
      </c>
      <c r="AI336" s="198">
        <v>80.858999999999995</v>
      </c>
      <c r="AJ336" s="198"/>
      <c r="AK336" s="197"/>
      <c r="AL336" s="198"/>
      <c r="AM336" s="198"/>
      <c r="AN336" s="198"/>
      <c r="AO336" s="198"/>
      <c r="AP336" s="198"/>
      <c r="AQ336" s="199"/>
      <c r="AR336" s="198">
        <v>3109646</v>
      </c>
      <c r="AS336" s="198">
        <v>690745</v>
      </c>
      <c r="AT336" s="198">
        <v>297552</v>
      </c>
      <c r="AU336" s="198">
        <v>591152</v>
      </c>
      <c r="AV336" s="198">
        <v>991972</v>
      </c>
      <c r="AW336" s="198"/>
      <c r="AX336" s="198">
        <v>538225</v>
      </c>
      <c r="AY336" s="197">
        <v>134116102</v>
      </c>
      <c r="AZ336" s="198"/>
      <c r="BA336" s="198">
        <v>79782646</v>
      </c>
      <c r="BB336" s="198">
        <v>34633642</v>
      </c>
      <c r="BC336" s="198">
        <v>17978381</v>
      </c>
      <c r="BD336" s="198"/>
      <c r="BE336" s="198"/>
      <c r="BF336" s="197">
        <v>357415947.13</v>
      </c>
      <c r="BG336" s="198"/>
      <c r="BH336" s="198">
        <v>210665120.95000002</v>
      </c>
      <c r="BI336" s="198">
        <v>41019304.099999994</v>
      </c>
      <c r="BJ336" s="198">
        <v>95342775.260000005</v>
      </c>
      <c r="BK336" s="198">
        <v>10388746.820000002</v>
      </c>
      <c r="BL336" s="198"/>
      <c r="BM336" s="197">
        <v>15875003.217060003</v>
      </c>
      <c r="BN336" s="198">
        <v>634845.45018000016</v>
      </c>
      <c r="BO336" s="198">
        <v>1671107.1377300001</v>
      </c>
      <c r="BP336" s="198">
        <v>5038307.2610999998</v>
      </c>
      <c r="BQ336" s="198">
        <v>4828482.0925000003</v>
      </c>
      <c r="BR336" s="198"/>
      <c r="BS336" s="198">
        <v>3702261.2755500032</v>
      </c>
      <c r="BT336" s="197"/>
      <c r="BU336" s="198"/>
      <c r="BV336" s="198"/>
      <c r="BW336" s="198"/>
      <c r="BX336" s="198"/>
      <c r="BY336" s="198"/>
      <c r="BZ336" s="198"/>
      <c r="CA336" s="197">
        <v>938.01900000000001</v>
      </c>
      <c r="CB336" s="198"/>
      <c r="CC336" s="198"/>
      <c r="CD336" s="198"/>
      <c r="CE336" s="198"/>
      <c r="CF336" s="198"/>
      <c r="CG336" s="198"/>
      <c r="CH336" s="197">
        <v>24047749.218210001</v>
      </c>
      <c r="CI336" s="198"/>
      <c r="CJ336" s="198">
        <v>11811005.91395</v>
      </c>
      <c r="CK336" s="198">
        <v>1937718.4920100002</v>
      </c>
      <c r="CL336" s="198">
        <v>8019353.5811400004</v>
      </c>
      <c r="CM336" s="198">
        <v>2279671.2311099996</v>
      </c>
      <c r="CN336" s="198"/>
      <c r="CO336" s="197">
        <v>10497.75177855</v>
      </c>
      <c r="CP336" s="198">
        <v>1005.0320379</v>
      </c>
      <c r="CQ336" s="198">
        <v>1409.8203505500001</v>
      </c>
      <c r="CR336" s="198">
        <v>2372.62938575</v>
      </c>
      <c r="CS336" s="198">
        <v>3608.5420706</v>
      </c>
      <c r="CT336" s="198"/>
      <c r="CU336" s="198">
        <v>2101.727933749999</v>
      </c>
      <c r="CV336" s="197">
        <v>1734.1</v>
      </c>
      <c r="CW336" s="198"/>
      <c r="CX336" s="198"/>
      <c r="CY336" s="198"/>
      <c r="CZ336" s="198"/>
      <c r="DA336" s="198"/>
      <c r="DB336" s="198"/>
      <c r="DC336" s="197">
        <v>147055.804</v>
      </c>
      <c r="DD336" s="198">
        <v>18423.019</v>
      </c>
      <c r="DE336" s="198">
        <v>24571.517</v>
      </c>
      <c r="DF336" s="198"/>
      <c r="DG336" s="198">
        <v>46610.913999999997</v>
      </c>
      <c r="DH336" s="198"/>
      <c r="DI336" s="198">
        <v>57450.354000000014</v>
      </c>
      <c r="DJ336" s="197">
        <v>129516.7</v>
      </c>
      <c r="DK336" s="198">
        <v>31525.4</v>
      </c>
      <c r="DL336" s="198">
        <v>34034.1</v>
      </c>
      <c r="DM336" s="198">
        <v>7295.7</v>
      </c>
      <c r="DN336" s="198">
        <v>16795.400000000001</v>
      </c>
      <c r="DO336" s="198"/>
      <c r="DP336" s="198">
        <v>39866.099999999991</v>
      </c>
      <c r="DQ336" s="197"/>
      <c r="DR336" s="198"/>
      <c r="DS336" s="198"/>
      <c r="DT336" s="198"/>
      <c r="DU336" s="198"/>
      <c r="DV336" s="198"/>
      <c r="DW336" s="198"/>
      <c r="DX336" s="197">
        <v>238368.85159999997</v>
      </c>
      <c r="DY336" s="198"/>
      <c r="DZ336" s="198">
        <v>156074.19959999999</v>
      </c>
      <c r="EA336" s="198">
        <v>36028.678800000002</v>
      </c>
      <c r="EB336" s="198">
        <v>43439.895600000003</v>
      </c>
      <c r="EC336" s="198">
        <v>2826.0776000000001</v>
      </c>
      <c r="ED336" s="198"/>
      <c r="EE336" s="197">
        <v>392641.435</v>
      </c>
      <c r="EF336" s="198">
        <v>15010.642</v>
      </c>
      <c r="EG336" s="198">
        <v>81054.006999999998</v>
      </c>
      <c r="EH336" s="198">
        <v>24775.489000000001</v>
      </c>
      <c r="EI336" s="198">
        <v>185220.21299999999</v>
      </c>
      <c r="EJ336" s="198"/>
      <c r="EK336" s="198">
        <v>86581.084000000032</v>
      </c>
      <c r="EL336" s="197">
        <v>3553292.5399920004</v>
      </c>
      <c r="EM336" s="198">
        <v>1563176.0331739997</v>
      </c>
      <c r="EN336" s="198">
        <v>121734.57079000003</v>
      </c>
      <c r="EO336" s="198">
        <v>594978.37911400001</v>
      </c>
      <c r="EP336" s="198">
        <v>750633.56586500013</v>
      </c>
      <c r="EQ336" s="198"/>
      <c r="ER336" s="198">
        <v>522769.99104900006</v>
      </c>
      <c r="ES336" s="197">
        <v>110431.01506101</v>
      </c>
      <c r="ET336" s="198">
        <v>15171.920384289999</v>
      </c>
      <c r="EU336" s="198">
        <v>38920.25013375</v>
      </c>
      <c r="EV336" s="198">
        <v>14963.03248849</v>
      </c>
      <c r="EW336" s="198">
        <v>28518.598853609998</v>
      </c>
      <c r="EX336" s="198"/>
      <c r="EY336" s="198">
        <v>12857.213200869992</v>
      </c>
      <c r="EZ336" s="197">
        <v>42924.583365840001</v>
      </c>
      <c r="FA336" s="198">
        <v>2016.3719379899999</v>
      </c>
      <c r="FB336" s="198">
        <v>11266.248004489998</v>
      </c>
      <c r="FC336" s="198">
        <v>12550.870805189999</v>
      </c>
      <c r="FD336" s="198">
        <v>8520.1763547699993</v>
      </c>
      <c r="FE336" s="198">
        <v>0</v>
      </c>
      <c r="FF336" s="198">
        <v>8570.9162634000022</v>
      </c>
      <c r="FG336" s="197">
        <v>68649712.805551007</v>
      </c>
      <c r="FH336" s="198">
        <v>6663215.8523509996</v>
      </c>
      <c r="FI336" s="198">
        <v>16209946.059308998</v>
      </c>
      <c r="FJ336" s="198"/>
      <c r="FK336" s="198">
        <v>10185174.055846002</v>
      </c>
      <c r="FL336" s="198"/>
      <c r="FM336" s="198">
        <v>35591376.838045001</v>
      </c>
      <c r="FN336" s="197">
        <v>212896.116759</v>
      </c>
      <c r="FO336" s="198">
        <v>33122.567576000001</v>
      </c>
      <c r="FP336" s="198">
        <v>33252.685982000003</v>
      </c>
      <c r="FQ336" s="198">
        <v>35036.914513000003</v>
      </c>
      <c r="FR336" s="198">
        <v>36669.167641</v>
      </c>
      <c r="FS336" s="198"/>
      <c r="FT336" s="199">
        <v>74814.781046999997</v>
      </c>
      <c r="FU336" s="197">
        <v>768735.74097095977</v>
      </c>
      <c r="FV336" s="198">
        <v>56054.88666366</v>
      </c>
      <c r="FW336" s="198">
        <v>108090.39604787983</v>
      </c>
      <c r="FX336" s="198">
        <v>163121.84212837985</v>
      </c>
      <c r="FY336" s="198">
        <v>185277.35020918012</v>
      </c>
      <c r="FZ336" s="198"/>
      <c r="GA336" s="199">
        <v>256191.26592185991</v>
      </c>
      <c r="GB336" s="197">
        <v>1727.098</v>
      </c>
      <c r="GC336" s="198"/>
      <c r="GD336" s="198"/>
      <c r="GE336" s="198"/>
      <c r="GF336" s="198"/>
      <c r="GG336" s="198"/>
      <c r="GH336" s="199"/>
      <c r="GI336" s="197">
        <v>1205.548</v>
      </c>
      <c r="GJ336" s="198"/>
      <c r="GK336" s="198"/>
      <c r="GL336" s="198"/>
      <c r="GM336" s="198"/>
      <c r="GN336" s="198"/>
      <c r="GO336" s="199"/>
      <c r="GP336" s="197">
        <v>3876.9969999999998</v>
      </c>
      <c r="GQ336" s="198"/>
      <c r="GR336" s="198"/>
      <c r="GS336" s="198"/>
      <c r="GT336" s="198"/>
      <c r="GU336" s="198"/>
      <c r="GV336" s="199"/>
      <c r="GW336" s="198">
        <v>6679.1</v>
      </c>
      <c r="GX336" s="198">
        <v>442.1</v>
      </c>
      <c r="GY336" s="198">
        <v>1644.5</v>
      </c>
      <c r="GZ336" s="198">
        <v>919.5</v>
      </c>
      <c r="HA336" s="198"/>
      <c r="HB336" s="198"/>
      <c r="HC336" s="198">
        <v>3673.0000000000009</v>
      </c>
      <c r="HD336" s="197"/>
      <c r="HE336" s="198"/>
      <c r="HF336" s="198"/>
      <c r="HG336" s="198"/>
      <c r="HH336" s="198"/>
      <c r="HI336" s="198"/>
      <c r="HJ336" s="198"/>
      <c r="HK336" s="197">
        <v>14961.088119999999</v>
      </c>
      <c r="HL336" s="198">
        <v>2132.2204489999999</v>
      </c>
      <c r="HM336" s="198">
        <v>2192.3736119999999</v>
      </c>
      <c r="HN336" s="198">
        <v>445.87385699999999</v>
      </c>
      <c r="HO336" s="198">
        <v>4795.7781429999995</v>
      </c>
      <c r="HP336" s="198"/>
      <c r="HQ336" s="198">
        <v>5394.8420589999987</v>
      </c>
      <c r="HR336" s="197">
        <v>1759112.0560000001</v>
      </c>
      <c r="HS336" s="198">
        <v>167333.019</v>
      </c>
      <c r="HT336" s="198">
        <v>772369.49100000004</v>
      </c>
      <c r="HU336" s="198">
        <v>96282.634000000005</v>
      </c>
      <c r="HV336" s="198">
        <v>362274.98499999999</v>
      </c>
      <c r="HW336" s="198">
        <v>81643.258000000002</v>
      </c>
      <c r="HX336" s="198">
        <v>305993.05200000003</v>
      </c>
      <c r="HZ336" s="180"/>
    </row>
    <row r="337" spans="1:234">
      <c r="A337" s="185" t="s">
        <v>496</v>
      </c>
      <c r="B337" s="198">
        <v>2528.2689999999998</v>
      </c>
      <c r="C337" s="198"/>
      <c r="D337" s="198"/>
      <c r="E337" s="198"/>
      <c r="F337" s="198"/>
      <c r="G337" s="198"/>
      <c r="H337" s="198"/>
      <c r="I337" s="197">
        <v>771018.6</v>
      </c>
      <c r="J337" s="198"/>
      <c r="K337" s="198"/>
      <c r="L337" s="198">
        <v>51465.1</v>
      </c>
      <c r="M337" s="198">
        <v>141157.79999999999</v>
      </c>
      <c r="N337" s="198"/>
      <c r="O337" s="199">
        <v>578395.69999999995</v>
      </c>
      <c r="P337" s="197">
        <v>6893.8440000000001</v>
      </c>
      <c r="Q337" s="198">
        <v>26.279</v>
      </c>
      <c r="R337" s="198">
        <v>288.87400000000002</v>
      </c>
      <c r="S337" s="198">
        <v>340.08199999999999</v>
      </c>
      <c r="T337" s="198">
        <v>5255.2089999999998</v>
      </c>
      <c r="U337" s="198"/>
      <c r="V337" s="199">
        <v>983.39999999999964</v>
      </c>
      <c r="W337" s="197">
        <v>5881.56</v>
      </c>
      <c r="X337" s="198">
        <v>112.59399999999999</v>
      </c>
      <c r="Y337" s="198">
        <v>644.15700000000004</v>
      </c>
      <c r="Z337" s="198">
        <v>172.589</v>
      </c>
      <c r="AA337" s="198">
        <v>3344.6320000000001</v>
      </c>
      <c r="AB337" s="198"/>
      <c r="AC337" s="199">
        <v>1607.5880000000002</v>
      </c>
      <c r="AD337" s="198"/>
      <c r="AE337" s="198">
        <v>29.893999999999998</v>
      </c>
      <c r="AF337" s="198">
        <v>286.47699999999998</v>
      </c>
      <c r="AG337" s="198">
        <v>838.86599999999999</v>
      </c>
      <c r="AH337" s="198">
        <v>426.697</v>
      </c>
      <c r="AI337" s="198">
        <v>83.108999999999995</v>
      </c>
      <c r="AJ337" s="198"/>
      <c r="AK337" s="197"/>
      <c r="AL337" s="198"/>
      <c r="AM337" s="198"/>
      <c r="AN337" s="198"/>
      <c r="AO337" s="198"/>
      <c r="AP337" s="198"/>
      <c r="AQ337" s="199"/>
      <c r="AR337" s="198">
        <v>3135187</v>
      </c>
      <c r="AS337" s="198">
        <v>697533</v>
      </c>
      <c r="AT337" s="198">
        <v>296285</v>
      </c>
      <c r="AU337" s="198">
        <v>596511</v>
      </c>
      <c r="AV337" s="198">
        <v>998278</v>
      </c>
      <c r="AW337" s="198"/>
      <c r="AX337" s="198">
        <v>546580</v>
      </c>
      <c r="AY337" s="197">
        <v>135839853</v>
      </c>
      <c r="AZ337" s="198"/>
      <c r="BA337" s="198">
        <v>80639831</v>
      </c>
      <c r="BB337" s="198">
        <v>35012672</v>
      </c>
      <c r="BC337" s="198">
        <v>18075334</v>
      </c>
      <c r="BD337" s="198"/>
      <c r="BE337" s="198"/>
      <c r="BF337" s="197">
        <v>365683788.28000003</v>
      </c>
      <c r="BG337" s="198"/>
      <c r="BH337" s="198">
        <v>217454862.17000005</v>
      </c>
      <c r="BI337" s="198">
        <v>41620813.79999999</v>
      </c>
      <c r="BJ337" s="198">
        <v>96231931.599999979</v>
      </c>
      <c r="BK337" s="198">
        <v>10376180.709999997</v>
      </c>
      <c r="BL337" s="198"/>
      <c r="BM337" s="197">
        <v>16003405.575159999</v>
      </c>
      <c r="BN337" s="198">
        <v>636039.09484999999</v>
      </c>
      <c r="BO337" s="198">
        <v>1675462.0419300003</v>
      </c>
      <c r="BP337" s="198">
        <v>5090264.8859800007</v>
      </c>
      <c r="BQ337" s="198">
        <v>4888991.8272400005</v>
      </c>
      <c r="BR337" s="198"/>
      <c r="BS337" s="198">
        <v>3712647.7251599981</v>
      </c>
      <c r="BT337" s="197"/>
      <c r="BU337" s="198"/>
      <c r="BV337" s="198"/>
      <c r="BW337" s="198"/>
      <c r="BX337" s="198"/>
      <c r="BY337" s="198"/>
      <c r="BZ337" s="198"/>
      <c r="CA337" s="197">
        <v>923.68600000000004</v>
      </c>
      <c r="CB337" s="198"/>
      <c r="CC337" s="198"/>
      <c r="CD337" s="198"/>
      <c r="CE337" s="198"/>
      <c r="CF337" s="198"/>
      <c r="CG337" s="198"/>
      <c r="CH337" s="197">
        <v>23890605.430429995</v>
      </c>
      <c r="CI337" s="198"/>
      <c r="CJ337" s="198">
        <v>11623817.971019998</v>
      </c>
      <c r="CK337" s="198">
        <v>1947483.5146100002</v>
      </c>
      <c r="CL337" s="198">
        <v>8045594.2047699988</v>
      </c>
      <c r="CM337" s="198">
        <v>2273709.7400299995</v>
      </c>
      <c r="CN337" s="198"/>
      <c r="CO337" s="197">
        <v>10561.93387277</v>
      </c>
      <c r="CP337" s="198">
        <v>1003.03767578</v>
      </c>
      <c r="CQ337" s="198">
        <v>1422.39602098</v>
      </c>
      <c r="CR337" s="198">
        <v>2375.35033703</v>
      </c>
      <c r="CS337" s="198">
        <v>3629.6187295</v>
      </c>
      <c r="CT337" s="198"/>
      <c r="CU337" s="198">
        <v>2131.5311094799999</v>
      </c>
      <c r="CV337" s="197">
        <v>1729.712</v>
      </c>
      <c r="CW337" s="198"/>
      <c r="CX337" s="198"/>
      <c r="CY337" s="198"/>
      <c r="CZ337" s="198"/>
      <c r="DA337" s="198"/>
      <c r="DB337" s="198"/>
      <c r="DC337" s="197">
        <v>149087.90599999999</v>
      </c>
      <c r="DD337" s="198">
        <v>18684.441999999999</v>
      </c>
      <c r="DE337" s="198">
        <v>24633.547999999999</v>
      </c>
      <c r="DF337" s="198"/>
      <c r="DG337" s="198">
        <v>47137.605000000003</v>
      </c>
      <c r="DH337" s="198"/>
      <c r="DI337" s="198">
        <v>58632.310999999994</v>
      </c>
      <c r="DJ337" s="197">
        <v>132156.6</v>
      </c>
      <c r="DK337" s="198">
        <v>32075.8</v>
      </c>
      <c r="DL337" s="198">
        <v>34521.599999999999</v>
      </c>
      <c r="DM337" s="198">
        <v>7373.1</v>
      </c>
      <c r="DN337" s="198">
        <v>17687.5</v>
      </c>
      <c r="DO337" s="198"/>
      <c r="DP337" s="198">
        <v>40498.600000000013</v>
      </c>
      <c r="DQ337" s="197"/>
      <c r="DR337" s="198"/>
      <c r="DS337" s="198"/>
      <c r="DT337" s="198"/>
      <c r="DU337" s="198"/>
      <c r="DV337" s="198"/>
      <c r="DW337" s="198"/>
      <c r="DX337" s="197">
        <v>241203.85930000001</v>
      </c>
      <c r="DY337" s="198"/>
      <c r="DZ337" s="198">
        <v>157773.05589999998</v>
      </c>
      <c r="EA337" s="198">
        <v>36166.299899999998</v>
      </c>
      <c r="EB337" s="198">
        <v>44342.987999999998</v>
      </c>
      <c r="EC337" s="198">
        <v>2921.5155</v>
      </c>
      <c r="ED337" s="198"/>
      <c r="EE337" s="197">
        <v>401407.87699999998</v>
      </c>
      <c r="EF337" s="198">
        <v>15316.084999999999</v>
      </c>
      <c r="EG337" s="198">
        <v>80496.854999999996</v>
      </c>
      <c r="EH337" s="198">
        <v>25525.451000000001</v>
      </c>
      <c r="EI337" s="198">
        <v>190505.261</v>
      </c>
      <c r="EJ337" s="198"/>
      <c r="EK337" s="198">
        <v>89564.224999999977</v>
      </c>
      <c r="EL337" s="197">
        <v>3604142.622467001</v>
      </c>
      <c r="EM337" s="198">
        <v>1588658.8915570001</v>
      </c>
      <c r="EN337" s="198">
        <v>123222.18951700002</v>
      </c>
      <c r="EO337" s="198">
        <v>598965.30139100004</v>
      </c>
      <c r="EP337" s="198">
        <v>763156.04799699981</v>
      </c>
      <c r="EQ337" s="198"/>
      <c r="ER337" s="198">
        <v>530140.19200499996</v>
      </c>
      <c r="ES337" s="197">
        <v>111947.89888614</v>
      </c>
      <c r="ET337" s="198">
        <v>15284.099231169999</v>
      </c>
      <c r="EU337" s="198">
        <v>38979.546626659998</v>
      </c>
      <c r="EV337" s="198">
        <v>15176.80999568</v>
      </c>
      <c r="EW337" s="198">
        <v>29039.072995500006</v>
      </c>
      <c r="EX337" s="198"/>
      <c r="EY337" s="198">
        <v>13468.37003713</v>
      </c>
      <c r="EZ337" s="197">
        <v>43413.443255819999</v>
      </c>
      <c r="FA337" s="198">
        <v>1993.0815568600001</v>
      </c>
      <c r="FB337" s="198">
        <v>11337.409391479998</v>
      </c>
      <c r="FC337" s="198">
        <v>12682.110420180001</v>
      </c>
      <c r="FD337" s="198">
        <v>8697.8984786299989</v>
      </c>
      <c r="FE337" s="198">
        <v>0</v>
      </c>
      <c r="FF337" s="198">
        <v>8702.9434086700021</v>
      </c>
      <c r="FG337" s="197">
        <v>71594507.502300009</v>
      </c>
      <c r="FH337" s="198">
        <v>6875632.9116350003</v>
      </c>
      <c r="FI337" s="198">
        <v>16984543.931402002</v>
      </c>
      <c r="FJ337" s="198"/>
      <c r="FK337" s="198">
        <v>10294707.107298</v>
      </c>
      <c r="FL337" s="198"/>
      <c r="FM337" s="198">
        <v>37439623.551965013</v>
      </c>
      <c r="FN337" s="197">
        <v>217315.06805500001</v>
      </c>
      <c r="FO337" s="198">
        <v>33337.935429999998</v>
      </c>
      <c r="FP337" s="198">
        <v>34158.653170999998</v>
      </c>
      <c r="FQ337" s="198">
        <v>35494.168249000002</v>
      </c>
      <c r="FR337" s="198">
        <v>37257.901835999997</v>
      </c>
      <c r="FS337" s="198"/>
      <c r="FT337" s="199">
        <v>77066.409369000001</v>
      </c>
      <c r="FU337" s="197">
        <v>774561.04183228011</v>
      </c>
      <c r="FV337" s="198">
        <v>55608.417239399911</v>
      </c>
      <c r="FW337" s="198">
        <v>109313.79889587007</v>
      </c>
      <c r="FX337" s="198">
        <v>170188.20482054009</v>
      </c>
      <c r="FY337" s="198">
        <v>189002.86516595996</v>
      </c>
      <c r="FZ337" s="198"/>
      <c r="GA337" s="199">
        <v>250447.7557105101</v>
      </c>
      <c r="GB337" s="197">
        <v>1725.116</v>
      </c>
      <c r="GC337" s="198"/>
      <c r="GD337" s="198"/>
      <c r="GE337" s="198"/>
      <c r="GF337" s="198"/>
      <c r="GG337" s="198"/>
      <c r="GH337" s="199"/>
      <c r="GI337" s="197">
        <v>1218.154</v>
      </c>
      <c r="GJ337" s="198"/>
      <c r="GK337" s="198"/>
      <c r="GL337" s="198"/>
      <c r="GM337" s="198"/>
      <c r="GN337" s="198"/>
      <c r="GO337" s="199"/>
      <c r="GP337" s="197">
        <v>3846.6129999999998</v>
      </c>
      <c r="GQ337" s="198"/>
      <c r="GR337" s="198"/>
      <c r="GS337" s="198"/>
      <c r="GT337" s="198"/>
      <c r="GU337" s="198"/>
      <c r="GV337" s="199"/>
      <c r="GW337" s="198">
        <v>6362.3</v>
      </c>
      <c r="GX337" s="198">
        <v>441.2</v>
      </c>
      <c r="GY337" s="198">
        <v>1631.6</v>
      </c>
      <c r="GZ337" s="198">
        <v>937.8</v>
      </c>
      <c r="HA337" s="198"/>
      <c r="HB337" s="198"/>
      <c r="HC337" s="198">
        <v>3351.7000000000003</v>
      </c>
      <c r="HD337" s="197"/>
      <c r="HE337" s="198"/>
      <c r="HF337" s="198"/>
      <c r="HG337" s="198"/>
      <c r="HH337" s="198"/>
      <c r="HI337" s="198"/>
      <c r="HJ337" s="198"/>
      <c r="HK337" s="197">
        <v>14914.445981999999</v>
      </c>
      <c r="HL337" s="198">
        <v>2133.5029380000001</v>
      </c>
      <c r="HM337" s="198">
        <v>2149.4777209999997</v>
      </c>
      <c r="HN337" s="198">
        <v>430.51315800000003</v>
      </c>
      <c r="HO337" s="198">
        <v>4813.5830649999998</v>
      </c>
      <c r="HP337" s="198"/>
      <c r="HQ337" s="198">
        <v>5387.3691000000008</v>
      </c>
      <c r="HR337" s="197">
        <v>1894440.9410000001</v>
      </c>
      <c r="HS337" s="198">
        <v>178149.97399999999</v>
      </c>
      <c r="HT337" s="198">
        <v>844948.16099999996</v>
      </c>
      <c r="HU337" s="198">
        <v>99618.91</v>
      </c>
      <c r="HV337" s="198">
        <v>388324.20699999999</v>
      </c>
      <c r="HW337" s="198">
        <v>88543.278000000006</v>
      </c>
      <c r="HX337" s="198">
        <v>323889.32299999997</v>
      </c>
      <c r="HZ337" s="180"/>
    </row>
    <row r="338" spans="1:234">
      <c r="A338" s="185" t="s">
        <v>497</v>
      </c>
      <c r="B338" s="198">
        <v>2514.415</v>
      </c>
      <c r="C338" s="198">
        <v>35.718000000000004</v>
      </c>
      <c r="D338" s="198">
        <v>439.87799999999999</v>
      </c>
      <c r="E338" s="198">
        <v>786.67700000000002</v>
      </c>
      <c r="F338" s="198">
        <v>443.202</v>
      </c>
      <c r="G338" s="198"/>
      <c r="H338" s="198">
        <v>808.94</v>
      </c>
      <c r="I338" s="197">
        <v>786257.8</v>
      </c>
      <c r="J338" s="198"/>
      <c r="K338" s="198"/>
      <c r="L338" s="198">
        <v>52253.7</v>
      </c>
      <c r="M338" s="198">
        <v>146628.1</v>
      </c>
      <c r="N338" s="198"/>
      <c r="O338" s="199">
        <v>587376.00000000012</v>
      </c>
      <c r="P338" s="197">
        <v>6940.2340000000004</v>
      </c>
      <c r="Q338" s="198">
        <v>29.071999999999999</v>
      </c>
      <c r="R338" s="198">
        <v>279.53800000000001</v>
      </c>
      <c r="S338" s="198">
        <v>347.71300000000002</v>
      </c>
      <c r="T338" s="198">
        <v>5258.598</v>
      </c>
      <c r="U338" s="198"/>
      <c r="V338" s="199">
        <v>1025.3130000000001</v>
      </c>
      <c r="W338" s="197">
        <v>5908.3729999999996</v>
      </c>
      <c r="X338" s="198">
        <v>117.364</v>
      </c>
      <c r="Y338" s="198">
        <v>662.84900000000005</v>
      </c>
      <c r="Z338" s="198">
        <v>172.92099999999999</v>
      </c>
      <c r="AA338" s="198">
        <v>3355.14</v>
      </c>
      <c r="AB338" s="198"/>
      <c r="AC338" s="199">
        <v>1600.0989999999997</v>
      </c>
      <c r="AD338" s="198">
        <v>2580.2620000000002</v>
      </c>
      <c r="AE338" s="198">
        <v>32.667000000000002</v>
      </c>
      <c r="AF338" s="198">
        <v>288.346</v>
      </c>
      <c r="AG338" s="198">
        <v>846.4</v>
      </c>
      <c r="AH338" s="198">
        <v>425.11099999999999</v>
      </c>
      <c r="AI338" s="198">
        <v>86.100999999999999</v>
      </c>
      <c r="AJ338" s="198">
        <v>901.63700000000017</v>
      </c>
      <c r="AK338" s="197">
        <v>108677</v>
      </c>
      <c r="AL338" s="198">
        <v>39449.750999999997</v>
      </c>
      <c r="AM338" s="198"/>
      <c r="AN338" s="198">
        <v>24126.293999999998</v>
      </c>
      <c r="AO338" s="198">
        <v>12280.501</v>
      </c>
      <c r="AP338" s="198">
        <v>32711.777000000002</v>
      </c>
      <c r="AQ338" s="199"/>
      <c r="AR338" s="198">
        <v>3164300</v>
      </c>
      <c r="AS338" s="198">
        <v>706747</v>
      </c>
      <c r="AT338" s="198">
        <v>301616</v>
      </c>
      <c r="AU338" s="198">
        <v>601046</v>
      </c>
      <c r="AV338" s="198">
        <v>1000514</v>
      </c>
      <c r="AW338" s="198"/>
      <c r="AX338" s="198">
        <v>554377</v>
      </c>
      <c r="AY338" s="197">
        <v>137486166</v>
      </c>
      <c r="AZ338" s="198"/>
      <c r="BA338" s="198">
        <v>81575130</v>
      </c>
      <c r="BB338" s="198">
        <v>35537138</v>
      </c>
      <c r="BC338" s="198">
        <v>18190565</v>
      </c>
      <c r="BD338" s="198"/>
      <c r="BE338" s="198"/>
      <c r="BF338" s="197">
        <v>367669171.39999992</v>
      </c>
      <c r="BG338" s="198"/>
      <c r="BH338" s="198">
        <v>217593880.24999991</v>
      </c>
      <c r="BI338" s="198">
        <v>42381614.049999997</v>
      </c>
      <c r="BJ338" s="198">
        <v>97246365.799999997</v>
      </c>
      <c r="BK338" s="198">
        <v>10447311.299999999</v>
      </c>
      <c r="BL338" s="198"/>
      <c r="BM338" s="197">
        <v>16168767.22725</v>
      </c>
      <c r="BN338" s="198">
        <v>635545.99421000003</v>
      </c>
      <c r="BO338" s="198">
        <v>1681434.8028299997</v>
      </c>
      <c r="BP338" s="198">
        <v>5156588.7066699993</v>
      </c>
      <c r="BQ338" s="198">
        <v>4934661.7731799996</v>
      </c>
      <c r="BR338" s="198"/>
      <c r="BS338" s="198">
        <v>3760535.9503600029</v>
      </c>
      <c r="BT338" s="197"/>
      <c r="BU338" s="198"/>
      <c r="BV338" s="198"/>
      <c r="BW338" s="198"/>
      <c r="BX338" s="198"/>
      <c r="BY338" s="198"/>
      <c r="BZ338" s="198"/>
      <c r="CA338" s="197">
        <v>924.14300000000003</v>
      </c>
      <c r="CB338" s="198">
        <v>27.576000000000001</v>
      </c>
      <c r="CC338" s="198">
        <v>137.64500000000001</v>
      </c>
      <c r="CD338" s="198">
        <v>273.03500000000003</v>
      </c>
      <c r="CE338" s="198">
        <v>185.678</v>
      </c>
      <c r="CF338" s="198"/>
      <c r="CG338" s="198">
        <v>300.209</v>
      </c>
      <c r="CH338" s="197">
        <v>23663102.42625</v>
      </c>
      <c r="CI338" s="198"/>
      <c r="CJ338" s="198">
        <v>11415717.002640001</v>
      </c>
      <c r="CK338" s="198">
        <v>1964258.4487900003</v>
      </c>
      <c r="CL338" s="198">
        <v>8011564.9751599981</v>
      </c>
      <c r="CM338" s="198">
        <v>2271561.9996600002</v>
      </c>
      <c r="CN338" s="198"/>
      <c r="CO338" s="197">
        <v>10605.429804220001</v>
      </c>
      <c r="CP338" s="198">
        <v>1017.3117600599998</v>
      </c>
      <c r="CQ338" s="198">
        <v>1434.1295000200003</v>
      </c>
      <c r="CR338" s="198">
        <v>2376.0630071899996</v>
      </c>
      <c r="CS338" s="198">
        <v>3646.8512081700001</v>
      </c>
      <c r="CT338" s="198"/>
      <c r="CU338" s="198">
        <v>2131.0743287800005</v>
      </c>
      <c r="CV338" s="197">
        <v>1710.9469999999999</v>
      </c>
      <c r="CW338" s="198">
        <v>30.946000000000002</v>
      </c>
      <c r="CX338" s="198">
        <v>287.952</v>
      </c>
      <c r="CY338" s="198">
        <v>583.20600000000002</v>
      </c>
      <c r="CZ338" s="198">
        <v>537.59500000000003</v>
      </c>
      <c r="DA338" s="198"/>
      <c r="DB338" s="198">
        <v>271.24799999999993</v>
      </c>
      <c r="DC338" s="197">
        <v>150451.33600000001</v>
      </c>
      <c r="DD338" s="198">
        <v>18801.89</v>
      </c>
      <c r="DE338" s="198">
        <v>24488.044999999998</v>
      </c>
      <c r="DF338" s="198"/>
      <c r="DG338" s="198">
        <v>47711.006999999998</v>
      </c>
      <c r="DH338" s="198"/>
      <c r="DI338" s="198">
        <v>59450.394</v>
      </c>
      <c r="DJ338" s="197">
        <v>131204.5</v>
      </c>
      <c r="DK338" s="198">
        <v>31377.599999999999</v>
      </c>
      <c r="DL338" s="198">
        <v>34700.400000000001</v>
      </c>
      <c r="DM338" s="198">
        <v>7462.1</v>
      </c>
      <c r="DN338" s="198">
        <v>17457.900000000001</v>
      </c>
      <c r="DO338" s="198"/>
      <c r="DP338" s="198">
        <v>40206.499999999993</v>
      </c>
      <c r="DQ338" s="197">
        <v>75.454742929999995</v>
      </c>
      <c r="DR338" s="198">
        <v>12.211504830000001</v>
      </c>
      <c r="DS338" s="198">
        <v>16.405309150000001</v>
      </c>
      <c r="DT338" s="198">
        <v>6.6817064400000001</v>
      </c>
      <c r="DU338" s="198">
        <v>9.0319732100000003</v>
      </c>
      <c r="DV338" s="198"/>
      <c r="DW338" s="198">
        <v>31.124249299999992</v>
      </c>
      <c r="DX338" s="197">
        <v>242785.31479999999</v>
      </c>
      <c r="DY338" s="198"/>
      <c r="DZ338" s="198">
        <v>158458.02179999999</v>
      </c>
      <c r="EA338" s="198">
        <v>36290.6394</v>
      </c>
      <c r="EB338" s="198">
        <v>45034.480600000003</v>
      </c>
      <c r="EC338" s="198">
        <v>3002.1729999999998</v>
      </c>
      <c r="ED338" s="198"/>
      <c r="EE338" s="197">
        <v>404876.755</v>
      </c>
      <c r="EF338" s="198">
        <v>15665.37</v>
      </c>
      <c r="EG338" s="198">
        <v>81963.179999999993</v>
      </c>
      <c r="EH338" s="198">
        <v>24818.142</v>
      </c>
      <c r="EI338" s="198">
        <v>192178.16200000001</v>
      </c>
      <c r="EJ338" s="198"/>
      <c r="EK338" s="198">
        <v>90251.901000000013</v>
      </c>
      <c r="EL338" s="197">
        <v>3664792.633651</v>
      </c>
      <c r="EM338" s="198">
        <v>1632704.2359279997</v>
      </c>
      <c r="EN338" s="198">
        <v>122088.37742600002</v>
      </c>
      <c r="EO338" s="198">
        <v>605636.27777399996</v>
      </c>
      <c r="EP338" s="198">
        <v>770967.13685100002</v>
      </c>
      <c r="EQ338" s="198"/>
      <c r="ER338" s="198">
        <v>533396.60567199998</v>
      </c>
      <c r="ES338" s="197">
        <v>115446.07270108</v>
      </c>
      <c r="ET338" s="198">
        <v>15834.993138649999</v>
      </c>
      <c r="EU338" s="198">
        <v>40357.179381810005</v>
      </c>
      <c r="EV338" s="198">
        <v>15402.74477732</v>
      </c>
      <c r="EW338" s="198">
        <v>29709.298524210004</v>
      </c>
      <c r="EX338" s="198"/>
      <c r="EY338" s="198">
        <v>14141.856879089995</v>
      </c>
      <c r="EZ338" s="197">
        <v>43534.89318698</v>
      </c>
      <c r="FA338" s="198">
        <v>2000.69553092</v>
      </c>
      <c r="FB338" s="198">
        <v>11544.472315769999</v>
      </c>
      <c r="FC338" s="198">
        <v>12857.687374929999</v>
      </c>
      <c r="FD338" s="198">
        <v>8653.3077224199988</v>
      </c>
      <c r="FE338" s="198">
        <v>0</v>
      </c>
      <c r="FF338" s="198">
        <v>8478.7302429400042</v>
      </c>
      <c r="FG338" s="197">
        <v>73447742.684778988</v>
      </c>
      <c r="FH338" s="198">
        <v>6992683.6324410001</v>
      </c>
      <c r="FI338" s="198">
        <v>17559479.488784999</v>
      </c>
      <c r="FJ338" s="198"/>
      <c r="FK338" s="198">
        <v>10387868.875267001</v>
      </c>
      <c r="FL338" s="198"/>
      <c r="FM338" s="198">
        <v>38507710.688285992</v>
      </c>
      <c r="FN338" s="197">
        <v>219982.44274299999</v>
      </c>
      <c r="FO338" s="198">
        <v>33957.831084999998</v>
      </c>
      <c r="FP338" s="198">
        <v>34058.194014000001</v>
      </c>
      <c r="FQ338" s="198">
        <v>35796.789855000003</v>
      </c>
      <c r="FR338" s="198">
        <v>37663.788279</v>
      </c>
      <c r="FS338" s="198"/>
      <c r="FT338" s="199">
        <v>78505.839509999962</v>
      </c>
      <c r="FU338" s="197">
        <v>797878.6923296001</v>
      </c>
      <c r="FV338" s="198">
        <v>52954.075788550006</v>
      </c>
      <c r="FW338" s="198">
        <v>116350.29194577014</v>
      </c>
      <c r="FX338" s="198">
        <v>181122.39030603008</v>
      </c>
      <c r="FY338" s="198">
        <v>191771.62623853987</v>
      </c>
      <c r="FZ338" s="198"/>
      <c r="GA338" s="199">
        <v>255680.30805071007</v>
      </c>
      <c r="GB338" s="197">
        <v>1739.201</v>
      </c>
      <c r="GC338" s="198">
        <v>18.884</v>
      </c>
      <c r="GD338" s="198">
        <v>261.69099999999997</v>
      </c>
      <c r="GE338" s="198">
        <v>469.11900000000003</v>
      </c>
      <c r="GF338" s="198">
        <v>434.9</v>
      </c>
      <c r="GG338" s="198"/>
      <c r="GH338" s="199">
        <v>554.60699999999997</v>
      </c>
      <c r="GI338" s="197">
        <v>1221.539</v>
      </c>
      <c r="GJ338" s="198">
        <v>26.347000000000001</v>
      </c>
      <c r="GK338" s="198">
        <v>160.58000000000001</v>
      </c>
      <c r="GL338" s="198">
        <v>474.92500000000001</v>
      </c>
      <c r="GM338" s="198">
        <v>375.63900000000001</v>
      </c>
      <c r="GN338" s="198"/>
      <c r="GO338" s="199">
        <v>184.04800000000012</v>
      </c>
      <c r="GP338" s="197">
        <v>3849.01</v>
      </c>
      <c r="GQ338" s="198">
        <v>98.125</v>
      </c>
      <c r="GR338" s="198">
        <v>703.80499999999995</v>
      </c>
      <c r="GS338" s="198">
        <v>1007.888</v>
      </c>
      <c r="GT338" s="198">
        <v>756.51700000000005</v>
      </c>
      <c r="GU338" s="198"/>
      <c r="GV338" s="199">
        <v>1282.6750000000004</v>
      </c>
      <c r="GW338" s="198">
        <v>6373.1</v>
      </c>
      <c r="GX338" s="198">
        <v>432.5</v>
      </c>
      <c r="GY338" s="198">
        <v>1627.8000000000002</v>
      </c>
      <c r="GZ338" s="198">
        <v>959.3</v>
      </c>
      <c r="HA338" s="198"/>
      <c r="HB338" s="198"/>
      <c r="HC338" s="198">
        <v>3353.5000000000009</v>
      </c>
      <c r="HD338" s="197">
        <v>63321.5</v>
      </c>
      <c r="HE338" s="198">
        <v>3612.6</v>
      </c>
      <c r="HF338" s="198">
        <v>4530</v>
      </c>
      <c r="HG338" s="198">
        <v>16896.900000000001</v>
      </c>
      <c r="HH338" s="198">
        <v>14774.9</v>
      </c>
      <c r="HI338" s="198"/>
      <c r="HJ338" s="198">
        <v>23507.100000000002</v>
      </c>
      <c r="HK338" s="197">
        <v>14922.364742</v>
      </c>
      <c r="HL338" s="198">
        <v>2134.0855370000004</v>
      </c>
      <c r="HM338" s="198">
        <v>2130.0049399999998</v>
      </c>
      <c r="HN338" s="198">
        <v>442.74584100000004</v>
      </c>
      <c r="HO338" s="198">
        <v>4807.7259289999993</v>
      </c>
      <c r="HP338" s="198"/>
      <c r="HQ338" s="198">
        <v>5407.8024950000008</v>
      </c>
      <c r="HR338" s="197">
        <v>2021802.5290000001</v>
      </c>
      <c r="HS338" s="198">
        <v>180138.96900000001</v>
      </c>
      <c r="HT338" s="198">
        <v>929376.60499999998</v>
      </c>
      <c r="HU338" s="198">
        <v>103261.476</v>
      </c>
      <c r="HV338" s="198">
        <v>405097.64899999998</v>
      </c>
      <c r="HW338" s="198">
        <v>94728.293999999994</v>
      </c>
      <c r="HX338" s="198">
        <v>340838.41899999999</v>
      </c>
      <c r="HZ338" s="180"/>
    </row>
    <row r="339" spans="1:234">
      <c r="A339" s="185" t="s">
        <v>498</v>
      </c>
      <c r="B339" s="198">
        <v>2510.491</v>
      </c>
      <c r="C339" s="198"/>
      <c r="D339" s="198"/>
      <c r="E339" s="198"/>
      <c r="F339" s="198"/>
      <c r="G339" s="198"/>
      <c r="H339" s="198"/>
      <c r="I339" s="197">
        <v>817032.9</v>
      </c>
      <c r="J339" s="198"/>
      <c r="K339" s="198"/>
      <c r="L339" s="198">
        <v>53206.2</v>
      </c>
      <c r="M339" s="198">
        <v>151870.5</v>
      </c>
      <c r="N339" s="198"/>
      <c r="O339" s="199">
        <v>611956.20000000007</v>
      </c>
      <c r="P339" s="197">
        <v>6936.5510000000004</v>
      </c>
      <c r="Q339" s="198">
        <v>25.663</v>
      </c>
      <c r="R339" s="198">
        <v>279.44799999999998</v>
      </c>
      <c r="S339" s="198">
        <v>350.62400000000002</v>
      </c>
      <c r="T339" s="198">
        <v>5264.2330000000002</v>
      </c>
      <c r="U339" s="198"/>
      <c r="V339" s="199">
        <v>1016.5830000000005</v>
      </c>
      <c r="W339" s="197">
        <v>5884.26</v>
      </c>
      <c r="X339" s="198">
        <v>119.30800000000001</v>
      </c>
      <c r="Y339" s="198">
        <v>639.327</v>
      </c>
      <c r="Z339" s="198">
        <v>158.38999999999999</v>
      </c>
      <c r="AA339" s="198">
        <v>3396.3290000000002</v>
      </c>
      <c r="AB339" s="198"/>
      <c r="AC339" s="199">
        <v>1570.9059999999995</v>
      </c>
      <c r="AD339" s="198"/>
      <c r="AE339" s="198">
        <v>32.729999999999997</v>
      </c>
      <c r="AF339" s="198">
        <v>287.62299999999999</v>
      </c>
      <c r="AG339" s="198">
        <v>844.34500000000003</v>
      </c>
      <c r="AH339" s="198">
        <v>425.553</v>
      </c>
      <c r="AI339" s="198">
        <v>87.492999999999995</v>
      </c>
      <c r="AJ339" s="199"/>
      <c r="AK339" s="197"/>
      <c r="AL339" s="198"/>
      <c r="AM339" s="198"/>
      <c r="AN339" s="198"/>
      <c r="AO339" s="198"/>
      <c r="AP339" s="198"/>
      <c r="AQ339" s="199"/>
      <c r="AR339" s="198">
        <v>3157420</v>
      </c>
      <c r="AS339" s="198">
        <v>702331</v>
      </c>
      <c r="AT339" s="198">
        <v>299334</v>
      </c>
      <c r="AU339" s="198">
        <v>604559</v>
      </c>
      <c r="AV339" s="198">
        <v>999451</v>
      </c>
      <c r="AW339" s="198"/>
      <c r="AX339" s="198">
        <v>551745</v>
      </c>
      <c r="AY339" s="197">
        <v>140959882</v>
      </c>
      <c r="AZ339" s="198"/>
      <c r="BA339" s="198">
        <v>83992034</v>
      </c>
      <c r="BB339" s="198">
        <v>36603496</v>
      </c>
      <c r="BC339" s="198">
        <v>18526765</v>
      </c>
      <c r="BD339" s="198"/>
      <c r="BE339" s="198"/>
      <c r="BF339" s="197">
        <v>370199623.18999994</v>
      </c>
      <c r="BG339" s="198"/>
      <c r="BH339" s="198">
        <v>218811647.97999996</v>
      </c>
      <c r="BI339" s="198">
        <v>42672085.820000008</v>
      </c>
      <c r="BJ339" s="198">
        <v>98199526.339999989</v>
      </c>
      <c r="BK339" s="198">
        <v>10516363.049999999</v>
      </c>
      <c r="BL339" s="198"/>
      <c r="BM339" s="197">
        <v>17124272.895010002</v>
      </c>
      <c r="BN339" s="198">
        <v>656399.05405999988</v>
      </c>
      <c r="BO339" s="198">
        <v>1704004.68059</v>
      </c>
      <c r="BP339" s="198">
        <v>4974022.293709999</v>
      </c>
      <c r="BQ339" s="198">
        <v>5075762.3969399994</v>
      </c>
      <c r="BR339" s="198"/>
      <c r="BS339" s="198">
        <v>4714084.4697100045</v>
      </c>
      <c r="BT339" s="197"/>
      <c r="BU339" s="198"/>
      <c r="BV339" s="198"/>
      <c r="BW339" s="198"/>
      <c r="BX339" s="198"/>
      <c r="BY339" s="198"/>
      <c r="BZ339" s="198"/>
      <c r="CA339" s="197">
        <v>925.67100000000005</v>
      </c>
      <c r="CB339" s="198"/>
      <c r="CE339" s="198"/>
      <c r="CF339" s="198"/>
      <c r="CG339" s="198"/>
      <c r="CH339" s="197">
        <v>23458135.430640001</v>
      </c>
      <c r="CI339" s="198"/>
      <c r="CJ339" s="198">
        <v>11305653.81903</v>
      </c>
      <c r="CK339" s="198">
        <v>1986278.9446999999</v>
      </c>
      <c r="CL339" s="198">
        <v>7912003.6661100015</v>
      </c>
      <c r="CM339" s="198">
        <v>2254199.0008</v>
      </c>
      <c r="CN339" s="198"/>
      <c r="CO339" s="197">
        <v>10692.02968575</v>
      </c>
      <c r="CP339" s="198">
        <v>993.67863826000007</v>
      </c>
      <c r="CQ339" s="198">
        <v>1462.0016837400001</v>
      </c>
      <c r="CR339" s="198">
        <v>2379.6497306300002</v>
      </c>
      <c r="CS339" s="198">
        <v>3676.3828647399987</v>
      </c>
      <c r="CT339" s="198"/>
      <c r="CU339" s="198">
        <v>2180.3167683800002</v>
      </c>
      <c r="CV339" s="197">
        <v>1681.42</v>
      </c>
      <c r="DA339" s="198"/>
      <c r="DB339" s="198"/>
      <c r="DC339" s="197">
        <v>152442.78899999999</v>
      </c>
      <c r="DD339" s="198">
        <v>19056.914000000001</v>
      </c>
      <c r="DE339" s="198">
        <v>24735.873</v>
      </c>
      <c r="DF339" s="198"/>
      <c r="DG339" s="198">
        <v>48435.589</v>
      </c>
      <c r="DH339" s="198"/>
      <c r="DI339" s="198">
        <v>60214.413000000008</v>
      </c>
      <c r="DJ339" s="197">
        <v>132775.4</v>
      </c>
      <c r="DK339" s="198">
        <v>31669.4</v>
      </c>
      <c r="DL339" s="198">
        <v>35259.699999999997</v>
      </c>
      <c r="DM339" s="198">
        <v>7611.6</v>
      </c>
      <c r="DN339" s="198">
        <v>17712.3</v>
      </c>
      <c r="DO339" s="198"/>
      <c r="DP339" s="198">
        <v>40522.400000000009</v>
      </c>
      <c r="DQ339" s="197"/>
      <c r="DR339" s="198"/>
      <c r="DS339" s="198"/>
      <c r="DT339" s="198"/>
      <c r="DU339" s="198"/>
      <c r="DV339" s="198"/>
      <c r="DW339" s="198"/>
      <c r="DX339" s="197">
        <v>237880.36910000001</v>
      </c>
      <c r="DY339" s="198"/>
      <c r="DZ339" s="198">
        <v>154420.17670000001</v>
      </c>
      <c r="EA339" s="198">
        <v>34868.233</v>
      </c>
      <c r="EB339" s="198">
        <v>45489.022799999999</v>
      </c>
      <c r="EC339" s="198">
        <v>3102.9366</v>
      </c>
      <c r="ED339" s="198"/>
      <c r="EE339" s="197">
        <v>409605.03100000002</v>
      </c>
      <c r="EF339" s="198">
        <v>16434.169999999998</v>
      </c>
      <c r="EG339" s="198">
        <v>84487.513999999996</v>
      </c>
      <c r="EH339" s="198">
        <v>27120.998</v>
      </c>
      <c r="EI339" s="198">
        <v>190985.34099999999</v>
      </c>
      <c r="EJ339" s="198"/>
      <c r="EK339" s="198">
        <v>90577.00800000006</v>
      </c>
      <c r="EL339" s="197">
        <v>3669991.2302610008</v>
      </c>
      <c r="EM339" s="198">
        <v>1631761.342831</v>
      </c>
      <c r="EN339" s="198">
        <v>127066.197481</v>
      </c>
      <c r="EO339" s="198">
        <v>611320.44087200006</v>
      </c>
      <c r="EP339" s="198">
        <v>779196.12278100033</v>
      </c>
      <c r="EQ339" s="198"/>
      <c r="ER339" s="198">
        <v>520647.12629600009</v>
      </c>
      <c r="ES339" s="197">
        <v>118982.16674278998</v>
      </c>
      <c r="ET339" s="198">
        <v>16149.94975905</v>
      </c>
      <c r="EU339" s="198">
        <v>41774.756525949997</v>
      </c>
      <c r="EV339" s="198">
        <v>15697.133581729999</v>
      </c>
      <c r="EW339" s="198">
        <v>30584.02373465</v>
      </c>
      <c r="EX339" s="198"/>
      <c r="EY339" s="198">
        <v>14776.30314140999</v>
      </c>
      <c r="EZ339" s="197">
        <v>44431.939621630001</v>
      </c>
      <c r="FA339" s="198">
        <v>2000.6595604299994</v>
      </c>
      <c r="FB339" s="198">
        <v>11679.28344689</v>
      </c>
      <c r="FC339" s="198">
        <v>13038.877670380003</v>
      </c>
      <c r="FD339" s="198">
        <v>8805.2456051599984</v>
      </c>
      <c r="FE339" s="198">
        <v>0</v>
      </c>
      <c r="FF339" s="198">
        <v>8907.8733387699976</v>
      </c>
      <c r="FG339" s="197">
        <v>73966764.29415898</v>
      </c>
      <c r="FH339" s="198">
        <v>7296536.3791659996</v>
      </c>
      <c r="FI339" s="198">
        <v>17490877.152617</v>
      </c>
      <c r="FJ339" s="198"/>
      <c r="FK339" s="198">
        <v>10389303.893893</v>
      </c>
      <c r="FL339" s="198"/>
      <c r="FM339" s="198">
        <v>38790046.868482977</v>
      </c>
      <c r="FN339" s="197">
        <v>221760.249128</v>
      </c>
      <c r="FO339" s="198">
        <v>33734.882099000002</v>
      </c>
      <c r="FP339" s="198">
        <v>34472.844979000001</v>
      </c>
      <c r="FQ339" s="198">
        <v>36154.860918999999</v>
      </c>
      <c r="FR339" s="198">
        <v>38184.068472999999</v>
      </c>
      <c r="FS339" s="198"/>
      <c r="FT339" s="199">
        <v>79213.59265799998</v>
      </c>
      <c r="FU339" s="197">
        <v>818774.64638795971</v>
      </c>
      <c r="FV339" s="198">
        <v>56844.84900630996</v>
      </c>
      <c r="FW339" s="198">
        <v>117870.16173694009</v>
      </c>
      <c r="FX339" s="198">
        <v>184021.74065814001</v>
      </c>
      <c r="FY339" s="198">
        <v>197257.78613515958</v>
      </c>
      <c r="FZ339" s="198"/>
      <c r="GA339" s="199">
        <v>262780.1088514101</v>
      </c>
      <c r="GB339" s="197">
        <v>1749.798</v>
      </c>
      <c r="GC339" s="198"/>
      <c r="GD339" s="198"/>
      <c r="GE339" s="198"/>
      <c r="GF339" s="198"/>
      <c r="GG339" s="198"/>
      <c r="GH339" s="199"/>
      <c r="GI339" s="197">
        <v>1220.7090000000001</v>
      </c>
      <c r="GJ339" s="198"/>
      <c r="GK339" s="198"/>
      <c r="GL339" s="198"/>
      <c r="GM339" s="198"/>
      <c r="GN339" s="198"/>
      <c r="GO339" s="199"/>
      <c r="GP339" s="197">
        <v>3849.78</v>
      </c>
      <c r="GQ339" s="198"/>
      <c r="GR339" s="198"/>
      <c r="GS339" s="198"/>
      <c r="GT339" s="198"/>
      <c r="GU339" s="198"/>
      <c r="GV339" s="199"/>
      <c r="GW339" s="198">
        <v>6378.7</v>
      </c>
      <c r="GX339" s="198">
        <v>441.2</v>
      </c>
      <c r="GY339" s="198">
        <v>1626.7</v>
      </c>
      <c r="GZ339" s="198">
        <v>964.09999999999991</v>
      </c>
      <c r="HA339" s="198"/>
      <c r="HB339" s="198"/>
      <c r="HC339" s="198">
        <v>3346.7</v>
      </c>
      <c r="HD339" s="197"/>
      <c r="HE339" s="198"/>
      <c r="HF339" s="198"/>
      <c r="HG339" s="198"/>
      <c r="HH339" s="198"/>
      <c r="HI339" s="198"/>
      <c r="HJ339" s="198"/>
      <c r="HK339" s="197">
        <v>15019.645489999999</v>
      </c>
      <c r="HL339" s="198">
        <v>2142.9164600000004</v>
      </c>
      <c r="HM339" s="198">
        <v>2132.3930209999999</v>
      </c>
      <c r="HN339" s="198">
        <v>449.719493</v>
      </c>
      <c r="HO339" s="198">
        <v>4801.8657069999999</v>
      </c>
      <c r="HP339" s="198"/>
      <c r="HQ339" s="198">
        <v>5492.7508089999983</v>
      </c>
      <c r="HR339" s="197">
        <v>2151219.1889999998</v>
      </c>
      <c r="HS339" s="198">
        <v>183043.799</v>
      </c>
      <c r="HT339" s="198">
        <v>989143.12100000004</v>
      </c>
      <c r="HU339" s="198">
        <v>106613.507</v>
      </c>
      <c r="HV339" s="198">
        <v>446559.27100000001</v>
      </c>
      <c r="HW339" s="198">
        <v>100702.861</v>
      </c>
      <c r="HX339" s="198">
        <v>358994.31699999998</v>
      </c>
      <c r="HZ339" s="180"/>
    </row>
    <row r="340" spans="1:234">
      <c r="A340" s="185" t="s">
        <v>499</v>
      </c>
      <c r="B340" s="198">
        <v>2503.4969999999998</v>
      </c>
      <c r="C340" s="198"/>
      <c r="D340" s="198"/>
      <c r="E340" s="198"/>
      <c r="F340" s="198"/>
      <c r="G340" s="198"/>
      <c r="H340" s="198"/>
      <c r="I340" s="197">
        <v>850747.1</v>
      </c>
      <c r="J340" s="198"/>
      <c r="K340" s="198"/>
      <c r="L340" s="198">
        <v>54331.6</v>
      </c>
      <c r="M340" s="198">
        <v>156505.9</v>
      </c>
      <c r="N340" s="198"/>
      <c r="O340" s="199">
        <v>639909.6</v>
      </c>
      <c r="P340" s="197">
        <v>6960.5010000000002</v>
      </c>
      <c r="Q340" s="198">
        <v>25.274000000000001</v>
      </c>
      <c r="R340" s="198">
        <v>279.60599999999999</v>
      </c>
      <c r="S340" s="198">
        <v>344.65100000000001</v>
      </c>
      <c r="T340" s="198">
        <v>5267.1139999999996</v>
      </c>
      <c r="U340" s="198"/>
      <c r="V340" s="199">
        <v>1043.8560000000007</v>
      </c>
      <c r="W340" s="197">
        <v>5943.3040000000001</v>
      </c>
      <c r="X340" s="198">
        <v>125.05200000000001</v>
      </c>
      <c r="Y340" s="198">
        <v>646.52099999999996</v>
      </c>
      <c r="Z340" s="198">
        <v>153.87</v>
      </c>
      <c r="AA340" s="198">
        <v>3392.8969999999999</v>
      </c>
      <c r="AB340" s="198"/>
      <c r="AC340" s="199">
        <v>1624.9640000000009</v>
      </c>
      <c r="AD340" s="198"/>
      <c r="AE340" s="198">
        <v>36.435000000000002</v>
      </c>
      <c r="AF340" s="198">
        <v>285.31799999999998</v>
      </c>
      <c r="AG340" s="198">
        <v>853.24</v>
      </c>
      <c r="AH340" s="198">
        <v>428.22399999999999</v>
      </c>
      <c r="AI340" s="198">
        <v>88.084999999999994</v>
      </c>
      <c r="AJ340" s="199"/>
      <c r="AK340" s="197"/>
      <c r="AL340" s="198"/>
      <c r="AM340" s="198"/>
      <c r="AN340" s="198"/>
      <c r="AO340" s="198"/>
      <c r="AP340" s="198"/>
      <c r="AQ340" s="199"/>
      <c r="AR340" s="198">
        <v>3177029</v>
      </c>
      <c r="AS340" s="198">
        <v>705883</v>
      </c>
      <c r="AT340" s="198">
        <v>301371</v>
      </c>
      <c r="AU340" s="198">
        <v>608708</v>
      </c>
      <c r="AV340" s="198">
        <v>1006830</v>
      </c>
      <c r="AW340" s="198"/>
      <c r="AX340" s="198">
        <v>554237</v>
      </c>
      <c r="AY340" s="197">
        <v>142374172</v>
      </c>
      <c r="AZ340" s="198"/>
      <c r="BA340" s="198">
        <v>84847339</v>
      </c>
      <c r="BB340" s="198">
        <v>37072143</v>
      </c>
      <c r="BC340" s="198">
        <v>18727487</v>
      </c>
      <c r="BD340" s="198"/>
      <c r="BE340" s="198"/>
      <c r="BF340" s="197">
        <v>375862182.03999996</v>
      </c>
      <c r="BG340" s="198"/>
      <c r="BH340" s="198">
        <v>222441596.53999996</v>
      </c>
      <c r="BI340" s="198">
        <v>43465700.930000007</v>
      </c>
      <c r="BJ340" s="198">
        <v>99387408.459999979</v>
      </c>
      <c r="BK340" s="198">
        <v>10567476.109999998</v>
      </c>
      <c r="BL340" s="198"/>
      <c r="BM340" s="197">
        <v>17363945.565820005</v>
      </c>
      <c r="BN340" s="198">
        <v>640630.74368999992</v>
      </c>
      <c r="BO340" s="198">
        <v>1735421.2546299999</v>
      </c>
      <c r="BP340" s="198">
        <v>5387894.4675699994</v>
      </c>
      <c r="BQ340" s="198">
        <v>5164642.0403199997</v>
      </c>
      <c r="BR340" s="198"/>
      <c r="BS340" s="198">
        <v>4435357.0596100073</v>
      </c>
      <c r="BT340" s="197"/>
      <c r="BU340" s="198"/>
      <c r="BV340" s="198"/>
      <c r="BW340" s="198"/>
      <c r="BX340" s="198"/>
      <c r="BY340" s="198"/>
      <c r="BZ340" s="198"/>
      <c r="CA340" s="197">
        <v>927.05</v>
      </c>
      <c r="CB340" s="198"/>
      <c r="CC340" s="198"/>
      <c r="CD340" s="198"/>
      <c r="CE340" s="198"/>
      <c r="CF340" s="198"/>
      <c r="CG340" s="198"/>
      <c r="CH340" s="197">
        <v>23190981.34468</v>
      </c>
      <c r="CI340" s="198"/>
      <c r="CJ340" s="198">
        <v>11158727.557919998</v>
      </c>
      <c r="CK340" s="198">
        <v>1996920.7220799997</v>
      </c>
      <c r="CL340" s="198">
        <v>7810809.4990500007</v>
      </c>
      <c r="CM340" s="198">
        <v>2224523.5656299996</v>
      </c>
      <c r="CN340" s="198"/>
      <c r="CO340" s="197">
        <v>10808.12838478</v>
      </c>
      <c r="CP340" s="198">
        <v>1016.0560964299999</v>
      </c>
      <c r="CQ340" s="198">
        <v>1481.2058013200001</v>
      </c>
      <c r="CR340" s="198">
        <v>2383.5585529400009</v>
      </c>
      <c r="CS340" s="198">
        <v>3718.8379291900001</v>
      </c>
      <c r="CT340" s="198"/>
      <c r="CU340" s="198">
        <v>2208.4700048999985</v>
      </c>
      <c r="CV340" s="197">
        <v>1681.328</v>
      </c>
      <c r="CW340" s="198"/>
      <c r="CX340" s="198"/>
      <c r="CY340" s="198"/>
      <c r="CZ340" s="198"/>
      <c r="DA340" s="198"/>
      <c r="DB340" s="198"/>
      <c r="DC340" s="197">
        <v>154502.16800000001</v>
      </c>
      <c r="DD340" s="198">
        <v>19249.464</v>
      </c>
      <c r="DE340" s="198">
        <v>25170.02</v>
      </c>
      <c r="DF340" s="198"/>
      <c r="DG340" s="198">
        <v>49312.027000000002</v>
      </c>
      <c r="DH340" s="198"/>
      <c r="DI340" s="198">
        <v>60770.656999999992</v>
      </c>
      <c r="DJ340" s="197">
        <v>134381</v>
      </c>
      <c r="DK340" s="198">
        <v>31799.9</v>
      </c>
      <c r="DL340" s="198">
        <v>35767.800000000003</v>
      </c>
      <c r="DM340" s="198">
        <v>7804.9</v>
      </c>
      <c r="DN340" s="198">
        <v>18726</v>
      </c>
      <c r="DO340" s="198"/>
      <c r="DP340" s="198">
        <v>40282.400000000001</v>
      </c>
      <c r="DQ340" s="197"/>
      <c r="DR340" s="198"/>
      <c r="DS340" s="198"/>
      <c r="DT340" s="198"/>
      <c r="DU340" s="198"/>
      <c r="DV340" s="198"/>
      <c r="DW340" s="198"/>
      <c r="DX340" s="197">
        <v>245245.32930000001</v>
      </c>
      <c r="DY340" s="198"/>
      <c r="DZ340" s="198">
        <v>159256.1329</v>
      </c>
      <c r="EA340" s="198">
        <v>36118.685899999997</v>
      </c>
      <c r="EB340" s="198">
        <v>46675.105899999995</v>
      </c>
      <c r="EC340" s="198">
        <v>3195.4046000000003</v>
      </c>
      <c r="ED340" s="198"/>
      <c r="EE340" s="197">
        <v>415046.09299999999</v>
      </c>
      <c r="EF340" s="198">
        <v>16395.708999999999</v>
      </c>
      <c r="EG340" s="198">
        <v>85735.040999999997</v>
      </c>
      <c r="EH340" s="198">
        <v>25690.828000000001</v>
      </c>
      <c r="EI340" s="198">
        <v>194613.93599999999</v>
      </c>
      <c r="EJ340" s="198"/>
      <c r="EK340" s="198">
        <v>92610.579000000027</v>
      </c>
      <c r="EL340" s="197">
        <v>3734513.2414969988</v>
      </c>
      <c r="EM340" s="198">
        <v>1647486.9763509999</v>
      </c>
      <c r="EN340" s="198">
        <v>147293.34186499999</v>
      </c>
      <c r="EO340" s="198">
        <v>617693.30930599989</v>
      </c>
      <c r="EP340" s="198">
        <v>799116.97913899994</v>
      </c>
      <c r="EQ340" s="198"/>
      <c r="ER340" s="198">
        <v>522922.6348360001</v>
      </c>
      <c r="ES340" s="197">
        <v>122004.69827115998</v>
      </c>
      <c r="ET340" s="198">
        <v>16417.60989715</v>
      </c>
      <c r="EU340" s="198">
        <v>42913.647527689995</v>
      </c>
      <c r="EV340" s="198">
        <v>15909.031636090003</v>
      </c>
      <c r="EW340" s="198">
        <v>31429.338370909998</v>
      </c>
      <c r="EX340" s="198"/>
      <c r="EY340" s="198">
        <v>15335.070839319986</v>
      </c>
      <c r="EZ340" s="197">
        <v>45257.660911040002</v>
      </c>
      <c r="FA340" s="198">
        <v>2002.5871736499996</v>
      </c>
      <c r="FB340" s="198">
        <v>11786.352546399999</v>
      </c>
      <c r="FC340" s="198">
        <v>13110.894889439998</v>
      </c>
      <c r="FD340" s="198">
        <v>8929.8482032500033</v>
      </c>
      <c r="FE340" s="198">
        <v>0</v>
      </c>
      <c r="FF340" s="198">
        <v>9427.9780983000055</v>
      </c>
      <c r="FG340" s="197">
        <v>73976968.519562989</v>
      </c>
      <c r="FH340" s="198">
        <v>7482386.6880080001</v>
      </c>
      <c r="FI340" s="198">
        <v>17564419.047098998</v>
      </c>
      <c r="FJ340" s="198"/>
      <c r="FK340" s="198">
        <v>10344904.760691</v>
      </c>
      <c r="FL340" s="198"/>
      <c r="FM340" s="198">
        <v>38585258.023764983</v>
      </c>
      <c r="FN340" s="197">
        <v>226065.54315499999</v>
      </c>
      <c r="FO340" s="198">
        <v>34323.120618000001</v>
      </c>
      <c r="FP340" s="198">
        <v>34956.392907000001</v>
      </c>
      <c r="FQ340" s="198">
        <v>36680.918001999999</v>
      </c>
      <c r="FR340" s="198">
        <v>38810.828803999997</v>
      </c>
      <c r="FS340" s="198"/>
      <c r="FT340" s="199">
        <v>81294.282823999994</v>
      </c>
      <c r="FU340" s="197">
        <v>836614.98762443988</v>
      </c>
      <c r="FV340" s="198">
        <v>60672.891095710009</v>
      </c>
      <c r="FW340" s="198">
        <v>117235.91238552012</v>
      </c>
      <c r="FX340" s="198">
        <v>185552.04648442013</v>
      </c>
      <c r="FY340" s="198">
        <v>201892.43792666963</v>
      </c>
      <c r="FZ340" s="198"/>
      <c r="GA340" s="199">
        <v>271261.69973212003</v>
      </c>
      <c r="GB340" s="197">
        <v>1755.636</v>
      </c>
      <c r="GC340" s="198"/>
      <c r="GD340" s="198"/>
      <c r="GE340" s="198"/>
      <c r="GF340" s="198"/>
      <c r="GG340" s="198"/>
      <c r="GH340" s="199"/>
      <c r="GI340" s="197">
        <v>1221.318</v>
      </c>
      <c r="GJ340" s="198"/>
      <c r="GK340" s="198"/>
      <c r="GL340" s="198"/>
      <c r="GM340" s="198"/>
      <c r="GN340" s="198"/>
      <c r="GO340" s="199"/>
      <c r="GP340" s="197">
        <v>3835.7489999999998</v>
      </c>
      <c r="GQ340" s="198"/>
      <c r="GR340" s="198"/>
      <c r="GS340" s="198"/>
      <c r="GT340" s="198"/>
      <c r="GU340" s="198"/>
      <c r="GV340" s="199"/>
      <c r="GW340" s="198">
        <v>6813.2000000000007</v>
      </c>
      <c r="GX340" s="198">
        <v>470</v>
      </c>
      <c r="GY340" s="198">
        <v>1802.4</v>
      </c>
      <c r="GZ340" s="198">
        <v>988.09999999999991</v>
      </c>
      <c r="HA340" s="198"/>
      <c r="HB340" s="198"/>
      <c r="HC340" s="198">
        <v>3552.7</v>
      </c>
      <c r="HD340" s="197"/>
      <c r="HE340" s="198"/>
      <c r="HF340" s="198"/>
      <c r="HG340" s="198"/>
      <c r="HH340" s="198"/>
      <c r="HI340" s="198"/>
      <c r="HJ340" s="198"/>
      <c r="HK340" s="197">
        <v>15139.761649</v>
      </c>
      <c r="HL340" s="198">
        <v>2147.3060309999996</v>
      </c>
      <c r="HM340" s="198">
        <v>2155.1115059999997</v>
      </c>
      <c r="HN340" s="198">
        <v>446.03546399999999</v>
      </c>
      <c r="HO340" s="198">
        <v>4877.3867810000002</v>
      </c>
      <c r="HP340" s="198"/>
      <c r="HQ340" s="198">
        <v>5513.921867</v>
      </c>
      <c r="HR340" s="197">
        <v>2320367.9849999999</v>
      </c>
      <c r="HS340" s="198">
        <v>191744.155</v>
      </c>
      <c r="HT340" s="198">
        <v>1093863.375</v>
      </c>
      <c r="HU340" s="198">
        <v>109161.977</v>
      </c>
      <c r="HV340" s="198">
        <v>469309.33600000001</v>
      </c>
      <c r="HW340" s="198">
        <v>107756.315</v>
      </c>
      <c r="HX340" s="198">
        <v>385305.41600000003</v>
      </c>
      <c r="HZ340" s="180"/>
    </row>
    <row r="341" spans="1:234">
      <c r="A341" s="202" t="s">
        <v>500</v>
      </c>
      <c r="B341" s="204">
        <v>2455.953</v>
      </c>
      <c r="C341" s="204">
        <v>34.027999999999999</v>
      </c>
      <c r="D341" s="204">
        <v>360.37599999999998</v>
      </c>
      <c r="E341" s="204">
        <v>761.27800000000002</v>
      </c>
      <c r="F341" s="204">
        <v>424.75900000000001</v>
      </c>
      <c r="G341" s="204"/>
      <c r="H341" s="204">
        <v>875.51199999999994</v>
      </c>
      <c r="I341" s="203">
        <v>886045.5</v>
      </c>
      <c r="J341" s="204"/>
      <c r="K341" s="204"/>
      <c r="L341" s="204">
        <v>56547.1</v>
      </c>
      <c r="M341" s="204">
        <v>158667.70000000001</v>
      </c>
      <c r="N341" s="204"/>
      <c r="O341" s="205">
        <v>670830.69999999995</v>
      </c>
      <c r="P341" s="203">
        <v>6930.6180000000004</v>
      </c>
      <c r="Q341" s="204">
        <v>26.527000000000001</v>
      </c>
      <c r="R341" s="204">
        <v>263.029</v>
      </c>
      <c r="S341" s="204">
        <v>338.53399999999999</v>
      </c>
      <c r="T341" s="204">
        <v>5242.2920000000004</v>
      </c>
      <c r="U341" s="204"/>
      <c r="V341" s="205">
        <v>1060.2359999999999</v>
      </c>
      <c r="W341" s="203">
        <v>5919.1859999999997</v>
      </c>
      <c r="X341" s="204">
        <v>114.79900000000001</v>
      </c>
      <c r="Y341" s="204">
        <v>642.89099999999996</v>
      </c>
      <c r="Z341" s="204">
        <v>146.30199999999999</v>
      </c>
      <c r="AA341" s="204">
        <v>3393.7</v>
      </c>
      <c r="AB341" s="204"/>
      <c r="AC341" s="205">
        <v>1621.4940000000006</v>
      </c>
      <c r="AD341" s="204">
        <v>2607.2809999999999</v>
      </c>
      <c r="AE341" s="204">
        <v>36.054000000000002</v>
      </c>
      <c r="AF341" s="204">
        <v>272.62700000000001</v>
      </c>
      <c r="AG341" s="204">
        <v>870.90700000000004</v>
      </c>
      <c r="AH341" s="204">
        <v>429.84</v>
      </c>
      <c r="AI341" s="204">
        <v>89.198999999999998</v>
      </c>
      <c r="AJ341" s="205">
        <v>908.65399999999988</v>
      </c>
      <c r="AK341" s="203">
        <v>114273</v>
      </c>
      <c r="AL341" s="204">
        <v>41709.644999999997</v>
      </c>
      <c r="AM341" s="204"/>
      <c r="AN341" s="204">
        <v>25597.151999999998</v>
      </c>
      <c r="AO341" s="204">
        <v>12455.757</v>
      </c>
      <c r="AP341" s="204">
        <v>34396.173000000003</v>
      </c>
      <c r="AQ341" s="205"/>
      <c r="AR341" s="204">
        <v>3219473</v>
      </c>
      <c r="AS341" s="204">
        <v>720462</v>
      </c>
      <c r="AT341" s="204">
        <v>306667</v>
      </c>
      <c r="AU341" s="204">
        <v>611894</v>
      </c>
      <c r="AV341" s="204">
        <v>1012618</v>
      </c>
      <c r="AW341" s="204"/>
      <c r="AX341" s="204">
        <v>567832</v>
      </c>
      <c r="AY341" s="203">
        <v>143477084</v>
      </c>
      <c r="AZ341" s="204"/>
      <c r="BA341" s="204">
        <v>85418577</v>
      </c>
      <c r="BB341" s="204">
        <v>37481672</v>
      </c>
      <c r="BC341" s="204">
        <v>19069795</v>
      </c>
      <c r="BD341" s="204"/>
      <c r="BE341" s="204"/>
      <c r="BF341" s="203">
        <v>377201904.08999997</v>
      </c>
      <c r="BG341" s="204"/>
      <c r="BH341" s="204">
        <v>222277739.84999999</v>
      </c>
      <c r="BI341" s="198">
        <v>44196924.219999991</v>
      </c>
      <c r="BJ341" s="204">
        <v>100173168.00999999</v>
      </c>
      <c r="BK341" s="204">
        <v>10554072.010000004</v>
      </c>
      <c r="BL341" s="205"/>
      <c r="BM341" s="203">
        <v>17244778.691829998</v>
      </c>
      <c r="BN341" s="204">
        <v>665893.71912999998</v>
      </c>
      <c r="BO341" s="204">
        <v>1771310.6147699999</v>
      </c>
      <c r="BP341" s="204">
        <v>5350842.8285999987</v>
      </c>
      <c r="BQ341" s="204">
        <v>5074932.7143799989</v>
      </c>
      <c r="BR341" s="204"/>
      <c r="BS341" s="204">
        <v>4381798.8149499996</v>
      </c>
      <c r="BT341" s="203"/>
      <c r="BU341" s="204"/>
      <c r="BV341" s="204"/>
      <c r="BW341" s="204"/>
      <c r="BX341" s="204"/>
      <c r="BY341" s="204"/>
      <c r="BZ341" s="204"/>
      <c r="CA341" s="203">
        <v>923.07600000000002</v>
      </c>
      <c r="CB341" s="198">
        <v>30.219000000000001</v>
      </c>
      <c r="CC341" s="198">
        <v>131.66200000000001</v>
      </c>
      <c r="CD341" s="198">
        <v>271.28399999999999</v>
      </c>
      <c r="CE341" s="198">
        <v>185.98599999999999</v>
      </c>
      <c r="CF341" s="204"/>
      <c r="CG341" s="205">
        <v>303.92499999999995</v>
      </c>
      <c r="CH341" s="203">
        <v>22891291.511430003</v>
      </c>
      <c r="CI341" s="204"/>
      <c r="CJ341" s="204">
        <v>10957665.851560002</v>
      </c>
      <c r="CK341" s="204">
        <v>2018504.2454100002</v>
      </c>
      <c r="CL341" s="204">
        <v>7652887.1944200005</v>
      </c>
      <c r="CM341" s="204">
        <v>2262234.22004</v>
      </c>
      <c r="CN341" s="204"/>
      <c r="CO341" s="203">
        <v>10849.469079889997</v>
      </c>
      <c r="CP341" s="204">
        <v>1022.4556021499999</v>
      </c>
      <c r="CQ341" s="204">
        <v>1463.0152988</v>
      </c>
      <c r="CR341" s="204">
        <v>2391.05889462</v>
      </c>
      <c r="CS341" s="204">
        <v>3697.3635324599995</v>
      </c>
      <c r="CT341" s="204"/>
      <c r="CU341" s="204">
        <v>2275.5757518599971</v>
      </c>
      <c r="CV341" s="203">
        <v>1664.912</v>
      </c>
      <c r="CW341" s="204">
        <v>36.048000000000002</v>
      </c>
      <c r="CX341" s="204">
        <v>283.45499999999998</v>
      </c>
      <c r="CY341" s="204">
        <v>572.947</v>
      </c>
      <c r="CZ341" s="204">
        <v>538.08299999999997</v>
      </c>
      <c r="DA341" s="204"/>
      <c r="DB341" s="205">
        <v>234.37900000000013</v>
      </c>
      <c r="DC341" s="203">
        <v>156286.60399999999</v>
      </c>
      <c r="DD341" s="204">
        <v>19198.006000000001</v>
      </c>
      <c r="DE341" s="204">
        <v>25206.99</v>
      </c>
      <c r="DF341" s="204"/>
      <c r="DG341" s="204">
        <v>49799.516000000003</v>
      </c>
      <c r="DH341" s="204"/>
      <c r="DI341" s="205">
        <v>62082.09199999999</v>
      </c>
      <c r="DJ341" s="203">
        <v>137633.79999999999</v>
      </c>
      <c r="DK341" s="204">
        <v>31469.1</v>
      </c>
      <c r="DL341" s="204">
        <v>37798.1</v>
      </c>
      <c r="DM341" s="204">
        <v>8042.5</v>
      </c>
      <c r="DN341" s="204">
        <v>19546.7</v>
      </c>
      <c r="DO341" s="204"/>
      <c r="DP341" s="204">
        <v>40777.39999999998</v>
      </c>
      <c r="DQ341" s="203">
        <v>78.342786689999997</v>
      </c>
      <c r="DR341" s="204">
        <v>12.831010879999999</v>
      </c>
      <c r="DS341" s="204">
        <v>18.205315250000002</v>
      </c>
      <c r="DT341" s="204">
        <v>7.1166509700000002</v>
      </c>
      <c r="DU341" s="204">
        <v>8.6562975400000006</v>
      </c>
      <c r="DV341" s="204"/>
      <c r="DW341" s="204">
        <v>31.533512050000002</v>
      </c>
      <c r="DX341" s="203">
        <v>249151.5067</v>
      </c>
      <c r="DY341" s="204"/>
      <c r="DZ341" s="204">
        <v>163348.4773</v>
      </c>
      <c r="EA341" s="204">
        <v>36262.643499999998</v>
      </c>
      <c r="EB341" s="204">
        <v>46212.238100000002</v>
      </c>
      <c r="EC341" s="204">
        <v>3328.1478000000002</v>
      </c>
      <c r="ED341" s="204"/>
      <c r="EE341" s="203">
        <v>414151.41399999999</v>
      </c>
      <c r="EF341" s="204">
        <v>15823.091</v>
      </c>
      <c r="EG341" s="204">
        <v>86219.812000000005</v>
      </c>
      <c r="EH341" s="204">
        <v>26157.035</v>
      </c>
      <c r="EI341" s="204">
        <v>195765.815</v>
      </c>
      <c r="EJ341" s="204"/>
      <c r="EK341" s="204">
        <v>90185.660999999964</v>
      </c>
      <c r="EL341" s="203">
        <v>3842981.3947930001</v>
      </c>
      <c r="EM341" s="204">
        <v>1698193.877965</v>
      </c>
      <c r="EN341" s="204">
        <v>174109.42860099999</v>
      </c>
      <c r="EO341" s="204">
        <v>623205.40134999994</v>
      </c>
      <c r="EP341" s="204">
        <v>797388.91155399987</v>
      </c>
      <c r="EQ341" s="204"/>
      <c r="ER341" s="205">
        <v>550083.77532300004</v>
      </c>
      <c r="ES341" s="203">
        <v>123839.2731469</v>
      </c>
      <c r="ET341" s="204">
        <v>16646.205866159999</v>
      </c>
      <c r="EU341" s="204">
        <v>43216.873400529999</v>
      </c>
      <c r="EV341" s="204">
        <v>16165.68501171</v>
      </c>
      <c r="EW341" s="204">
        <v>31754.047266310001</v>
      </c>
      <c r="EX341" s="204"/>
      <c r="EY341" s="205">
        <v>16056.461602189993</v>
      </c>
      <c r="EZ341" s="203">
        <v>45136.29301388</v>
      </c>
      <c r="FA341" s="204">
        <v>2095.8898659599995</v>
      </c>
      <c r="FB341" s="204">
        <v>11473.264909510001</v>
      </c>
      <c r="FC341" s="204">
        <v>13162.137846720003</v>
      </c>
      <c r="FD341" s="204">
        <v>9009.4638279899991</v>
      </c>
      <c r="FE341" s="198">
        <v>0</v>
      </c>
      <c r="FF341" s="205">
        <v>9395.5365636999959</v>
      </c>
      <c r="FG341" s="203">
        <v>76645358.948786005</v>
      </c>
      <c r="FH341" s="204">
        <v>7632524.0262519997</v>
      </c>
      <c r="FI341" s="204">
        <v>18293856.556681998</v>
      </c>
      <c r="FJ341" s="204"/>
      <c r="FK341" s="204">
        <v>10217495.631941</v>
      </c>
      <c r="FL341" s="204"/>
      <c r="FM341" s="205">
        <v>40501482.733911008</v>
      </c>
      <c r="FN341" s="203">
        <v>226588.91279900001</v>
      </c>
      <c r="FO341" s="204">
        <v>34387.857609999999</v>
      </c>
      <c r="FP341" s="204">
        <v>34507.531319000002</v>
      </c>
      <c r="FQ341" s="204">
        <v>37032.042826999997</v>
      </c>
      <c r="FR341" s="204">
        <v>39138.405075000002</v>
      </c>
      <c r="FS341" s="204"/>
      <c r="FT341" s="205">
        <v>81523.075968000005</v>
      </c>
      <c r="FU341" s="203">
        <v>844480.64815919055</v>
      </c>
      <c r="FV341" s="204">
        <v>62095.706407629972</v>
      </c>
      <c r="FW341" s="204">
        <v>116524.66187227024</v>
      </c>
      <c r="FX341" s="204">
        <v>184674.82944497018</v>
      </c>
      <c r="FY341" s="204">
        <v>201437.56163573006</v>
      </c>
      <c r="FZ341" s="204"/>
      <c r="GA341" s="205">
        <v>279747.88879859005</v>
      </c>
      <c r="GB341" s="203">
        <v>1757.009</v>
      </c>
      <c r="GC341" s="204">
        <v>18.087</v>
      </c>
      <c r="GD341" s="204">
        <v>270.92099999999999</v>
      </c>
      <c r="GE341" s="204">
        <v>464.27100000000002</v>
      </c>
      <c r="GF341" s="204">
        <v>442.06700000000001</v>
      </c>
      <c r="GG341" s="204"/>
      <c r="GH341" s="205">
        <v>561.66300000000001</v>
      </c>
      <c r="GI341" s="203">
        <v>1206.3320000000001</v>
      </c>
      <c r="GJ341" s="204">
        <v>23.666</v>
      </c>
      <c r="GK341" s="204">
        <v>155.71299999999999</v>
      </c>
      <c r="GL341" s="204">
        <v>481.52499999999998</v>
      </c>
      <c r="GM341" s="204">
        <v>371.63900000000001</v>
      </c>
      <c r="GN341" s="204"/>
      <c r="GO341" s="205">
        <v>173.78900000000021</v>
      </c>
      <c r="GP341" s="203">
        <v>3823.7240000000002</v>
      </c>
      <c r="GQ341" s="204">
        <v>95.087000000000003</v>
      </c>
      <c r="GR341" s="204">
        <v>712.96299999999997</v>
      </c>
      <c r="GS341" s="204">
        <v>1010.4589999999999</v>
      </c>
      <c r="GT341" s="204">
        <v>764.351</v>
      </c>
      <c r="GU341" s="204"/>
      <c r="GV341" s="205">
        <v>1240.864</v>
      </c>
      <c r="GW341" s="203">
        <v>6884.4</v>
      </c>
      <c r="GX341" s="204">
        <v>483.5</v>
      </c>
      <c r="GY341" s="204">
        <v>1814.9</v>
      </c>
      <c r="GZ341" s="204">
        <v>1031.5</v>
      </c>
      <c r="HA341" s="204"/>
      <c r="HB341" s="204"/>
      <c r="HC341" s="205">
        <v>3554.4999999999995</v>
      </c>
      <c r="HD341" s="203">
        <v>63124.600000000006</v>
      </c>
      <c r="HE341" s="204">
        <v>3873.2000000000003</v>
      </c>
      <c r="HF341" s="204">
        <v>4485.7</v>
      </c>
      <c r="HG341" s="204">
        <v>17378.7</v>
      </c>
      <c r="HH341" s="204">
        <v>15544.9</v>
      </c>
      <c r="HI341" s="204"/>
      <c r="HJ341" s="204">
        <v>21842.1</v>
      </c>
      <c r="HK341" s="203">
        <v>15346.354945999999</v>
      </c>
      <c r="HL341" s="204">
        <v>2274.918353</v>
      </c>
      <c r="HM341" s="204">
        <v>2195.3192680000002</v>
      </c>
      <c r="HN341" s="204">
        <v>459.92621300000002</v>
      </c>
      <c r="HO341" s="204">
        <v>5016.3687420000006</v>
      </c>
      <c r="HP341" s="204"/>
      <c r="HQ341" s="204">
        <v>5399.822369999998</v>
      </c>
      <c r="HR341" s="203">
        <v>2466178.5780000002</v>
      </c>
      <c r="HS341" s="204">
        <v>198325.557</v>
      </c>
      <c r="HT341" s="204">
        <v>1173351.064</v>
      </c>
      <c r="HU341" s="204">
        <v>113825.54</v>
      </c>
      <c r="HV341" s="204">
        <v>493459.50599999999</v>
      </c>
      <c r="HW341" s="204">
        <v>112855.429</v>
      </c>
      <c r="HX341" s="204">
        <v>414024.59499999997</v>
      </c>
      <c r="HZ341" s="180"/>
    </row>
    <row r="342" spans="1:234">
      <c r="A342" s="185" t="s">
        <v>683</v>
      </c>
      <c r="B342" s="198">
        <v>2407.558</v>
      </c>
      <c r="C342" s="198"/>
      <c r="D342" s="198"/>
      <c r="E342" s="198"/>
      <c r="F342" s="198"/>
      <c r="G342" s="198"/>
      <c r="H342" s="198"/>
      <c r="I342" s="197">
        <v>892964.2</v>
      </c>
      <c r="J342" s="198"/>
      <c r="K342" s="198"/>
      <c r="L342" s="198">
        <v>56312.5</v>
      </c>
      <c r="M342" s="198">
        <v>161186.70000000001</v>
      </c>
      <c r="N342" s="198"/>
      <c r="O342" s="199">
        <v>675465</v>
      </c>
      <c r="P342" s="197">
        <v>6999.54</v>
      </c>
      <c r="Q342" s="198">
        <v>24.959</v>
      </c>
      <c r="R342" s="198">
        <v>271.28399999999999</v>
      </c>
      <c r="S342" s="198">
        <v>339.50400000000002</v>
      </c>
      <c r="T342" s="198">
        <v>5246.9160000000002</v>
      </c>
      <c r="U342" s="198"/>
      <c r="V342" s="199">
        <v>1116.8770000000004</v>
      </c>
      <c r="W342" s="197">
        <v>5904.491</v>
      </c>
      <c r="X342" s="198">
        <v>121.732</v>
      </c>
      <c r="Y342" s="198">
        <v>656.25599999999997</v>
      </c>
      <c r="Z342" s="198">
        <v>137.125</v>
      </c>
      <c r="AA342" s="198">
        <v>3422.6819999999998</v>
      </c>
      <c r="AB342" s="198"/>
      <c r="AC342" s="199">
        <v>1566.6959999999999</v>
      </c>
      <c r="AD342" s="198"/>
      <c r="AE342" s="198">
        <v>36.281999999999996</v>
      </c>
      <c r="AF342" s="198">
        <v>273.17099999999999</v>
      </c>
      <c r="AG342" s="198">
        <v>870.36400000000003</v>
      </c>
      <c r="AH342" s="198">
        <v>431.459</v>
      </c>
      <c r="AI342" s="198">
        <v>89.709000000000003</v>
      </c>
      <c r="AJ342" s="198"/>
      <c r="AK342" s="197"/>
      <c r="AL342" s="198"/>
      <c r="AM342" s="198"/>
      <c r="AN342" s="198"/>
      <c r="AO342" s="198"/>
      <c r="AP342" s="198"/>
      <c r="AQ342" s="199"/>
      <c r="AR342" s="198">
        <v>3197924</v>
      </c>
      <c r="AS342" s="198">
        <v>709070</v>
      </c>
      <c r="AT342" s="198">
        <v>296831</v>
      </c>
      <c r="AU342" s="198">
        <v>613730</v>
      </c>
      <c r="AV342" s="198">
        <v>1012486</v>
      </c>
      <c r="AW342" s="198"/>
      <c r="AX342" s="198">
        <v>565807</v>
      </c>
      <c r="AY342" s="197">
        <v>143605540</v>
      </c>
      <c r="AZ342" s="198"/>
      <c r="BA342" s="198">
        <v>86087185</v>
      </c>
      <c r="BB342" s="198">
        <v>37706712</v>
      </c>
      <c r="BC342" s="198">
        <v>18649341</v>
      </c>
      <c r="BD342" s="198"/>
      <c r="BE342" s="198"/>
      <c r="BF342" s="197">
        <v>379327017.25</v>
      </c>
      <c r="BG342" s="198"/>
      <c r="BH342" s="198">
        <v>223931639.65000001</v>
      </c>
      <c r="BI342" s="198">
        <v>49632413.789999977</v>
      </c>
      <c r="BJ342" s="198">
        <v>100301247.09999999</v>
      </c>
      <c r="BK342" s="198">
        <v>10521115.719999999</v>
      </c>
      <c r="BL342" s="198"/>
      <c r="BM342" s="197">
        <v>17519013.859840002</v>
      </c>
      <c r="BN342" s="198">
        <v>676689.01223999995</v>
      </c>
      <c r="BO342" s="198">
        <v>1792534.1594100003</v>
      </c>
      <c r="BP342" s="198">
        <v>5373355.5585200004</v>
      </c>
      <c r="BQ342" s="198">
        <v>5096313.8566099992</v>
      </c>
      <c r="BR342" s="198"/>
      <c r="BS342" s="198">
        <v>4580121.2730600024</v>
      </c>
      <c r="BT342" s="208"/>
      <c r="BU342" s="198"/>
      <c r="BV342" s="198"/>
      <c r="BW342" s="198"/>
      <c r="BX342" s="198"/>
      <c r="BY342" s="198"/>
      <c r="BZ342" s="198"/>
      <c r="CA342" s="197">
        <v>926.32</v>
      </c>
      <c r="CB342" s="198"/>
      <c r="CC342" s="198"/>
      <c r="CD342" s="198"/>
      <c r="CE342" s="198"/>
      <c r="CF342" s="198"/>
      <c r="CG342" s="198"/>
      <c r="CH342" s="197">
        <v>21533059.070290003</v>
      </c>
      <c r="CI342" s="198"/>
      <c r="CJ342" s="198">
        <v>10427981.262520002</v>
      </c>
      <c r="CK342" s="198">
        <v>2014585.7152999998</v>
      </c>
      <c r="CL342" s="198">
        <v>7520470.9442700008</v>
      </c>
      <c r="CM342" s="198">
        <v>1570021.1482000002</v>
      </c>
      <c r="CN342" s="198"/>
      <c r="CO342" s="197">
        <v>10920.396042749997</v>
      </c>
      <c r="CP342" s="198">
        <v>1061.8554519600002</v>
      </c>
      <c r="CQ342" s="198">
        <v>1475.24851098</v>
      </c>
      <c r="CR342" s="198">
        <v>2389.92862117</v>
      </c>
      <c r="CS342" s="198">
        <v>3710.1382621299995</v>
      </c>
      <c r="CT342" s="198"/>
      <c r="CU342" s="198">
        <v>2283.2251965099972</v>
      </c>
      <c r="CV342" s="197">
        <v>1670.982</v>
      </c>
      <c r="CW342" s="198"/>
      <c r="CX342" s="198"/>
      <c r="CY342" s="198"/>
      <c r="CZ342" s="198"/>
      <c r="DA342" s="198"/>
      <c r="DB342" s="198"/>
      <c r="DC342" s="197">
        <v>156545.421</v>
      </c>
      <c r="DD342" s="198">
        <v>19049.574000000001</v>
      </c>
      <c r="DE342" s="198">
        <v>25143.481</v>
      </c>
      <c r="DF342" s="198"/>
      <c r="DG342" s="198">
        <v>50153.017999999996</v>
      </c>
      <c r="DH342" s="198"/>
      <c r="DI342" s="198">
        <v>62199.348000000013</v>
      </c>
      <c r="DJ342" s="197">
        <v>134474.5</v>
      </c>
      <c r="DK342" s="198">
        <v>31386.699999999997</v>
      </c>
      <c r="DL342" s="198">
        <v>35283.300000000003</v>
      </c>
      <c r="DM342" s="198">
        <v>8034.5</v>
      </c>
      <c r="DN342" s="198">
        <v>19123.099999999999</v>
      </c>
      <c r="DO342" s="198"/>
      <c r="DP342" s="198">
        <v>40646.9</v>
      </c>
      <c r="DQ342" s="197"/>
      <c r="DR342" s="198"/>
      <c r="DS342" s="198"/>
      <c r="DT342" s="198"/>
      <c r="DU342" s="198"/>
      <c r="DV342" s="198"/>
      <c r="DW342" s="198"/>
      <c r="DX342" s="197">
        <v>251301.79309999998</v>
      </c>
      <c r="DY342" s="198"/>
      <c r="DZ342" s="198">
        <v>164587.4601</v>
      </c>
      <c r="EA342" s="198">
        <v>36930.773799999995</v>
      </c>
      <c r="EB342" s="198">
        <v>46508.528600000005</v>
      </c>
      <c r="EC342" s="198">
        <v>3275.0306</v>
      </c>
      <c r="ED342" s="198"/>
      <c r="EE342" s="197">
        <v>418664.82799999998</v>
      </c>
      <c r="EF342" s="198">
        <v>18435.636999999999</v>
      </c>
      <c r="EG342" s="198">
        <v>85961.842000000004</v>
      </c>
      <c r="EH342" s="198">
        <v>23541.359</v>
      </c>
      <c r="EI342" s="198">
        <v>197113.565</v>
      </c>
      <c r="EJ342" s="198"/>
      <c r="EK342" s="198">
        <v>93612.424999999988</v>
      </c>
      <c r="EL342" s="197">
        <v>3889420.1256719995</v>
      </c>
      <c r="EM342" s="198">
        <v>1745291.8388180002</v>
      </c>
      <c r="EN342" s="198">
        <v>165003.40342800002</v>
      </c>
      <c r="EO342" s="198">
        <v>630108.73204499995</v>
      </c>
      <c r="EP342" s="198">
        <v>799368.2646939999</v>
      </c>
      <c r="EQ342" s="198"/>
      <c r="ER342" s="198">
        <v>549647.88668699993</v>
      </c>
      <c r="ES342" s="197">
        <v>123757.47721087001</v>
      </c>
      <c r="ET342" s="198">
        <v>16312.38860839</v>
      </c>
      <c r="EU342" s="198">
        <v>42479.002739950003</v>
      </c>
      <c r="EV342" s="198">
        <v>16424.3599388</v>
      </c>
      <c r="EW342" s="198">
        <v>32324.469404700001</v>
      </c>
      <c r="EX342" s="198"/>
      <c r="EY342" s="198">
        <v>16217.256519030008</v>
      </c>
      <c r="EZ342" s="197">
        <v>45470.801102329999</v>
      </c>
      <c r="FA342" s="198">
        <v>2142.1404143800005</v>
      </c>
      <c r="FB342" s="198">
        <v>11575.12215662</v>
      </c>
      <c r="FC342" s="198">
        <v>13196.428858920006</v>
      </c>
      <c r="FD342" s="198">
        <v>9092.9560949399965</v>
      </c>
      <c r="FE342" s="198">
        <v>0</v>
      </c>
      <c r="FF342" s="198">
        <v>9464.1535774699951</v>
      </c>
      <c r="FG342" s="197">
        <v>77052752.738111988</v>
      </c>
      <c r="FH342" s="198">
        <v>7786736.9395709997</v>
      </c>
      <c r="FI342" s="198">
        <v>18247425.257268</v>
      </c>
      <c r="FJ342" s="198"/>
      <c r="FK342" s="198">
        <v>10575240.709696</v>
      </c>
      <c r="FL342" s="198"/>
      <c r="FM342" s="198">
        <v>40443349.831576996</v>
      </c>
      <c r="FN342" s="197">
        <v>228518.413833</v>
      </c>
      <c r="FO342" s="198">
        <v>35257.544346000002</v>
      </c>
      <c r="FP342" s="198">
        <v>34495.363362999997</v>
      </c>
      <c r="FQ342" s="198">
        <v>37298.900151000002</v>
      </c>
      <c r="FR342" s="198">
        <v>39191.289064000004</v>
      </c>
      <c r="FS342" s="198"/>
      <c r="FT342" s="199">
        <v>82275.316908999986</v>
      </c>
      <c r="FU342" s="197">
        <v>837156.78076910053</v>
      </c>
      <c r="FV342" s="198">
        <v>59771.643491090021</v>
      </c>
      <c r="FW342" s="198">
        <v>116426.23666097003</v>
      </c>
      <c r="FX342" s="198">
        <v>186628.14751568018</v>
      </c>
      <c r="FY342" s="198">
        <v>201682.56349288012</v>
      </c>
      <c r="FZ342" s="198"/>
      <c r="GA342" s="199">
        <v>272648.1896084802</v>
      </c>
      <c r="GB342" s="197">
        <v>1758.3879999999999</v>
      </c>
      <c r="GC342" s="198"/>
      <c r="GD342" s="198"/>
      <c r="GE342" s="198"/>
      <c r="GF342" s="198"/>
      <c r="GG342" s="198"/>
      <c r="GH342" s="199"/>
      <c r="GI342" s="197">
        <v>1222.0150000000001</v>
      </c>
      <c r="GJ342" s="198"/>
      <c r="GK342" s="198"/>
      <c r="GL342" s="198"/>
      <c r="GM342" s="198"/>
      <c r="GN342" s="198"/>
      <c r="GO342" s="199"/>
      <c r="GP342" s="197">
        <v>3827.9929999999999</v>
      </c>
      <c r="GQ342" s="198"/>
      <c r="GR342" s="198"/>
      <c r="GS342" s="198"/>
      <c r="GT342" s="198"/>
      <c r="GU342" s="198"/>
      <c r="GV342" s="199"/>
      <c r="GW342" s="198">
        <v>6855.8</v>
      </c>
      <c r="GX342" s="198">
        <v>476.6</v>
      </c>
      <c r="GY342" s="198">
        <v>1827.5</v>
      </c>
      <c r="GZ342" s="198">
        <v>1025</v>
      </c>
      <c r="HA342" s="198"/>
      <c r="HB342" s="198"/>
      <c r="HC342" s="198">
        <v>3526.7000000000003</v>
      </c>
      <c r="HD342" s="197"/>
      <c r="HE342" s="198"/>
      <c r="HF342" s="198"/>
      <c r="HG342" s="198"/>
      <c r="HH342" s="198"/>
      <c r="HI342" s="198"/>
      <c r="HJ342" s="198"/>
      <c r="HK342" s="208">
        <v>14995.269414000002</v>
      </c>
      <c r="HL342" s="198">
        <v>2254.2442509999996</v>
      </c>
      <c r="HM342" s="198">
        <v>2139.0510099999997</v>
      </c>
      <c r="HN342" s="198">
        <v>442.48176100000001</v>
      </c>
      <c r="HO342" s="198">
        <v>4824.3072809999994</v>
      </c>
      <c r="HP342" s="198"/>
      <c r="HQ342" s="198">
        <v>5335.1851110000043</v>
      </c>
      <c r="HR342" s="197">
        <v>2547756.301</v>
      </c>
      <c r="HS342" s="198">
        <v>202289.10200000001</v>
      </c>
      <c r="HT342" s="198">
        <v>1199242.4339999999</v>
      </c>
      <c r="HU342" s="198">
        <v>116652.40399999999</v>
      </c>
      <c r="HV342" s="198">
        <v>521232.20799999998</v>
      </c>
      <c r="HW342" s="198">
        <v>115515.25900000001</v>
      </c>
      <c r="HX342" s="198">
        <v>436187.62900000002</v>
      </c>
      <c r="HY342" s="180"/>
      <c r="HZ342" s="180"/>
    </row>
    <row r="343" spans="1:234">
      <c r="A343" s="185" t="s">
        <v>490</v>
      </c>
      <c r="B343" s="198">
        <v>2390.4960000000001</v>
      </c>
      <c r="C343" s="198"/>
      <c r="D343" s="198"/>
      <c r="E343" s="198"/>
      <c r="F343" s="198"/>
      <c r="G343" s="198"/>
      <c r="H343" s="198"/>
      <c r="I343" s="197">
        <v>907015.6</v>
      </c>
      <c r="J343" s="198"/>
      <c r="K343" s="198"/>
      <c r="L343" s="198">
        <v>55945</v>
      </c>
      <c r="M343" s="198">
        <v>163720</v>
      </c>
      <c r="N343" s="198"/>
      <c r="O343" s="199">
        <v>687350.6</v>
      </c>
      <c r="P343" s="197">
        <v>6902.0630000000001</v>
      </c>
      <c r="Q343" s="198">
        <v>25.103999999999999</v>
      </c>
      <c r="R343" s="198">
        <v>260.62900000000002</v>
      </c>
      <c r="S343" s="198">
        <v>336.39100000000002</v>
      </c>
      <c r="T343" s="198">
        <v>5237.4780000000001</v>
      </c>
      <c r="U343" s="198"/>
      <c r="V343" s="199">
        <v>1042.4610000000002</v>
      </c>
      <c r="W343" s="197">
        <v>5873.27</v>
      </c>
      <c r="X343" s="198">
        <v>124.06699999999999</v>
      </c>
      <c r="Y343" s="198">
        <v>660.49476000000004</v>
      </c>
      <c r="Z343" s="198">
        <v>136.09311</v>
      </c>
      <c r="AA343" s="198">
        <v>3417.9082799999996</v>
      </c>
      <c r="AB343" s="198"/>
      <c r="AC343" s="199">
        <v>1534.7056700000012</v>
      </c>
      <c r="AD343" s="198"/>
      <c r="AE343" s="198">
        <v>41.52</v>
      </c>
      <c r="AF343" s="198">
        <v>284.95100000000002</v>
      </c>
      <c r="AG343" s="198">
        <v>884.99199999999996</v>
      </c>
      <c r="AH343" s="198">
        <v>403.28500000000003</v>
      </c>
      <c r="AI343" s="198">
        <v>90.343000000000004</v>
      </c>
      <c r="AJ343" s="198"/>
      <c r="AK343" s="197"/>
      <c r="AL343" s="198"/>
      <c r="AM343" s="198"/>
      <c r="AN343" s="198"/>
      <c r="AO343" s="198"/>
      <c r="AP343" s="198"/>
      <c r="AQ343" s="199"/>
      <c r="AR343" s="198">
        <v>3182317</v>
      </c>
      <c r="AS343" s="198">
        <v>704194</v>
      </c>
      <c r="AT343" s="198">
        <v>290028</v>
      </c>
      <c r="AU343" s="198">
        <v>614817</v>
      </c>
      <c r="AV343" s="198">
        <v>1011060</v>
      </c>
      <c r="AW343" s="198"/>
      <c r="AX343" s="198">
        <v>562218</v>
      </c>
      <c r="AY343" s="197">
        <v>143971489</v>
      </c>
      <c r="AZ343" s="198"/>
      <c r="BA343" s="198">
        <v>85904058</v>
      </c>
      <c r="BB343" s="198">
        <v>37993879</v>
      </c>
      <c r="BC343" s="198">
        <v>18647099</v>
      </c>
      <c r="BD343" s="198"/>
      <c r="BE343" s="198"/>
      <c r="BF343" s="197">
        <v>384015863.94000006</v>
      </c>
      <c r="BG343" s="198"/>
      <c r="BH343" s="198">
        <v>227899476.88</v>
      </c>
      <c r="BI343" s="198">
        <v>44531552.080000013</v>
      </c>
      <c r="BJ343" s="198">
        <v>101021184.31000002</v>
      </c>
      <c r="BK343" s="198">
        <v>10563650.67</v>
      </c>
      <c r="BL343" s="198"/>
      <c r="BM343" s="197">
        <v>17800919.066819999</v>
      </c>
      <c r="BN343" s="198">
        <v>661387.54501999996</v>
      </c>
      <c r="BO343" s="198">
        <v>1815253.4417699997</v>
      </c>
      <c r="BP343" s="198">
        <v>5464746.3766700001</v>
      </c>
      <c r="BQ343" s="198">
        <v>5188717.7299699998</v>
      </c>
      <c r="BR343" s="198"/>
      <c r="BS343" s="198">
        <v>4670813.973389999</v>
      </c>
      <c r="BT343" s="197"/>
      <c r="BU343" s="198"/>
      <c r="BV343" s="198"/>
      <c r="BW343" s="198"/>
      <c r="BX343" s="198"/>
      <c r="BY343" s="198"/>
      <c r="BZ343" s="198"/>
      <c r="CA343" s="197">
        <v>926.98599999999999</v>
      </c>
      <c r="CB343" s="198"/>
      <c r="CC343" s="198"/>
      <c r="CD343" s="198"/>
      <c r="CE343" s="198"/>
      <c r="CF343" s="198"/>
      <c r="CG343" s="198"/>
      <c r="CH343" s="197"/>
      <c r="CI343" s="198"/>
      <c r="CJ343" s="198"/>
      <c r="CK343" s="198"/>
      <c r="CL343" s="198"/>
      <c r="CM343" s="198"/>
      <c r="CN343" s="198"/>
      <c r="CO343" s="197">
        <v>10920.472393400001</v>
      </c>
      <c r="CP343" s="198">
        <v>1063.9363831200003</v>
      </c>
      <c r="CQ343" s="198">
        <v>1473.3005774799999</v>
      </c>
      <c r="CR343" s="198">
        <v>2392.1279206399995</v>
      </c>
      <c r="CS343" s="198">
        <v>3727.0857585400008</v>
      </c>
      <c r="CT343" s="198"/>
      <c r="CU343" s="198">
        <v>2264.0217536199998</v>
      </c>
      <c r="CV343" s="197">
        <v>1660.32</v>
      </c>
      <c r="CW343" s="198"/>
      <c r="CX343" s="198"/>
      <c r="CY343" s="198"/>
      <c r="CZ343" s="198"/>
      <c r="DA343" s="198"/>
      <c r="DB343" s="198"/>
      <c r="DC343" s="197">
        <v>156932.617</v>
      </c>
      <c r="DD343" s="198">
        <v>19109.300999999999</v>
      </c>
      <c r="DE343" s="198">
        <v>24868.027999999998</v>
      </c>
      <c r="DF343" s="198"/>
      <c r="DG343" s="198">
        <v>50640.489000000001</v>
      </c>
      <c r="DH343" s="198"/>
      <c r="DI343" s="198">
        <v>62314.798999999999</v>
      </c>
      <c r="DJ343" s="197">
        <v>133421.4</v>
      </c>
      <c r="DK343" s="198">
        <v>31519.7</v>
      </c>
      <c r="DL343" s="198">
        <v>34922.300000000003</v>
      </c>
      <c r="DM343" s="198">
        <v>8108.7</v>
      </c>
      <c r="DN343" s="198">
        <v>19243.099999999999</v>
      </c>
      <c r="DO343" s="198"/>
      <c r="DP343" s="198">
        <v>39627.599999999999</v>
      </c>
      <c r="DQ343" s="197"/>
      <c r="DR343" s="198"/>
      <c r="DS343" s="198"/>
      <c r="DT343" s="198"/>
      <c r="DU343" s="198"/>
      <c r="DV343" s="198"/>
      <c r="DW343" s="198"/>
      <c r="DX343" s="197">
        <v>254181.367</v>
      </c>
      <c r="DY343" s="198"/>
      <c r="DZ343" s="198">
        <v>166238.94680000001</v>
      </c>
      <c r="EA343" s="198">
        <v>36952.4401</v>
      </c>
      <c r="EB343" s="198">
        <v>47676.405599999998</v>
      </c>
      <c r="EC343" s="198">
        <v>3313.5745999999999</v>
      </c>
      <c r="ED343" s="198"/>
      <c r="EE343" s="197">
        <v>420292.239</v>
      </c>
      <c r="EF343" s="198">
        <v>18464.84</v>
      </c>
      <c r="EG343" s="198">
        <v>85774.698999999993</v>
      </c>
      <c r="EH343" s="198">
        <v>23315.589</v>
      </c>
      <c r="EI343" s="198">
        <v>198546.36</v>
      </c>
      <c r="EJ343" s="198"/>
      <c r="EK343" s="198">
        <v>94190.750999999989</v>
      </c>
      <c r="EL343" s="197">
        <v>3886017.6216000002</v>
      </c>
      <c r="EM343" s="198">
        <v>1748256.1787370001</v>
      </c>
      <c r="EN343" s="198">
        <v>150854.93867500001</v>
      </c>
      <c r="EO343" s="198">
        <v>631750.25859200011</v>
      </c>
      <c r="EP343" s="198">
        <v>802021.97041699977</v>
      </c>
      <c r="EQ343" s="198"/>
      <c r="ER343" s="198">
        <v>553134.27517899999</v>
      </c>
      <c r="ES343" s="197">
        <v>124945.56600770001</v>
      </c>
      <c r="ET343" s="198">
        <v>16319.719564490002</v>
      </c>
      <c r="EU343" s="198">
        <v>43060.078283700008</v>
      </c>
      <c r="EV343" s="198">
        <v>16655.745252560002</v>
      </c>
      <c r="EW343" s="198">
        <v>32845.297264000001</v>
      </c>
      <c r="EX343" s="198"/>
      <c r="EY343" s="198">
        <v>16064.725642949983</v>
      </c>
      <c r="EZ343" s="197">
        <v>45502.011933050002</v>
      </c>
      <c r="FA343" s="198">
        <v>2163.6649673200004</v>
      </c>
      <c r="FB343" s="198">
        <v>11426.561169480001</v>
      </c>
      <c r="FC343" s="198">
        <v>13353.896621269994</v>
      </c>
      <c r="FD343" s="198">
        <v>9151.2118201899975</v>
      </c>
      <c r="FE343" s="198">
        <v>0</v>
      </c>
      <c r="FF343" s="198">
        <v>9406.6773547900048</v>
      </c>
      <c r="FG343" s="197">
        <v>76436616.074968994</v>
      </c>
      <c r="FH343" s="198">
        <v>7678251.3474899996</v>
      </c>
      <c r="FI343" s="198">
        <v>17412776.496732999</v>
      </c>
      <c r="FJ343" s="198"/>
      <c r="FK343" s="198">
        <v>10497724.860317999</v>
      </c>
      <c r="FL343" s="198"/>
      <c r="FM343" s="198">
        <v>40847863.370428003</v>
      </c>
      <c r="FN343" s="197">
        <v>229752.92672600001</v>
      </c>
      <c r="FO343" s="198">
        <v>35048.371748000005</v>
      </c>
      <c r="FP343" s="198">
        <v>34685.480858999996</v>
      </c>
      <c r="FQ343" s="198">
        <v>37621.886521</v>
      </c>
      <c r="FR343" s="198">
        <v>39498.548064000002</v>
      </c>
      <c r="FS343" s="198"/>
      <c r="FT343" s="199">
        <v>82898.639533999987</v>
      </c>
      <c r="FU343" s="197">
        <v>834339.78338433977</v>
      </c>
      <c r="FV343" s="198">
        <v>57648.52745211999</v>
      </c>
      <c r="FW343" s="198">
        <v>116602.38952559989</v>
      </c>
      <c r="FX343" s="198">
        <v>187768.56190159995</v>
      </c>
      <c r="FY343" s="198">
        <v>203469.49542564995</v>
      </c>
      <c r="FZ343" s="198"/>
      <c r="GA343" s="199">
        <v>268850.80907937</v>
      </c>
      <c r="GB343" s="197">
        <v>1757.924</v>
      </c>
      <c r="GC343" s="198"/>
      <c r="GD343" s="198"/>
      <c r="GE343" s="198"/>
      <c r="GF343" s="198"/>
      <c r="GG343" s="198"/>
      <c r="GH343" s="199"/>
      <c r="GI343" s="197">
        <v>1219.7639999999999</v>
      </c>
      <c r="GJ343" s="198"/>
      <c r="GK343" s="198"/>
      <c r="GL343" s="198"/>
      <c r="GM343" s="198"/>
      <c r="GN343" s="198"/>
      <c r="GO343" s="199"/>
      <c r="GP343" s="197">
        <v>3803.0680000000002</v>
      </c>
      <c r="GQ343" s="198"/>
      <c r="GR343" s="198"/>
      <c r="GS343" s="198"/>
      <c r="GT343" s="198"/>
      <c r="GU343" s="198"/>
      <c r="GV343" s="199"/>
      <c r="GW343" s="198">
        <v>6848.6</v>
      </c>
      <c r="GX343" s="198">
        <v>477.1</v>
      </c>
      <c r="GY343" s="198">
        <v>1821.3</v>
      </c>
      <c r="GZ343" s="198">
        <v>1037.0999999999999</v>
      </c>
      <c r="HA343" s="198"/>
      <c r="HB343" s="198"/>
      <c r="HC343" s="198">
        <v>3513.0999999999995</v>
      </c>
      <c r="HD343" s="197"/>
      <c r="HE343" s="198"/>
      <c r="HF343" s="198"/>
      <c r="HG343" s="198"/>
      <c r="HH343" s="198"/>
      <c r="HI343" s="198"/>
      <c r="HJ343" s="198"/>
      <c r="HK343" s="197">
        <v>14734.317447000001</v>
      </c>
      <c r="HL343" s="198">
        <v>2231.6395339999999</v>
      </c>
      <c r="HM343" s="198">
        <v>2064.331177</v>
      </c>
      <c r="HN343" s="198">
        <v>430.663951</v>
      </c>
      <c r="HO343" s="198">
        <v>4685.8074240000005</v>
      </c>
      <c r="HP343" s="198"/>
      <c r="HQ343" s="198">
        <v>5321.8753610000003</v>
      </c>
      <c r="HR343" s="197">
        <v>2696847.4640000002</v>
      </c>
      <c r="HS343" s="198">
        <v>211682.27600000001</v>
      </c>
      <c r="HT343" s="198">
        <v>1257843.858</v>
      </c>
      <c r="HU343" s="198">
        <v>119386.10799999999</v>
      </c>
      <c r="HV343" s="198">
        <v>546493.29500000004</v>
      </c>
      <c r="HW343" s="198">
        <v>120578.33500000001</v>
      </c>
      <c r="HX343" s="198">
        <v>487476.72600000002</v>
      </c>
      <c r="HY343" s="180"/>
      <c r="HZ343" s="180"/>
    </row>
    <row r="344" spans="1:234">
      <c r="A344" s="185" t="s">
        <v>491</v>
      </c>
      <c r="B344" s="198">
        <v>2379.9229999999998</v>
      </c>
      <c r="C344" s="198">
        <v>31.905999999999999</v>
      </c>
      <c r="D344" s="198">
        <v>348.185</v>
      </c>
      <c r="E344" s="198">
        <v>755.92700000000002</v>
      </c>
      <c r="F344" s="198">
        <v>430.40300000000002</v>
      </c>
      <c r="G344" s="198"/>
      <c r="H344" s="198">
        <v>813.50199999999973</v>
      </c>
      <c r="I344" s="197">
        <v>908380.9</v>
      </c>
      <c r="J344" s="198"/>
      <c r="K344" s="198"/>
      <c r="L344" s="198">
        <v>55682.5</v>
      </c>
      <c r="M344" s="198">
        <v>167668.70000000001</v>
      </c>
      <c r="N344" s="198"/>
      <c r="O344" s="199">
        <v>685029.7</v>
      </c>
      <c r="P344" s="197">
        <v>6912.9070000000002</v>
      </c>
      <c r="Q344" s="198">
        <v>24.164999999999999</v>
      </c>
      <c r="R344" s="198">
        <v>260.92399999999998</v>
      </c>
      <c r="S344" s="198">
        <v>346.85899999999998</v>
      </c>
      <c r="T344" s="198">
        <v>5237.518</v>
      </c>
      <c r="U344" s="198"/>
      <c r="V344" s="199">
        <v>1043.4409999999998</v>
      </c>
      <c r="W344" s="197">
        <v>5866.8029999999999</v>
      </c>
      <c r="X344" s="198">
        <v>118.072</v>
      </c>
      <c r="Y344" s="198">
        <v>655.71600000000001</v>
      </c>
      <c r="Z344" s="198">
        <v>136.803</v>
      </c>
      <c r="AA344" s="198">
        <v>3417.0329999999999</v>
      </c>
      <c r="AB344" s="198"/>
      <c r="AC344" s="199">
        <v>1539.1789999999996</v>
      </c>
      <c r="AD344" s="198">
        <v>2611.942</v>
      </c>
      <c r="AE344" s="198">
        <v>43.265999999999998</v>
      </c>
      <c r="AF344" s="198">
        <v>287.94</v>
      </c>
      <c r="AG344" s="198">
        <v>878.798</v>
      </c>
      <c r="AH344" s="198">
        <v>403.61200000000002</v>
      </c>
      <c r="AI344" s="198">
        <v>91.075999999999993</v>
      </c>
      <c r="AJ344" s="198">
        <v>907.24999999999977</v>
      </c>
      <c r="AK344" s="197">
        <v>117138</v>
      </c>
      <c r="AL344" s="198">
        <v>42163</v>
      </c>
      <c r="AM344" s="198"/>
      <c r="AN344" s="198">
        <v>26963</v>
      </c>
      <c r="AO344" s="198">
        <v>12644</v>
      </c>
      <c r="AP344" s="198">
        <v>35368</v>
      </c>
      <c r="AQ344" s="199"/>
      <c r="AR344" s="198">
        <v>3160571</v>
      </c>
      <c r="AS344" s="198">
        <v>695915</v>
      </c>
      <c r="AT344" s="198">
        <v>286797</v>
      </c>
      <c r="AU344" s="198">
        <v>617795</v>
      </c>
      <c r="AV344" s="198">
        <v>1011626</v>
      </c>
      <c r="AW344" s="198"/>
      <c r="AX344" s="198">
        <v>548438</v>
      </c>
      <c r="AY344" s="197">
        <v>143833669</v>
      </c>
      <c r="AZ344" s="198"/>
      <c r="BA344" s="198">
        <v>85468112</v>
      </c>
      <c r="BB344" s="198">
        <v>38362509</v>
      </c>
      <c r="BC344" s="198">
        <v>18920033</v>
      </c>
      <c r="BD344" s="198"/>
      <c r="BE344" s="198"/>
      <c r="BF344" s="197">
        <v>383793968.16999996</v>
      </c>
      <c r="BG344" s="198"/>
      <c r="BH344" s="198">
        <v>226434974.61999997</v>
      </c>
      <c r="BI344" s="198">
        <v>45108291.710000001</v>
      </c>
      <c r="BJ344" s="198">
        <v>101668339.53999998</v>
      </c>
      <c r="BK344" s="198">
        <v>10582362.300000001</v>
      </c>
      <c r="BL344" s="198"/>
      <c r="BM344" s="197">
        <v>17481668.074620001</v>
      </c>
      <c r="BN344" s="198">
        <v>658052.08091000014</v>
      </c>
      <c r="BO344" s="198">
        <v>1848679.0325800001</v>
      </c>
      <c r="BP344" s="198">
        <v>5403408.3589899996</v>
      </c>
      <c r="BQ344" s="198">
        <v>5119007.9613900017</v>
      </c>
      <c r="BR344" s="198"/>
      <c r="BS344" s="198">
        <v>4452520.6407500003</v>
      </c>
      <c r="BT344" s="197"/>
      <c r="BU344" s="198"/>
      <c r="BV344" s="198"/>
      <c r="BW344" s="198"/>
      <c r="BX344" s="198"/>
      <c r="BY344" s="198"/>
      <c r="BZ344" s="198"/>
      <c r="CA344" s="197">
        <v>922.87300000000005</v>
      </c>
      <c r="CB344" s="198">
        <v>30.832000000000001</v>
      </c>
      <c r="CC344" s="198">
        <v>130.155</v>
      </c>
      <c r="CD344" s="198">
        <v>268.47699999999998</v>
      </c>
      <c r="CE344" s="198">
        <v>188.57</v>
      </c>
      <c r="CF344" s="198"/>
      <c r="CG344" s="198">
        <v>304.83900000000011</v>
      </c>
      <c r="CH344" s="197"/>
      <c r="CI344" s="198"/>
      <c r="CJ344" s="198"/>
      <c r="CK344" s="198"/>
      <c r="CL344" s="198"/>
      <c r="CM344" s="198"/>
      <c r="CN344" s="198"/>
      <c r="CO344" s="197">
        <v>10950.728155730001</v>
      </c>
      <c r="CP344" s="198">
        <v>1082.6635021999998</v>
      </c>
      <c r="CQ344" s="198">
        <v>1456.3878931000002</v>
      </c>
      <c r="CR344" s="198">
        <v>2394.09398667</v>
      </c>
      <c r="CS344" s="198">
        <v>3739.0884465500003</v>
      </c>
      <c r="CT344" s="198"/>
      <c r="CU344" s="198">
        <v>2278.4943272100018</v>
      </c>
      <c r="CV344" s="197">
        <v>1699.2550000000001</v>
      </c>
      <c r="CW344" s="198">
        <v>35.987000000000002</v>
      </c>
      <c r="CX344" s="198">
        <v>274.18099999999998</v>
      </c>
      <c r="CY344" s="198">
        <v>565.40599999999995</v>
      </c>
      <c r="CZ344" s="198">
        <v>541.24599999999998</v>
      </c>
      <c r="DA344" s="198"/>
      <c r="DB344" s="198">
        <v>282.43500000000006</v>
      </c>
      <c r="DC344" s="197">
        <v>157143.598</v>
      </c>
      <c r="DD344" s="198">
        <v>19015.636999999999</v>
      </c>
      <c r="DE344" s="198">
        <v>24620.262999999999</v>
      </c>
      <c r="DF344" s="198"/>
      <c r="DG344" s="198">
        <v>50953.036999999997</v>
      </c>
      <c r="DH344" s="198"/>
      <c r="DI344" s="198">
        <v>62554.661000000007</v>
      </c>
      <c r="DJ344" s="197">
        <v>133584.9</v>
      </c>
      <c r="DK344" s="198">
        <v>31663</v>
      </c>
      <c r="DL344" s="198">
        <v>34978</v>
      </c>
      <c r="DM344" s="198">
        <v>8167.5</v>
      </c>
      <c r="DN344" s="198">
        <v>18881.099999999999</v>
      </c>
      <c r="DO344" s="198"/>
      <c r="DP344" s="198">
        <v>39895.299999999996</v>
      </c>
      <c r="DQ344" s="197">
        <v>79.609998680000004</v>
      </c>
      <c r="DR344" s="198">
        <v>13.68824802</v>
      </c>
      <c r="DS344" s="198">
        <v>18.318169659999999</v>
      </c>
      <c r="DT344" s="198">
        <v>7.77825217</v>
      </c>
      <c r="DU344" s="198">
        <v>8.3289013599999997</v>
      </c>
      <c r="DV344" s="198"/>
      <c r="DW344" s="198">
        <v>31.496427470000004</v>
      </c>
      <c r="DX344" s="197">
        <v>262854.69180000003</v>
      </c>
      <c r="DY344" s="198"/>
      <c r="DZ344" s="198">
        <v>169166.8652</v>
      </c>
      <c r="EA344" s="198">
        <v>37112.7837</v>
      </c>
      <c r="EB344" s="198">
        <v>53211.196499999998</v>
      </c>
      <c r="EC344" s="198">
        <v>3363.8463999999999</v>
      </c>
      <c r="ED344" s="198"/>
      <c r="EE344" s="197">
        <v>423564.65399999998</v>
      </c>
      <c r="EF344" s="198">
        <v>16373.483</v>
      </c>
      <c r="EG344" s="198">
        <v>88902.22</v>
      </c>
      <c r="EH344" s="198">
        <v>23760.007000000001</v>
      </c>
      <c r="EI344" s="198">
        <v>198040.09</v>
      </c>
      <c r="EJ344" s="198"/>
      <c r="EK344" s="198">
        <v>96488.854000000021</v>
      </c>
      <c r="EL344" s="197">
        <v>3887413.1387690012</v>
      </c>
      <c r="EM344" s="198">
        <v>1718669.5929640001</v>
      </c>
      <c r="EN344" s="198">
        <v>169583.68664900004</v>
      </c>
      <c r="EO344" s="198">
        <v>637420.53137899993</v>
      </c>
      <c r="EP344" s="198">
        <v>809689.08549299999</v>
      </c>
      <c r="EQ344" s="198"/>
      <c r="ER344" s="198">
        <v>552050.24228399992</v>
      </c>
      <c r="ES344" s="197">
        <v>126296.25926628</v>
      </c>
      <c r="ET344" s="198">
        <v>17225.766332849998</v>
      </c>
      <c r="EU344" s="198">
        <v>44177.974015209991</v>
      </c>
      <c r="EV344" s="198">
        <v>16875.60006189</v>
      </c>
      <c r="EW344" s="198">
        <v>33403.131160830002</v>
      </c>
      <c r="EX344" s="198"/>
      <c r="EY344" s="198">
        <v>14613.787695500017</v>
      </c>
      <c r="EZ344" s="197">
        <v>45874.391847049992</v>
      </c>
      <c r="FA344" s="198">
        <v>2208.5227694800001</v>
      </c>
      <c r="FB344" s="198">
        <v>11208.908366469999</v>
      </c>
      <c r="FC344" s="198">
        <v>13722.192898040001</v>
      </c>
      <c r="FD344" s="198">
        <v>9227.8389892099985</v>
      </c>
      <c r="FE344" s="198">
        <v>0</v>
      </c>
      <c r="FF344" s="198">
        <v>9506.9288238499939</v>
      </c>
      <c r="FG344" s="197">
        <v>75452923.080604002</v>
      </c>
      <c r="FH344" s="198">
        <v>7437319.3684759997</v>
      </c>
      <c r="FI344" s="198">
        <v>17362513.373112999</v>
      </c>
      <c r="FJ344" s="198"/>
      <c r="FK344" s="198">
        <v>10558584.440461</v>
      </c>
      <c r="FL344" s="198"/>
      <c r="FM344" s="198">
        <v>40094505.898553997</v>
      </c>
      <c r="FN344" s="197">
        <v>227458.196646</v>
      </c>
      <c r="FO344" s="198">
        <v>34625.847472999994</v>
      </c>
      <c r="FP344" s="198">
        <v>34202.064624999999</v>
      </c>
      <c r="FQ344" s="198">
        <v>37321.015660999998</v>
      </c>
      <c r="FR344" s="198">
        <v>39502.668767999996</v>
      </c>
      <c r="FS344" s="198"/>
      <c r="FT344" s="199">
        <v>81806.60011900001</v>
      </c>
      <c r="FU344" s="197">
        <v>836346.34568417002</v>
      </c>
      <c r="FV344" s="198">
        <v>55350.296762889986</v>
      </c>
      <c r="FW344" s="198">
        <v>115911.72312524001</v>
      </c>
      <c r="FX344" s="198">
        <v>188922.43779513997</v>
      </c>
      <c r="FY344" s="198">
        <v>204622.03884143999</v>
      </c>
      <c r="FZ344" s="198"/>
      <c r="GA344" s="199">
        <v>271539.84915946005</v>
      </c>
      <c r="GB344" s="197">
        <v>1756.855</v>
      </c>
      <c r="GC344" s="198">
        <v>17.934000000000001</v>
      </c>
      <c r="GD344" s="198">
        <v>275.49299999999999</v>
      </c>
      <c r="GE344" s="198">
        <v>462.71199999999999</v>
      </c>
      <c r="GF344" s="198">
        <v>437.73200000000003</v>
      </c>
      <c r="GG344" s="198"/>
      <c r="GH344" s="199">
        <v>562.98400000000015</v>
      </c>
      <c r="GI344" s="197">
        <v>1208.568</v>
      </c>
      <c r="GJ344" s="198">
        <v>22.338000000000001</v>
      </c>
      <c r="GK344" s="198">
        <v>151.35400000000001</v>
      </c>
      <c r="GL344" s="198">
        <v>486.32799999999997</v>
      </c>
      <c r="GM344" s="198">
        <v>373.54700000000003</v>
      </c>
      <c r="GN344" s="198"/>
      <c r="GO344" s="199">
        <v>175.00099999999998</v>
      </c>
      <c r="GP344" s="197">
        <v>3836.9090000000001</v>
      </c>
      <c r="GQ344" s="198">
        <v>102.79600000000001</v>
      </c>
      <c r="GR344" s="198">
        <v>699.41</v>
      </c>
      <c r="GS344" s="198">
        <v>1011.102</v>
      </c>
      <c r="GT344" s="198">
        <v>766.65800000000002</v>
      </c>
      <c r="GU344" s="198"/>
      <c r="GV344" s="199">
        <v>1256.9430000000007</v>
      </c>
      <c r="GW344" s="198">
        <v>7587.5</v>
      </c>
      <c r="GX344" s="198">
        <v>523.4</v>
      </c>
      <c r="GY344" s="198">
        <v>2073.6</v>
      </c>
      <c r="GZ344" s="198">
        <v>1083.7</v>
      </c>
      <c r="HA344" s="198"/>
      <c r="HB344" s="198"/>
      <c r="HC344" s="198">
        <v>3906.8000000000006</v>
      </c>
      <c r="HD344" s="197">
        <v>63721.100000000006</v>
      </c>
      <c r="HE344" s="198">
        <v>4186.2</v>
      </c>
      <c r="HF344" s="198">
        <v>4318.2</v>
      </c>
      <c r="HG344" s="198">
        <v>17603.8</v>
      </c>
      <c r="HH344" s="198">
        <v>15513.4</v>
      </c>
      <c r="HI344" s="198"/>
      <c r="HJ344" s="198">
        <v>22099.5</v>
      </c>
      <c r="HK344" s="197">
        <v>14966.959403999999</v>
      </c>
      <c r="HL344" s="198">
        <v>2218.1831300000003</v>
      </c>
      <c r="HM344" s="198">
        <v>2050.3275660000004</v>
      </c>
      <c r="HN344" s="198">
        <v>417.28040100000004</v>
      </c>
      <c r="HO344" s="198">
        <v>4884.0313960000012</v>
      </c>
      <c r="HP344" s="198"/>
      <c r="HQ344" s="198">
        <v>5397.1369109999987</v>
      </c>
      <c r="HR344" s="197">
        <v>2882932.1159999999</v>
      </c>
      <c r="HS344" s="198">
        <v>222036.87700000001</v>
      </c>
      <c r="HT344" s="198">
        <v>1366520.22</v>
      </c>
      <c r="HU344" s="198">
        <v>122446.802</v>
      </c>
      <c r="HV344" s="198">
        <v>577516.23199999996</v>
      </c>
      <c r="HW344" s="198">
        <v>127310.659</v>
      </c>
      <c r="HX344" s="198">
        <v>519426.272</v>
      </c>
      <c r="HY344" s="180"/>
      <c r="HZ344" s="180"/>
    </row>
    <row r="345" spans="1:234">
      <c r="A345" s="185" t="s">
        <v>492</v>
      </c>
      <c r="B345" s="198">
        <v>2368.5709999999999</v>
      </c>
      <c r="C345" s="198"/>
      <c r="D345" s="198"/>
      <c r="E345" s="198"/>
      <c r="F345" s="198"/>
      <c r="G345" s="198"/>
      <c r="H345" s="198"/>
      <c r="I345" s="197">
        <v>928072.6</v>
      </c>
      <c r="J345" s="198"/>
      <c r="K345" s="198"/>
      <c r="L345" s="198">
        <v>55704.9</v>
      </c>
      <c r="M345" s="198">
        <v>170715.3</v>
      </c>
      <c r="N345" s="198"/>
      <c r="O345" s="199">
        <v>701652.39999999991</v>
      </c>
      <c r="P345" s="197">
        <v>6939.7089999999998</v>
      </c>
      <c r="Q345" s="198">
        <v>23.719000000000001</v>
      </c>
      <c r="R345" s="198">
        <v>257.34300000000002</v>
      </c>
      <c r="S345" s="198">
        <v>336.87599999999998</v>
      </c>
      <c r="T345" s="198">
        <v>5232.4989999999998</v>
      </c>
      <c r="U345" s="198"/>
      <c r="V345" s="199">
        <v>1089.2719999999999</v>
      </c>
      <c r="W345" s="197">
        <v>5881.5559999999996</v>
      </c>
      <c r="X345" s="198">
        <v>115.78</v>
      </c>
      <c r="Y345" s="198">
        <v>653.50199999999995</v>
      </c>
      <c r="Z345" s="198">
        <v>132.09800000000001</v>
      </c>
      <c r="AA345" s="198">
        <v>3439.9679999999998</v>
      </c>
      <c r="AB345" s="198"/>
      <c r="AC345" s="199">
        <v>1540.2079999999996</v>
      </c>
      <c r="AD345" s="198"/>
      <c r="AE345" s="198">
        <v>43.725999999999999</v>
      </c>
      <c r="AF345" s="198">
        <v>282.86200000000002</v>
      </c>
      <c r="AG345" s="198">
        <v>885.59299999999996</v>
      </c>
      <c r="AH345" s="198">
        <v>401.87200000000001</v>
      </c>
      <c r="AI345" s="198">
        <v>92.953999999999994</v>
      </c>
      <c r="AJ345" s="198"/>
      <c r="AK345" s="197"/>
      <c r="AL345" s="198"/>
      <c r="AM345" s="198"/>
      <c r="AN345" s="198"/>
      <c r="AO345" s="198"/>
      <c r="AP345" s="198"/>
      <c r="AQ345" s="199"/>
      <c r="AR345" s="198">
        <v>3139548</v>
      </c>
      <c r="AS345" s="198">
        <v>688083</v>
      </c>
      <c r="AT345" s="198">
        <v>281096</v>
      </c>
      <c r="AU345" s="198">
        <v>617434</v>
      </c>
      <c r="AV345" s="198">
        <v>1009089</v>
      </c>
      <c r="AW345" s="198"/>
      <c r="AX345" s="198">
        <v>543846</v>
      </c>
      <c r="AY345" s="197">
        <v>145057210</v>
      </c>
      <c r="AZ345" s="198"/>
      <c r="BA345" s="198">
        <v>85769321</v>
      </c>
      <c r="BB345" s="198">
        <v>38680432</v>
      </c>
      <c r="BC345" s="198">
        <v>19101622</v>
      </c>
      <c r="BD345" s="198"/>
      <c r="BE345" s="198"/>
      <c r="BF345" s="197">
        <v>386044101.79000008</v>
      </c>
      <c r="BG345" s="198"/>
      <c r="BH345" s="198">
        <v>226811828.35000002</v>
      </c>
      <c r="BI345" s="198">
        <v>45763868.330000013</v>
      </c>
      <c r="BJ345" s="198">
        <v>102783002.52000003</v>
      </c>
      <c r="BK345" s="198">
        <v>10685402.590000002</v>
      </c>
      <c r="BL345" s="198"/>
      <c r="BM345" s="197">
        <v>18088831.754390005</v>
      </c>
      <c r="BN345" s="198">
        <v>641514.62540000002</v>
      </c>
      <c r="BO345" s="198">
        <v>1854299.3473999999</v>
      </c>
      <c r="BP345" s="198">
        <v>5546906.4880199991</v>
      </c>
      <c r="BQ345" s="198">
        <v>5286824.5165600004</v>
      </c>
      <c r="BR345" s="198"/>
      <c r="BS345" s="198">
        <v>4759286.7770100059</v>
      </c>
      <c r="BT345" s="197"/>
      <c r="BU345" s="198"/>
      <c r="BV345" s="198"/>
      <c r="BW345" s="198"/>
      <c r="BX345" s="198"/>
      <c r="BY345" s="198"/>
      <c r="BZ345" s="198"/>
      <c r="CA345" s="197">
        <v>954.29</v>
      </c>
      <c r="CB345" s="198"/>
      <c r="CC345" s="198"/>
      <c r="CD345" s="198"/>
      <c r="CE345" s="198"/>
      <c r="CF345" s="198"/>
      <c r="CG345" s="198"/>
      <c r="CH345" s="197"/>
      <c r="CI345" s="198"/>
      <c r="CJ345" s="198"/>
      <c r="CK345" s="198"/>
      <c r="CL345" s="198"/>
      <c r="CM345" s="198"/>
      <c r="CN345" s="198"/>
      <c r="CO345" s="197">
        <v>10998.810549509999</v>
      </c>
      <c r="CP345" s="198">
        <v>1036.0260404600001</v>
      </c>
      <c r="CQ345" s="198">
        <v>1469.8041719600001</v>
      </c>
      <c r="CR345" s="198">
        <v>2401.1772982499997</v>
      </c>
      <c r="CS345" s="198">
        <v>3755.7166846600007</v>
      </c>
      <c r="CT345" s="198"/>
      <c r="CU345" s="198">
        <v>2336.0863541799986</v>
      </c>
      <c r="CV345" s="197">
        <v>1695.0920000000001</v>
      </c>
      <c r="CW345" s="198"/>
      <c r="CX345" s="198"/>
      <c r="CY345" s="198"/>
      <c r="CZ345" s="198"/>
      <c r="DA345" s="198"/>
      <c r="DB345" s="198"/>
      <c r="DC345" s="197">
        <v>157317.45300000001</v>
      </c>
      <c r="DD345" s="198">
        <v>19014.602999999999</v>
      </c>
      <c r="DE345" s="198">
        <v>24420.749</v>
      </c>
      <c r="DF345" s="198"/>
      <c r="DG345" s="198">
        <v>51445.794000000002</v>
      </c>
      <c r="DH345" s="198"/>
      <c r="DI345" s="198">
        <v>62436.307000000008</v>
      </c>
      <c r="DJ345" s="197">
        <v>133172.4</v>
      </c>
      <c r="DK345" s="198">
        <v>31904.1</v>
      </c>
      <c r="DL345" s="198">
        <v>34547.5</v>
      </c>
      <c r="DM345" s="198">
        <v>8288.9</v>
      </c>
      <c r="DN345" s="198">
        <v>19183.900000000001</v>
      </c>
      <c r="DO345" s="198"/>
      <c r="DP345" s="198">
        <v>39247.999999999985</v>
      </c>
      <c r="DQ345" s="197"/>
      <c r="DR345" s="198"/>
      <c r="DS345" s="198"/>
      <c r="DT345" s="198"/>
      <c r="DU345" s="198"/>
      <c r="DV345" s="198"/>
      <c r="DW345" s="198"/>
      <c r="DX345" s="197">
        <v>257043.3763</v>
      </c>
      <c r="DY345" s="198"/>
      <c r="DZ345" s="198">
        <v>167438.40219999998</v>
      </c>
      <c r="EA345" s="198">
        <v>37292.268199999999</v>
      </c>
      <c r="EB345" s="198">
        <v>48343.647599999997</v>
      </c>
      <c r="EC345" s="198">
        <v>3969.0583000000001</v>
      </c>
      <c r="ED345" s="198"/>
      <c r="EE345" s="197">
        <v>424079.663</v>
      </c>
      <c r="EF345" s="198">
        <v>16197.339</v>
      </c>
      <c r="EG345" s="198">
        <v>86266.873999999996</v>
      </c>
      <c r="EH345" s="198">
        <v>23548.035</v>
      </c>
      <c r="EI345" s="198">
        <v>203910.24299999999</v>
      </c>
      <c r="EJ345" s="198"/>
      <c r="EK345" s="198">
        <v>94157.17200000005</v>
      </c>
      <c r="EL345" s="197">
        <v>3906241.6980539989</v>
      </c>
      <c r="EM345" s="198">
        <v>1725222.432944</v>
      </c>
      <c r="EN345" s="198">
        <v>168019.62461500001</v>
      </c>
      <c r="EO345" s="198">
        <v>641887.51589799998</v>
      </c>
      <c r="EP345" s="198">
        <v>817700.98412500019</v>
      </c>
      <c r="EQ345" s="198"/>
      <c r="ER345" s="198">
        <v>553411.14047200012</v>
      </c>
      <c r="ES345" s="197">
        <v>128260.01954829</v>
      </c>
      <c r="ET345" s="198">
        <v>17314.910173480002</v>
      </c>
      <c r="EU345" s="198">
        <v>45090.802904279997</v>
      </c>
      <c r="EV345" s="198">
        <v>17110.524000580001</v>
      </c>
      <c r="EW345" s="198">
        <v>34057.898790439998</v>
      </c>
      <c r="EX345" s="198"/>
      <c r="EY345" s="198">
        <v>14685.883679509992</v>
      </c>
      <c r="EZ345" s="197">
        <v>45950.589637469995</v>
      </c>
      <c r="FA345" s="198">
        <v>2206.9282856300001</v>
      </c>
      <c r="FB345" s="198">
        <v>11116.990616749999</v>
      </c>
      <c r="FC345" s="198">
        <v>13846.237743850001</v>
      </c>
      <c r="FD345" s="198">
        <v>9337.4572871100008</v>
      </c>
      <c r="FE345" s="198">
        <v>0</v>
      </c>
      <c r="FF345" s="198">
        <v>9442.9757041299945</v>
      </c>
      <c r="FG345" s="197">
        <v>74855258.49768199</v>
      </c>
      <c r="FH345" s="198">
        <v>7300929.9369200002</v>
      </c>
      <c r="FI345" s="198">
        <v>17133986.302214</v>
      </c>
      <c r="FJ345" s="198"/>
      <c r="FK345" s="198">
        <v>10564130.495978</v>
      </c>
      <c r="FL345" s="198"/>
      <c r="FM345" s="198">
        <v>39856211.762569994</v>
      </c>
      <c r="FN345" s="197">
        <v>227983.70110400001</v>
      </c>
      <c r="FO345" s="198">
        <v>35258.647443999995</v>
      </c>
      <c r="FP345" s="198">
        <v>34449.191178000001</v>
      </c>
      <c r="FQ345" s="198">
        <v>37334.101311999999</v>
      </c>
      <c r="FR345" s="198">
        <v>39685.600022999999</v>
      </c>
      <c r="FS345" s="198"/>
      <c r="FT345" s="199">
        <v>81256.161147000006</v>
      </c>
      <c r="FU345" s="197">
        <v>854279.56234108959</v>
      </c>
      <c r="FV345" s="198">
        <v>56005.024678649992</v>
      </c>
      <c r="FW345" s="198">
        <v>117108.26929306005</v>
      </c>
      <c r="FX345" s="198">
        <v>188734.72689291</v>
      </c>
      <c r="FY345" s="198">
        <v>206615.45981098965</v>
      </c>
      <c r="FZ345" s="198"/>
      <c r="GA345" s="199">
        <v>285816.08166547993</v>
      </c>
      <c r="GB345" s="197">
        <v>1756.463</v>
      </c>
      <c r="GC345" s="198"/>
      <c r="GD345" s="198"/>
      <c r="GE345" s="198"/>
      <c r="GF345" s="198"/>
      <c r="GG345" s="198"/>
      <c r="GH345" s="199"/>
      <c r="GI345" s="197">
        <v>1223.71</v>
      </c>
      <c r="GJ345" s="198"/>
      <c r="GK345" s="198"/>
      <c r="GL345" s="198"/>
      <c r="GM345" s="198"/>
      <c r="GN345" s="198"/>
      <c r="GO345" s="199"/>
      <c r="GP345" s="197">
        <v>3777.739</v>
      </c>
      <c r="GQ345" s="198"/>
      <c r="GR345" s="198"/>
      <c r="GS345" s="198"/>
      <c r="GT345" s="198"/>
      <c r="GU345" s="198"/>
      <c r="GV345" s="199"/>
      <c r="GW345" s="198">
        <v>7815.9</v>
      </c>
      <c r="GX345" s="198">
        <v>560.4</v>
      </c>
      <c r="GY345" s="198">
        <v>2140.9</v>
      </c>
      <c r="GZ345" s="198">
        <v>1099.5</v>
      </c>
      <c r="HA345" s="198"/>
      <c r="HB345" s="198"/>
      <c r="HC345" s="198">
        <v>4015.0999999999995</v>
      </c>
      <c r="HD345" s="197"/>
      <c r="HE345" s="198"/>
      <c r="HF345" s="198"/>
      <c r="HG345" s="198"/>
      <c r="HH345" s="198"/>
      <c r="HI345" s="198"/>
      <c r="HJ345" s="198"/>
      <c r="HK345" s="197">
        <v>15053.672927</v>
      </c>
      <c r="HL345" s="198">
        <v>2196.1314949999996</v>
      </c>
      <c r="HM345" s="198">
        <v>2059.763136</v>
      </c>
      <c r="HN345" s="198">
        <v>414.24302299999999</v>
      </c>
      <c r="HO345" s="198">
        <v>4930.4810200000002</v>
      </c>
      <c r="HP345" s="198"/>
      <c r="HQ345" s="198">
        <v>5453.0542530000012</v>
      </c>
      <c r="HR345" s="197">
        <v>3065934.5610000002</v>
      </c>
      <c r="HS345" s="198">
        <v>246718.21900000001</v>
      </c>
      <c r="HT345" s="198">
        <v>1453071.257</v>
      </c>
      <c r="HU345" s="198">
        <v>126789.88499999999</v>
      </c>
      <c r="HV345" s="198">
        <v>611372.81799999997</v>
      </c>
      <c r="HW345" s="198">
        <v>132849.58100000001</v>
      </c>
      <c r="HX345" s="198">
        <v>549216.91299999994</v>
      </c>
      <c r="HY345" s="180"/>
      <c r="HZ345" s="180"/>
    </row>
    <row r="346" spans="1:234">
      <c r="A346" s="185" t="s">
        <v>493</v>
      </c>
      <c r="B346" s="198">
        <v>2362.1559999999999</v>
      </c>
      <c r="C346" s="198"/>
      <c r="D346" s="198"/>
      <c r="E346" s="198"/>
      <c r="F346" s="198"/>
      <c r="G346" s="198"/>
      <c r="H346" s="198"/>
      <c r="I346" s="197">
        <v>949885.6</v>
      </c>
      <c r="J346" s="198"/>
      <c r="K346" s="198"/>
      <c r="L346" s="198">
        <v>56692.6</v>
      </c>
      <c r="M346" s="198">
        <v>174300</v>
      </c>
      <c r="N346" s="198"/>
      <c r="O346" s="199">
        <v>718893</v>
      </c>
      <c r="P346" s="197">
        <v>6854.3450000000003</v>
      </c>
      <c r="Q346" s="198">
        <v>23.114999999999998</v>
      </c>
      <c r="R346" s="198">
        <v>263.66899999999998</v>
      </c>
      <c r="S346" s="198">
        <v>334.005</v>
      </c>
      <c r="T346" s="198">
        <v>5199.634</v>
      </c>
      <c r="U346" s="198"/>
      <c r="V346" s="199">
        <v>1033.9220000000005</v>
      </c>
      <c r="W346" s="197">
        <v>5833.3969999999999</v>
      </c>
      <c r="X346" s="198">
        <v>114.901</v>
      </c>
      <c r="Y346" s="198">
        <v>648.63599999999997</v>
      </c>
      <c r="Z346" s="198">
        <v>132.47200000000001</v>
      </c>
      <c r="AA346" s="198">
        <v>3421.7049999999999</v>
      </c>
      <c r="AB346" s="198"/>
      <c r="AC346" s="199">
        <v>1515.6830000000009</v>
      </c>
      <c r="AD346" s="198"/>
      <c r="AE346" s="198">
        <v>44.655000000000001</v>
      </c>
      <c r="AF346" s="198">
        <v>291.20299999999997</v>
      </c>
      <c r="AG346" s="198">
        <v>880.524</v>
      </c>
      <c r="AH346" s="198">
        <v>405.87</v>
      </c>
      <c r="AI346" s="198">
        <v>91.637</v>
      </c>
      <c r="AJ346" s="198"/>
      <c r="AK346" s="197"/>
      <c r="AL346" s="198"/>
      <c r="AM346" s="198"/>
      <c r="AN346" s="198"/>
      <c r="AO346" s="198"/>
      <c r="AP346" s="198"/>
      <c r="AQ346" s="199"/>
      <c r="AR346" s="198">
        <v>3147609</v>
      </c>
      <c r="AS346" s="198">
        <v>690596</v>
      </c>
      <c r="AT346" s="198">
        <v>278243</v>
      </c>
      <c r="AU346" s="198">
        <v>620212</v>
      </c>
      <c r="AV346" s="198">
        <v>1013006</v>
      </c>
      <c r="AW346" s="198"/>
      <c r="AX346" s="198">
        <v>545552</v>
      </c>
      <c r="AY346" s="197">
        <v>147026680</v>
      </c>
      <c r="AZ346" s="198"/>
      <c r="BA346" s="198">
        <v>87177779</v>
      </c>
      <c r="BB346" s="198">
        <v>39007539</v>
      </c>
      <c r="BC346" s="198">
        <v>19131550</v>
      </c>
      <c r="BD346" s="198"/>
      <c r="BE346" s="198"/>
      <c r="BF346" s="197">
        <v>391577562.80000001</v>
      </c>
      <c r="BG346" s="198"/>
      <c r="BH346" s="198">
        <v>230371578.00000003</v>
      </c>
      <c r="BI346" s="198">
        <v>46414372.229999997</v>
      </c>
      <c r="BJ346" s="198">
        <v>104037578.55</v>
      </c>
      <c r="BK346" s="198">
        <v>10754034.02</v>
      </c>
      <c r="BL346" s="198"/>
      <c r="BM346" s="197">
        <v>18549613.5781</v>
      </c>
      <c r="BN346" s="198">
        <v>684851.56345000002</v>
      </c>
      <c r="BO346" s="198">
        <v>1899573.6801800001</v>
      </c>
      <c r="BP346" s="198">
        <v>5563031.7348099984</v>
      </c>
      <c r="BQ346" s="198">
        <v>5315857.7888000011</v>
      </c>
      <c r="BR346" s="198"/>
      <c r="BS346" s="198">
        <v>5086298.8108599987</v>
      </c>
      <c r="BT346" s="197"/>
      <c r="BU346" s="198"/>
      <c r="BV346" s="198"/>
      <c r="BW346" s="198"/>
      <c r="BX346" s="198"/>
      <c r="BY346" s="198"/>
      <c r="BZ346" s="198"/>
      <c r="CA346" s="197">
        <v>968.99800000000005</v>
      </c>
      <c r="CB346" s="198"/>
      <c r="CC346" s="198"/>
      <c r="CD346" s="198"/>
      <c r="CE346" s="198"/>
      <c r="CF346" s="198"/>
      <c r="CG346" s="198"/>
      <c r="CH346" s="197"/>
      <c r="CI346" s="198"/>
      <c r="CJ346" s="198"/>
      <c r="CK346" s="198"/>
      <c r="CL346" s="198"/>
      <c r="CM346" s="198"/>
      <c r="CN346" s="198"/>
      <c r="CO346" s="197">
        <v>11047.535530700003</v>
      </c>
      <c r="CP346" s="198">
        <v>1081.3785599299997</v>
      </c>
      <c r="CQ346" s="198">
        <v>1465.8495646599999</v>
      </c>
      <c r="CR346" s="198">
        <v>2405.3273736400001</v>
      </c>
      <c r="CS346" s="198">
        <v>3782.7603660400014</v>
      </c>
      <c r="CT346" s="198"/>
      <c r="CU346" s="198">
        <v>2312.2196664300013</v>
      </c>
      <c r="CV346" s="197">
        <v>1686.279</v>
      </c>
      <c r="CW346" s="198"/>
      <c r="CX346" s="198"/>
      <c r="CY346" s="198"/>
      <c r="CZ346" s="198"/>
      <c r="DA346" s="198"/>
      <c r="DB346" s="198"/>
      <c r="DC346" s="211">
        <v>157631.13500000001</v>
      </c>
      <c r="DD346" s="198">
        <v>19056.21</v>
      </c>
      <c r="DE346" s="198">
        <v>24446.991000000002</v>
      </c>
      <c r="DF346" s="198"/>
      <c r="DG346" s="180">
        <v>52212.256000000001</v>
      </c>
      <c r="DH346" s="198"/>
      <c r="DI346" s="198">
        <v>61915.678000000007</v>
      </c>
      <c r="DJ346" s="197">
        <v>134489.1</v>
      </c>
      <c r="DK346" s="198">
        <v>32083.8</v>
      </c>
      <c r="DL346" s="198">
        <v>35421.199999999997</v>
      </c>
      <c r="DM346" s="198">
        <v>8232</v>
      </c>
      <c r="DN346" s="198">
        <v>19775.3</v>
      </c>
      <c r="DO346" s="198"/>
      <c r="DP346" s="198">
        <v>38976.800000000003</v>
      </c>
      <c r="DQ346" s="197"/>
      <c r="DR346" s="198"/>
      <c r="DS346" s="198"/>
      <c r="DT346" s="198"/>
      <c r="DU346" s="198"/>
      <c r="DV346" s="198"/>
      <c r="DW346" s="198"/>
      <c r="DX346" s="197">
        <v>278822.06790000002</v>
      </c>
      <c r="DY346" s="198"/>
      <c r="DZ346" s="198">
        <v>171160.49369999999</v>
      </c>
      <c r="EA346" s="198">
        <v>37474.452599999997</v>
      </c>
      <c r="EB346" s="198">
        <v>58038.253299999997</v>
      </c>
      <c r="EC346" s="198">
        <v>12148.8683</v>
      </c>
      <c r="ED346" s="198"/>
      <c r="EE346" s="197">
        <v>459835.15100000001</v>
      </c>
      <c r="EF346" s="198">
        <v>16000.067999999999</v>
      </c>
      <c r="EG346" s="198">
        <v>88519.491999999998</v>
      </c>
      <c r="EH346" s="198">
        <v>25374.611000000001</v>
      </c>
      <c r="EI346" s="198">
        <v>206493.579</v>
      </c>
      <c r="EJ346" s="198"/>
      <c r="EK346" s="198">
        <v>123447.40100000004</v>
      </c>
      <c r="EL346" s="197">
        <v>3956715.1384870005</v>
      </c>
      <c r="EM346" s="198">
        <v>1764643.2964869996</v>
      </c>
      <c r="EN346" s="198">
        <v>169031.35199299993</v>
      </c>
      <c r="EO346" s="198">
        <v>650405.87214900018</v>
      </c>
      <c r="EP346" s="198">
        <v>826805.42948000017</v>
      </c>
      <c r="EQ346" s="198"/>
      <c r="ER346" s="198">
        <v>545829.18837800005</v>
      </c>
      <c r="ES346" s="197">
        <v>130742.17397924999</v>
      </c>
      <c r="ET346" s="198">
        <v>17173.769338760001</v>
      </c>
      <c r="EU346" s="198">
        <v>46375.907370729998</v>
      </c>
      <c r="EV346" s="198">
        <v>17329.21388539</v>
      </c>
      <c r="EW346" s="198">
        <v>35020.731768129997</v>
      </c>
      <c r="EX346" s="198"/>
      <c r="EY346" s="198">
        <v>14842.551616239994</v>
      </c>
      <c r="EZ346" s="197">
        <v>46401.294873610001</v>
      </c>
      <c r="FA346" s="198">
        <v>2217.8883781499999</v>
      </c>
      <c r="FB346" s="198">
        <v>11116.061386679899</v>
      </c>
      <c r="FC346" s="198">
        <v>13972.054592750002</v>
      </c>
      <c r="FD346" s="198">
        <v>9452.6251393700004</v>
      </c>
      <c r="FE346" s="198">
        <v>0</v>
      </c>
      <c r="FF346" s="198">
        <v>9642.6653766601048</v>
      </c>
      <c r="FG346" s="197">
        <v>74838872.757140994</v>
      </c>
      <c r="FH346" s="198">
        <v>7323509.4514300004</v>
      </c>
      <c r="FI346" s="198">
        <v>17405138.097548999</v>
      </c>
      <c r="FJ346" s="198"/>
      <c r="FK346" s="198">
        <v>10559590.067675</v>
      </c>
      <c r="FL346" s="198"/>
      <c r="FM346" s="198">
        <v>39550635.140487</v>
      </c>
      <c r="FN346" s="197">
        <v>229231.334818</v>
      </c>
      <c r="FO346" s="198">
        <v>35663.574652000003</v>
      </c>
      <c r="FP346" s="198">
        <v>34700.237856</v>
      </c>
      <c r="FQ346" s="198">
        <v>37872.824505000004</v>
      </c>
      <c r="FR346" s="198">
        <v>40218.989634000005</v>
      </c>
      <c r="FS346" s="198"/>
      <c r="FT346" s="199">
        <v>80775.708171000006</v>
      </c>
      <c r="FU346" s="197">
        <v>849957.68524162041</v>
      </c>
      <c r="FV346" s="198">
        <v>57191.029772840062</v>
      </c>
      <c r="FW346" s="198">
        <v>116006.88272452998</v>
      </c>
      <c r="FX346" s="198">
        <v>189981.59058318991</v>
      </c>
      <c r="FY346" s="198">
        <v>208391.75631255039</v>
      </c>
      <c r="FZ346" s="198"/>
      <c r="GA346" s="199">
        <v>278386.42584851006</v>
      </c>
      <c r="GB346" s="197">
        <v>1759.537</v>
      </c>
      <c r="GC346" s="198"/>
      <c r="GD346" s="198"/>
      <c r="GE346" s="198"/>
      <c r="GF346" s="198"/>
      <c r="GG346" s="198"/>
      <c r="GH346" s="199"/>
      <c r="GI346" s="197">
        <v>1227.9880000000001</v>
      </c>
      <c r="GJ346" s="198"/>
      <c r="GK346" s="198"/>
      <c r="GL346" s="198"/>
      <c r="GM346" s="198"/>
      <c r="GN346" s="198"/>
      <c r="GO346" s="199"/>
      <c r="GP346" s="197">
        <v>3790.377</v>
      </c>
      <c r="GQ346" s="198"/>
      <c r="GR346" s="198"/>
      <c r="GS346" s="198"/>
      <c r="GT346" s="198"/>
      <c r="GU346" s="198"/>
      <c r="GV346" s="199"/>
      <c r="GW346" s="198">
        <v>8614.7999999999993</v>
      </c>
      <c r="GX346" s="198">
        <v>625.9</v>
      </c>
      <c r="GY346" s="198">
        <v>2461.4</v>
      </c>
      <c r="GZ346" s="198">
        <v>1151.2</v>
      </c>
      <c r="HA346" s="198"/>
      <c r="HB346" s="198"/>
      <c r="HC346" s="198">
        <v>4376.3</v>
      </c>
      <c r="HD346" s="197"/>
      <c r="HE346" s="198"/>
      <c r="HF346" s="198"/>
      <c r="HG346" s="198"/>
      <c r="HH346" s="198"/>
      <c r="HI346" s="198"/>
      <c r="HJ346" s="198"/>
      <c r="HK346" s="197">
        <v>15224.670887</v>
      </c>
      <c r="HL346" s="198">
        <v>2192.4270270000002</v>
      </c>
      <c r="HM346" s="198">
        <v>2108.569759</v>
      </c>
      <c r="HN346" s="198">
        <v>420.75360900000004</v>
      </c>
      <c r="HO346" s="198">
        <v>5059.5886070000006</v>
      </c>
      <c r="HP346" s="198"/>
      <c r="HQ346" s="198">
        <v>5443.3318850000005</v>
      </c>
      <c r="HR346" s="197">
        <v>3266231.551</v>
      </c>
      <c r="HS346" s="198">
        <v>263204.53399999999</v>
      </c>
      <c r="HT346" s="198">
        <v>1543185.2250000001</v>
      </c>
      <c r="HU346" s="198">
        <v>131463.14000000001</v>
      </c>
      <c r="HV346" s="198">
        <v>660405.50899999996</v>
      </c>
      <c r="HW346" s="198">
        <v>140873.91200000001</v>
      </c>
      <c r="HX346" s="198">
        <v>587892.95700000005</v>
      </c>
      <c r="HY346" s="180"/>
      <c r="HZ346" s="180"/>
    </row>
    <row r="347" spans="1:234">
      <c r="A347" s="185" t="s">
        <v>494</v>
      </c>
      <c r="B347" s="198">
        <v>2423.7130000000002</v>
      </c>
      <c r="C347" s="198">
        <v>33.47</v>
      </c>
      <c r="D347" s="198">
        <v>402.89600000000002</v>
      </c>
      <c r="E347" s="198">
        <v>760.99199999999996</v>
      </c>
      <c r="F347" s="198">
        <v>434.97</v>
      </c>
      <c r="G347" s="198"/>
      <c r="H347" s="198">
        <v>791.38500000000045</v>
      </c>
      <c r="I347" s="197">
        <v>976460.1</v>
      </c>
      <c r="J347" s="198"/>
      <c r="K347" s="198"/>
      <c r="L347" s="198">
        <v>57409.4</v>
      </c>
      <c r="M347" s="198">
        <v>176665.2</v>
      </c>
      <c r="N347" s="198"/>
      <c r="O347" s="199">
        <v>742385.5</v>
      </c>
      <c r="P347" s="197">
        <v>6860.3540000000003</v>
      </c>
      <c r="Q347" s="198">
        <v>21.013000000000002</v>
      </c>
      <c r="R347" s="198">
        <v>264.54199999999997</v>
      </c>
      <c r="S347" s="198">
        <v>351.72</v>
      </c>
      <c r="T347" s="198">
        <v>5219.1670000000004</v>
      </c>
      <c r="U347" s="198"/>
      <c r="V347" s="199">
        <v>1003.9119999999994</v>
      </c>
      <c r="W347" s="197">
        <v>5820.7539999999999</v>
      </c>
      <c r="X347" s="198">
        <v>110.88892999999999</v>
      </c>
      <c r="Y347" s="198">
        <v>662.64093000000003</v>
      </c>
      <c r="Z347" s="198">
        <v>134.87774999999999</v>
      </c>
      <c r="AA347" s="198">
        <v>3411.9637299999999</v>
      </c>
      <c r="AB347" s="198"/>
      <c r="AC347" s="199">
        <v>1500.3826600000007</v>
      </c>
      <c r="AD347" s="198">
        <v>2627.5410000000002</v>
      </c>
      <c r="AE347" s="198">
        <v>44.167000000000002</v>
      </c>
      <c r="AF347" s="198">
        <v>290.75900000000001</v>
      </c>
      <c r="AG347" s="198">
        <v>847.09900000000005</v>
      </c>
      <c r="AH347" s="198">
        <v>405.52</v>
      </c>
      <c r="AI347" s="198">
        <v>92.207999999999998</v>
      </c>
      <c r="AJ347" s="198">
        <v>947.78800000000012</v>
      </c>
      <c r="AK347" s="197">
        <v>122406</v>
      </c>
      <c r="AL347" s="198">
        <v>44148</v>
      </c>
      <c r="AM347" s="198"/>
      <c r="AN347" s="198">
        <v>28542</v>
      </c>
      <c r="AO347" s="198">
        <v>12926</v>
      </c>
      <c r="AP347" s="198">
        <v>36790</v>
      </c>
      <c r="AQ347" s="199"/>
      <c r="AR347" s="198">
        <v>3129648</v>
      </c>
      <c r="AS347" s="198">
        <v>679644</v>
      </c>
      <c r="AT347" s="198">
        <v>278415</v>
      </c>
      <c r="AU347" s="198">
        <v>623071</v>
      </c>
      <c r="AV347" s="198">
        <v>1012648</v>
      </c>
      <c r="AW347" s="198"/>
      <c r="AX347" s="198">
        <v>535870</v>
      </c>
      <c r="AY347" s="197">
        <v>146884773</v>
      </c>
      <c r="AZ347" s="198"/>
      <c r="BA347" s="198">
        <v>86810242</v>
      </c>
      <c r="BB347" s="198">
        <v>39266114</v>
      </c>
      <c r="BC347" s="198">
        <v>19188259</v>
      </c>
      <c r="BD347" s="198"/>
      <c r="BE347" s="198"/>
      <c r="BF347" s="197">
        <v>393345167.96999991</v>
      </c>
      <c r="BG347" s="198"/>
      <c r="BH347" s="198">
        <v>229924398.91</v>
      </c>
      <c r="BI347" s="198">
        <v>47024871.699999988</v>
      </c>
      <c r="BJ347" s="198">
        <v>105614166.52999997</v>
      </c>
      <c r="BK347" s="198">
        <v>10781730.829999998</v>
      </c>
      <c r="BL347" s="198"/>
      <c r="BM347" s="197">
        <v>18880481.001460001</v>
      </c>
      <c r="BN347" s="198">
        <v>654076.67106000008</v>
      </c>
      <c r="BO347" s="198">
        <v>1929189.6419800003</v>
      </c>
      <c r="BP347" s="198">
        <v>5651022.2626200002</v>
      </c>
      <c r="BQ347" s="198">
        <v>5395285.373420001</v>
      </c>
      <c r="BR347" s="198"/>
      <c r="BS347" s="198">
        <v>5250907.0523800002</v>
      </c>
      <c r="BT347" s="197"/>
      <c r="BU347" s="198"/>
      <c r="BV347" s="198"/>
      <c r="BW347" s="198"/>
      <c r="BX347" s="198"/>
      <c r="BY347" s="198"/>
      <c r="BZ347" s="198"/>
      <c r="CA347" s="197">
        <v>984.11199999999997</v>
      </c>
      <c r="CB347" s="198">
        <v>30.571000000000002</v>
      </c>
      <c r="CC347" s="198">
        <v>129.58699999999999</v>
      </c>
      <c r="CD347" s="198">
        <v>270.39400000000001</v>
      </c>
      <c r="CE347" s="198">
        <v>186.071</v>
      </c>
      <c r="CF347" s="198"/>
      <c r="CG347" s="198">
        <v>367.48899999999992</v>
      </c>
      <c r="CH347" s="197"/>
      <c r="CI347" s="198"/>
      <c r="CJ347" s="198"/>
      <c r="CK347" s="198"/>
      <c r="CL347" s="198"/>
      <c r="CM347" s="198"/>
      <c r="CN347" s="198"/>
      <c r="CO347" s="197">
        <v>11051.869794720003</v>
      </c>
      <c r="CP347" s="198">
        <v>1074.8573964900002</v>
      </c>
      <c r="CQ347" s="198">
        <v>1466.16504633</v>
      </c>
      <c r="CR347" s="198">
        <v>2410.8346426399999</v>
      </c>
      <c r="CS347" s="198">
        <v>3796.844735180001</v>
      </c>
      <c r="CT347" s="198"/>
      <c r="CU347" s="198">
        <v>2303.1679740800023</v>
      </c>
      <c r="CV347" s="197">
        <v>1693.3889999999999</v>
      </c>
      <c r="CW347" s="198">
        <v>35.518000000000001</v>
      </c>
      <c r="CX347" s="198">
        <v>277.33800000000002</v>
      </c>
      <c r="CY347" s="198">
        <v>553.37</v>
      </c>
      <c r="CZ347" s="198">
        <v>545.27</v>
      </c>
      <c r="DA347" s="198"/>
      <c r="DB347" s="198">
        <v>281.8929999999998</v>
      </c>
      <c r="DC347" s="197">
        <v>157733.69200000001</v>
      </c>
      <c r="DD347" s="198">
        <v>18888.043000000001</v>
      </c>
      <c r="DE347" s="198">
        <v>23984.079000000002</v>
      </c>
      <c r="DF347" s="198"/>
      <c r="DG347" s="198">
        <v>52819.978999999999</v>
      </c>
      <c r="DH347" s="198"/>
      <c r="DI347" s="198">
        <v>62041.591000000008</v>
      </c>
      <c r="DJ347" s="197">
        <v>134180.5</v>
      </c>
      <c r="DK347" s="198">
        <v>30737.699999999997</v>
      </c>
      <c r="DL347" s="198">
        <v>35340.6</v>
      </c>
      <c r="DM347" s="198">
        <v>8302.7999999999993</v>
      </c>
      <c r="DN347" s="198">
        <v>19703.900000000001</v>
      </c>
      <c r="DO347" s="198"/>
      <c r="DP347" s="198">
        <v>40095.500000000007</v>
      </c>
      <c r="DQ347" s="197">
        <v>82.894847569999996</v>
      </c>
      <c r="DR347" s="198">
        <v>12.85473401</v>
      </c>
      <c r="DS347" s="198">
        <v>18.704611450000002</v>
      </c>
      <c r="DT347" s="198">
        <v>7.9945936299999998</v>
      </c>
      <c r="DU347" s="198">
        <v>8.4034150699999994</v>
      </c>
      <c r="DV347" s="198"/>
      <c r="DW347" s="198">
        <v>34.937493409999995</v>
      </c>
      <c r="DX347" s="197">
        <v>261154.89989999999</v>
      </c>
      <c r="DY347" s="198"/>
      <c r="DZ347" s="198">
        <v>174033.6912</v>
      </c>
      <c r="EA347" s="198">
        <v>37503.469299999997</v>
      </c>
      <c r="EB347" s="198">
        <v>45520.942300000002</v>
      </c>
      <c r="EC347" s="198">
        <v>4096.7970999999998</v>
      </c>
      <c r="ED347" s="198"/>
      <c r="EE347" s="197">
        <v>468914.17800000001</v>
      </c>
      <c r="EF347" s="198">
        <v>15811.493</v>
      </c>
      <c r="EG347" s="198">
        <v>90067.569000000003</v>
      </c>
      <c r="EH347" s="198">
        <v>25920.07</v>
      </c>
      <c r="EI347" s="198">
        <v>208989.68</v>
      </c>
      <c r="EJ347" s="198"/>
      <c r="EK347" s="198">
        <v>128125.36599999998</v>
      </c>
      <c r="EL347" s="197">
        <v>4045060.5042730006</v>
      </c>
      <c r="EM347" s="198">
        <v>1800447.7218980002</v>
      </c>
      <c r="EN347" s="198">
        <v>176782.48720899998</v>
      </c>
      <c r="EO347" s="198">
        <v>654546.59759799996</v>
      </c>
      <c r="EP347" s="198">
        <v>840010.13297500007</v>
      </c>
      <c r="EQ347" s="198"/>
      <c r="ER347" s="198">
        <v>573273.56459100009</v>
      </c>
      <c r="ES347" s="197">
        <v>133124.02399999998</v>
      </c>
      <c r="ET347" s="198">
        <v>16650.720234110002</v>
      </c>
      <c r="EU347" s="198">
        <v>47942.148113559997</v>
      </c>
      <c r="EV347" s="198">
        <v>17596.351815529997</v>
      </c>
      <c r="EW347" s="198">
        <v>35788.623314730001</v>
      </c>
      <c r="EX347" s="198"/>
      <c r="EY347" s="198">
        <v>15146.180522069968</v>
      </c>
      <c r="EZ347" s="197">
        <v>46798.507579770005</v>
      </c>
      <c r="FA347" s="198">
        <v>2306.5753125300002</v>
      </c>
      <c r="FB347" s="198">
        <v>11198.954194309999</v>
      </c>
      <c r="FC347" s="198">
        <v>14004.914753620002</v>
      </c>
      <c r="FD347" s="198">
        <v>9572.0006063300025</v>
      </c>
      <c r="FE347" s="198">
        <v>0</v>
      </c>
      <c r="FF347" s="198">
        <v>9716.0627129799977</v>
      </c>
      <c r="FG347" s="197">
        <v>74418864.401966006</v>
      </c>
      <c r="FH347" s="198">
        <v>7197594.4413639996</v>
      </c>
      <c r="FI347" s="198">
        <v>17266245.185236</v>
      </c>
      <c r="FJ347" s="198"/>
      <c r="FK347" s="198">
        <v>10532883.860262999</v>
      </c>
      <c r="FL347" s="198"/>
      <c r="FM347" s="198">
        <v>39422140.915103003</v>
      </c>
      <c r="FN347" s="197">
        <v>228652.76721599998</v>
      </c>
      <c r="FO347" s="198">
        <v>34851.648524999997</v>
      </c>
      <c r="FP347" s="198">
        <v>34733.670623999998</v>
      </c>
      <c r="FQ347" s="198">
        <v>37971.561725</v>
      </c>
      <c r="FR347" s="198">
        <v>40578.674781999995</v>
      </c>
      <c r="FS347" s="198"/>
      <c r="FT347" s="199">
        <v>80517.211559999996</v>
      </c>
      <c r="FU347" s="197">
        <v>856323.59579549986</v>
      </c>
      <c r="FV347" s="198">
        <v>57709.444330389968</v>
      </c>
      <c r="FW347" s="198">
        <v>118975.66036361002</v>
      </c>
      <c r="FX347" s="198">
        <v>191104.21573789997</v>
      </c>
      <c r="FY347" s="198">
        <v>211392.52185606977</v>
      </c>
      <c r="FZ347" s="198"/>
      <c r="GA347" s="199">
        <v>277141.75350753008</v>
      </c>
      <c r="GB347" s="197">
        <v>1763.0450000000001</v>
      </c>
      <c r="GC347" s="198">
        <v>18.861999999999998</v>
      </c>
      <c r="GD347" s="198">
        <v>272.69299999999998</v>
      </c>
      <c r="GE347" s="198">
        <v>467.35399999999998</v>
      </c>
      <c r="GF347" s="198">
        <v>438.90300000000002</v>
      </c>
      <c r="GG347" s="198"/>
      <c r="GH347" s="199">
        <v>565.23299999999995</v>
      </c>
      <c r="GI347" s="197">
        <v>1219.5719999999999</v>
      </c>
      <c r="GJ347" s="198">
        <v>20.829000000000001</v>
      </c>
      <c r="GK347" s="198">
        <v>148.304</v>
      </c>
      <c r="GL347" s="198">
        <v>492.21300000000002</v>
      </c>
      <c r="GM347" s="198">
        <v>380.57900000000001</v>
      </c>
      <c r="GN347" s="198"/>
      <c r="GO347" s="199">
        <v>177.64699999999993</v>
      </c>
      <c r="GP347" s="197">
        <v>3730.114</v>
      </c>
      <c r="GQ347" s="198">
        <v>98.885999999999996</v>
      </c>
      <c r="GR347" s="198">
        <v>655.38300000000004</v>
      </c>
      <c r="GS347" s="198">
        <v>994.45600000000002</v>
      </c>
      <c r="GT347" s="198">
        <v>769.72199999999998</v>
      </c>
      <c r="GU347" s="198"/>
      <c r="GV347" s="199">
        <v>1211.6670000000001</v>
      </c>
      <c r="GW347" s="198">
        <v>8820.7999999999993</v>
      </c>
      <c r="GX347" s="198">
        <v>630.70000000000005</v>
      </c>
      <c r="GY347" s="198">
        <v>2524.5</v>
      </c>
      <c r="GZ347" s="198">
        <v>1157</v>
      </c>
      <c r="HA347" s="198"/>
      <c r="HB347" s="198"/>
      <c r="HC347" s="198">
        <v>4508.6000000000004</v>
      </c>
      <c r="HD347" s="197"/>
      <c r="HE347" s="198"/>
      <c r="HF347" s="198"/>
      <c r="HG347" s="198"/>
      <c r="HH347" s="198"/>
      <c r="HI347" s="198"/>
      <c r="HJ347" s="198"/>
      <c r="HK347" s="197">
        <v>15440.855101000001</v>
      </c>
      <c r="HL347" s="198">
        <v>2279.129997</v>
      </c>
      <c r="HM347" s="198">
        <v>2100.7198370000006</v>
      </c>
      <c r="HN347" s="198">
        <v>465.64083099999999</v>
      </c>
      <c r="HO347" s="198">
        <v>5095.0411330000006</v>
      </c>
      <c r="HP347" s="198"/>
      <c r="HQ347" s="198">
        <v>5500.3233029999992</v>
      </c>
      <c r="HR347" s="197">
        <v>3497283.2820000001</v>
      </c>
      <c r="HS347" s="198">
        <v>280992.00599999999</v>
      </c>
      <c r="HT347" s="198">
        <v>1655478.2490000001</v>
      </c>
      <c r="HU347" s="198">
        <v>139196.266</v>
      </c>
      <c r="HV347" s="198">
        <v>711256.78899999999</v>
      </c>
      <c r="HW347" s="198">
        <v>150203.427</v>
      </c>
      <c r="HX347" s="198">
        <v>626101.54500000004</v>
      </c>
      <c r="HY347" s="180"/>
      <c r="HZ347" s="180"/>
    </row>
    <row r="348" spans="1:234">
      <c r="A348" s="185" t="s">
        <v>495</v>
      </c>
      <c r="B348" s="198">
        <v>2446.3690000000001</v>
      </c>
      <c r="C348" s="198"/>
      <c r="D348" s="198"/>
      <c r="E348" s="198"/>
      <c r="F348" s="198"/>
      <c r="G348" s="198"/>
      <c r="H348" s="198"/>
      <c r="I348" s="197">
        <v>986803</v>
      </c>
      <c r="J348" s="198"/>
      <c r="K348" s="198"/>
      <c r="L348" s="198">
        <v>57640.800000000003</v>
      </c>
      <c r="M348" s="198">
        <v>180886.6</v>
      </c>
      <c r="N348" s="198"/>
      <c r="O348" s="199">
        <v>748275.6</v>
      </c>
      <c r="P348" s="197"/>
      <c r="Q348" s="198"/>
      <c r="R348" s="198"/>
      <c r="S348" s="198"/>
      <c r="T348" s="198"/>
      <c r="U348" s="198"/>
      <c r="V348" s="199"/>
      <c r="W348" s="197"/>
      <c r="X348" s="198"/>
      <c r="Y348" s="198"/>
      <c r="Z348" s="198"/>
      <c r="AA348" s="198"/>
      <c r="AB348" s="198"/>
      <c r="AC348" s="199"/>
      <c r="AD348" s="198"/>
      <c r="AE348" s="198">
        <v>35.098999999999997</v>
      </c>
      <c r="AF348" s="198">
        <v>286.81200000000001</v>
      </c>
      <c r="AG348" s="198">
        <v>844.93600000000004</v>
      </c>
      <c r="AH348" s="198">
        <v>410.68900000000002</v>
      </c>
      <c r="AI348" s="198">
        <v>92.674999999999997</v>
      </c>
      <c r="AJ348" s="198"/>
      <c r="AK348" s="197"/>
      <c r="AL348" s="198"/>
      <c r="AM348" s="198"/>
      <c r="AN348" s="198"/>
      <c r="AO348" s="198"/>
      <c r="AP348" s="198"/>
      <c r="AQ348" s="199"/>
      <c r="AR348" s="198">
        <v>3116244</v>
      </c>
      <c r="AS348" s="198">
        <v>676876</v>
      </c>
      <c r="AT348" s="198">
        <v>272803</v>
      </c>
      <c r="AU348" s="198">
        <v>625637</v>
      </c>
      <c r="AV348" s="198">
        <v>1009703</v>
      </c>
      <c r="AW348" s="198"/>
      <c r="AX348" s="198">
        <v>531225</v>
      </c>
      <c r="AY348" s="197">
        <v>147554757</v>
      </c>
      <c r="AZ348" s="198"/>
      <c r="BA348" s="198">
        <v>86907639</v>
      </c>
      <c r="BB348" s="198">
        <v>39501713</v>
      </c>
      <c r="BC348" s="198">
        <v>19199841</v>
      </c>
      <c r="BD348" s="198"/>
      <c r="BE348" s="198"/>
      <c r="BF348" s="197">
        <v>397230754.56999999</v>
      </c>
      <c r="BG348" s="198"/>
      <c r="BH348" s="198">
        <v>232238850.22999999</v>
      </c>
      <c r="BI348" s="198">
        <v>47593445.209999993</v>
      </c>
      <c r="BJ348" s="198">
        <v>106546869.95</v>
      </c>
      <c r="BK348" s="198">
        <v>10851589.180000002</v>
      </c>
      <c r="BL348" s="198"/>
      <c r="BM348" s="197">
        <v>19065634.802169997</v>
      </c>
      <c r="BN348" s="198">
        <v>638005.05481</v>
      </c>
      <c r="BO348" s="198">
        <v>1966992.39298</v>
      </c>
      <c r="BP348" s="198">
        <v>5698310.0421000002</v>
      </c>
      <c r="BQ348" s="198">
        <v>5459906.3379999986</v>
      </c>
      <c r="BR348" s="198"/>
      <c r="BS348" s="198">
        <v>5302420.9742800007</v>
      </c>
      <c r="BT348" s="197"/>
      <c r="BU348" s="198"/>
      <c r="BV348" s="198"/>
      <c r="BW348" s="198"/>
      <c r="BX348" s="198"/>
      <c r="BY348" s="198"/>
      <c r="BZ348" s="198"/>
      <c r="CA348" s="197">
        <v>979.90099999999995</v>
      </c>
      <c r="CB348" s="198"/>
      <c r="CC348" s="198"/>
      <c r="CD348" s="198"/>
      <c r="CE348" s="198"/>
      <c r="CF348" s="198"/>
      <c r="CG348" s="198"/>
      <c r="CH348" s="197"/>
      <c r="CI348" s="198"/>
      <c r="CJ348" s="198"/>
      <c r="CK348" s="198"/>
      <c r="CL348" s="198"/>
      <c r="CM348" s="198"/>
      <c r="CN348" s="198"/>
      <c r="CO348" s="197">
        <v>11109.65184792</v>
      </c>
      <c r="CP348" s="198">
        <v>1062.4430998000003</v>
      </c>
      <c r="CQ348" s="198">
        <v>1472.7220017599998</v>
      </c>
      <c r="CR348" s="198">
        <v>2415.2987077900002</v>
      </c>
      <c r="CS348" s="198">
        <v>3826.0769073699998</v>
      </c>
      <c r="CT348" s="198"/>
      <c r="CU348" s="198">
        <v>2333.1111312000007</v>
      </c>
      <c r="CV348" s="197">
        <v>1693.117</v>
      </c>
      <c r="CW348" s="198"/>
      <c r="CX348" s="198"/>
      <c r="CY348" s="198"/>
      <c r="CZ348" s="198"/>
      <c r="DA348" s="198"/>
      <c r="DB348" s="198"/>
      <c r="DC348" s="197">
        <v>157882.394</v>
      </c>
      <c r="DD348" s="198">
        <v>19039.116000000002</v>
      </c>
      <c r="DE348" s="198">
        <v>23975.032999999999</v>
      </c>
      <c r="DF348" s="198"/>
      <c r="DG348" s="198">
        <v>53060.197</v>
      </c>
      <c r="DH348" s="198"/>
      <c r="DI348" s="198">
        <v>61808.047999999995</v>
      </c>
      <c r="DJ348" s="197">
        <v>135488.5</v>
      </c>
      <c r="DK348" s="198">
        <v>30233.699999999997</v>
      </c>
      <c r="DL348" s="198">
        <v>36361.1</v>
      </c>
      <c r="DM348" s="198">
        <v>8388.9</v>
      </c>
      <c r="DN348" s="198">
        <v>19848.800000000003</v>
      </c>
      <c r="DO348" s="198"/>
      <c r="DP348" s="198">
        <v>40656.000000000007</v>
      </c>
      <c r="DQ348" s="197"/>
      <c r="DR348" s="198"/>
      <c r="DS348" s="198"/>
      <c r="DT348" s="198"/>
      <c r="DU348" s="198"/>
      <c r="DV348" s="198"/>
      <c r="DW348" s="198"/>
      <c r="DX348" s="197">
        <v>262166.20740000001</v>
      </c>
      <c r="DY348" s="198"/>
      <c r="DZ348" s="198">
        <v>174882.86730000001</v>
      </c>
      <c r="EA348" s="198">
        <v>37668.498699999996</v>
      </c>
      <c r="EB348" s="198">
        <v>45453.218999999997</v>
      </c>
      <c r="EC348" s="198">
        <v>4161.6224000000002</v>
      </c>
      <c r="ED348" s="198"/>
      <c r="EE348" s="197">
        <v>476927.46500000003</v>
      </c>
      <c r="EF348" s="198">
        <v>15918.681</v>
      </c>
      <c r="EG348" s="198">
        <v>94559.448000000004</v>
      </c>
      <c r="EH348" s="198">
        <v>26174.11</v>
      </c>
      <c r="EI348" s="198">
        <v>211644.31400000001</v>
      </c>
      <c r="EJ348" s="198"/>
      <c r="EK348" s="198">
        <v>128630.91200000001</v>
      </c>
      <c r="EL348" s="197">
        <v>4084664.0763169993</v>
      </c>
      <c r="EM348" s="198">
        <v>1842804.2882759999</v>
      </c>
      <c r="EN348" s="198">
        <v>171774.70475799998</v>
      </c>
      <c r="EO348" s="198">
        <v>660464.80050400004</v>
      </c>
      <c r="EP348" s="198">
        <v>851897.20980899991</v>
      </c>
      <c r="EQ348" s="198"/>
      <c r="ER348" s="198">
        <v>557723.07296900009</v>
      </c>
      <c r="ES348" s="197">
        <v>134227.60118259001</v>
      </c>
      <c r="ET348" s="198">
        <v>17121.504594229998</v>
      </c>
      <c r="EU348" s="198">
        <v>47370.166278409997</v>
      </c>
      <c r="EV348" s="198">
        <v>17794.740376670001</v>
      </c>
      <c r="EW348" s="198">
        <v>36461.385020379996</v>
      </c>
      <c r="EX348" s="198"/>
      <c r="EY348" s="198">
        <v>15479.804912899999</v>
      </c>
      <c r="EZ348" s="197">
        <v>47298.803287560004</v>
      </c>
      <c r="FA348" s="198">
        <v>2320.5496920199998</v>
      </c>
      <c r="FB348" s="198">
        <v>11139.42696449</v>
      </c>
      <c r="FC348" s="198">
        <v>14283.80790356</v>
      </c>
      <c r="FD348" s="198">
        <v>9679.3743613999995</v>
      </c>
      <c r="FE348" s="198">
        <v>0</v>
      </c>
      <c r="FF348" s="198">
        <v>9875.6443660900022</v>
      </c>
      <c r="FG348" s="197">
        <v>74391044.592019007</v>
      </c>
      <c r="FH348" s="198">
        <v>7083299.1795460004</v>
      </c>
      <c r="FI348" s="198">
        <v>17121320.183068</v>
      </c>
      <c r="FJ348" s="198"/>
      <c r="FK348" s="198">
        <v>10570835.812292</v>
      </c>
      <c r="FL348" s="198"/>
      <c r="FM348" s="198">
        <v>39615589.417113006</v>
      </c>
      <c r="FN348" s="197">
        <v>231958.932226</v>
      </c>
      <c r="FO348" s="198">
        <v>36220.570561</v>
      </c>
      <c r="FP348" s="198">
        <v>35322.860652999996</v>
      </c>
      <c r="FQ348" s="198">
        <v>38260.633521999996</v>
      </c>
      <c r="FR348" s="198">
        <v>40494.389782999999</v>
      </c>
      <c r="FS348" s="198"/>
      <c r="FT348" s="199">
        <v>81660.477707000042</v>
      </c>
      <c r="FU348" s="197">
        <v>862418.39604188013</v>
      </c>
      <c r="FV348" s="198">
        <v>57122.892083260027</v>
      </c>
      <c r="FW348" s="198">
        <v>119396.33927415003</v>
      </c>
      <c r="FX348" s="198">
        <v>192610.02726219999</v>
      </c>
      <c r="FY348" s="198">
        <v>215613.79800811011</v>
      </c>
      <c r="FZ348" s="198"/>
      <c r="GA348" s="199">
        <v>277675.33941415988</v>
      </c>
      <c r="GB348" s="197">
        <v>1763.451</v>
      </c>
      <c r="GC348" s="198"/>
      <c r="GD348" s="198"/>
      <c r="GE348" s="198"/>
      <c r="GF348" s="198"/>
      <c r="GG348" s="198"/>
      <c r="GH348" s="199"/>
      <c r="GI348" s="197">
        <v>1223.1179999999999</v>
      </c>
      <c r="GJ348" s="198"/>
      <c r="GK348" s="198"/>
      <c r="GL348" s="198"/>
      <c r="GM348" s="198"/>
      <c r="GN348" s="198"/>
      <c r="GO348" s="199"/>
      <c r="GP348" s="197">
        <v>3716.6790000000001</v>
      </c>
      <c r="GQ348" s="198"/>
      <c r="GR348" s="198"/>
      <c r="GS348" s="198"/>
      <c r="GT348" s="198"/>
      <c r="GU348" s="198"/>
      <c r="GV348" s="199"/>
      <c r="GW348" s="198">
        <v>8820.2000000000007</v>
      </c>
      <c r="GX348" s="198">
        <v>634.79999999999995</v>
      </c>
      <c r="GY348" s="198">
        <v>2514.3999999999996</v>
      </c>
      <c r="GZ348" s="198">
        <v>1174.5</v>
      </c>
      <c r="HA348" s="198"/>
      <c r="HB348" s="198"/>
      <c r="HC348" s="198">
        <v>4496.5</v>
      </c>
      <c r="HD348" s="197"/>
      <c r="HE348" s="198"/>
      <c r="HF348" s="198"/>
      <c r="HG348" s="198"/>
      <c r="HH348" s="198"/>
      <c r="HI348" s="198"/>
      <c r="HJ348" s="198"/>
      <c r="HK348" s="197">
        <v>15385.348458</v>
      </c>
      <c r="HL348" s="198">
        <v>2239.676551</v>
      </c>
      <c r="HM348" s="198">
        <v>2046.048728</v>
      </c>
      <c r="HN348" s="198">
        <v>454.54521</v>
      </c>
      <c r="HO348" s="198">
        <v>5227.0383940000002</v>
      </c>
      <c r="HP348" s="198"/>
      <c r="HQ348" s="198">
        <v>5418.0395749999998</v>
      </c>
      <c r="HR348" s="197">
        <v>3736014.46</v>
      </c>
      <c r="HS348" s="198">
        <v>291713.68699999998</v>
      </c>
      <c r="HT348" s="198">
        <v>1772229.763</v>
      </c>
      <c r="HU348" s="198">
        <v>150225.37299999999</v>
      </c>
      <c r="HV348" s="198">
        <v>762745.53399999999</v>
      </c>
      <c r="HW348" s="198">
        <v>159364.22899999999</v>
      </c>
      <c r="HX348" s="198">
        <v>670623.05599999998</v>
      </c>
      <c r="HZ348" s="180"/>
    </row>
    <row r="349" spans="1:234">
      <c r="A349" s="185" t="s">
        <v>496</v>
      </c>
      <c r="B349" s="198">
        <v>2444.982</v>
      </c>
      <c r="C349" s="198"/>
      <c r="D349" s="198"/>
      <c r="E349" s="198"/>
      <c r="F349" s="198"/>
      <c r="G349" s="198"/>
      <c r="H349" s="198"/>
      <c r="I349" s="197">
        <v>990668.3</v>
      </c>
      <c r="J349" s="198"/>
      <c r="K349" s="198"/>
      <c r="L349" s="198">
        <v>58050.8</v>
      </c>
      <c r="M349" s="198">
        <v>186655.4</v>
      </c>
      <c r="N349" s="198"/>
      <c r="O349" s="199">
        <v>745962.1</v>
      </c>
      <c r="P349" s="197"/>
      <c r="Q349" s="198"/>
      <c r="R349" s="198"/>
      <c r="S349" s="198"/>
      <c r="T349" s="198"/>
      <c r="U349" s="198"/>
      <c r="V349" s="199"/>
      <c r="W349" s="197"/>
      <c r="X349" s="198"/>
      <c r="Y349" s="198"/>
      <c r="Z349" s="198"/>
      <c r="AA349" s="198"/>
      <c r="AB349" s="198"/>
      <c r="AC349" s="199"/>
      <c r="AD349" s="198"/>
      <c r="AE349" s="198">
        <v>38.546999999999997</v>
      </c>
      <c r="AF349" s="198">
        <v>291.346</v>
      </c>
      <c r="AG349" s="198">
        <v>841.54700000000003</v>
      </c>
      <c r="AH349" s="198">
        <v>414.63099999999997</v>
      </c>
      <c r="AI349" s="198">
        <v>93.783000000000001</v>
      </c>
      <c r="AJ349" s="198"/>
      <c r="AK349" s="197"/>
      <c r="AL349" s="198"/>
      <c r="AM349" s="198"/>
      <c r="AN349" s="198"/>
      <c r="AO349" s="198"/>
      <c r="AP349" s="198"/>
      <c r="AQ349" s="199"/>
      <c r="AR349" s="198">
        <v>3114926</v>
      </c>
      <c r="AS349" s="198">
        <v>670959</v>
      </c>
      <c r="AT349" s="198">
        <v>270063</v>
      </c>
      <c r="AU349" s="198">
        <v>627956</v>
      </c>
      <c r="AV349" s="198">
        <v>1014140</v>
      </c>
      <c r="AW349" s="198"/>
      <c r="AX349" s="198">
        <v>531808</v>
      </c>
      <c r="AY349" s="197">
        <v>148888007</v>
      </c>
      <c r="AZ349" s="198"/>
      <c r="BA349" s="198">
        <v>87881388</v>
      </c>
      <c r="BB349" s="198">
        <v>39843094</v>
      </c>
      <c r="BC349" s="198">
        <v>19476515</v>
      </c>
      <c r="BD349" s="198"/>
      <c r="BE349" s="198"/>
      <c r="BF349" s="197">
        <v>398897316.07999998</v>
      </c>
      <c r="BG349" s="198"/>
      <c r="BH349" s="198">
        <v>231831001.71000001</v>
      </c>
      <c r="BI349" s="198">
        <v>48223750.620000012</v>
      </c>
      <c r="BJ349" s="198">
        <v>107848862.53000002</v>
      </c>
      <c r="BK349" s="198">
        <v>10993701.219999997</v>
      </c>
      <c r="BL349" s="198"/>
      <c r="BM349" s="197">
        <v>19251030.416959997</v>
      </c>
      <c r="BN349" s="198">
        <v>639922.93869999994</v>
      </c>
      <c r="BO349" s="198">
        <v>2006897.6029700004</v>
      </c>
      <c r="BP349" s="198">
        <v>5740366.9738300014</v>
      </c>
      <c r="BQ349" s="198">
        <v>5520201.6738400003</v>
      </c>
      <c r="BR349" s="198"/>
      <c r="BS349" s="198">
        <v>5343641.2276199935</v>
      </c>
      <c r="BT349" s="197"/>
      <c r="BU349" s="198"/>
      <c r="BV349" s="198"/>
      <c r="BW349" s="198"/>
      <c r="BX349" s="198"/>
      <c r="BY349" s="198"/>
      <c r="BZ349" s="198"/>
      <c r="CA349" s="197">
        <v>987.5</v>
      </c>
      <c r="CB349" s="198"/>
      <c r="CC349" s="198"/>
      <c r="CD349" s="198"/>
      <c r="CE349" s="198"/>
      <c r="CF349" s="198"/>
      <c r="CG349" s="198"/>
      <c r="CH349" s="197"/>
      <c r="CI349" s="198"/>
      <c r="CJ349" s="198" t="s">
        <v>684</v>
      </c>
      <c r="CK349" s="198"/>
      <c r="CL349" s="198"/>
      <c r="CM349" s="198"/>
      <c r="CN349" s="198"/>
      <c r="CO349" s="197">
        <v>11158.89857272</v>
      </c>
      <c r="CP349" s="198">
        <v>1066.2084860399998</v>
      </c>
      <c r="CQ349" s="198">
        <v>1491.2613807500004</v>
      </c>
      <c r="CR349" s="198">
        <v>2415.22969139</v>
      </c>
      <c r="CS349" s="198">
        <v>3853.9766210999996</v>
      </c>
      <c r="CT349" s="198"/>
      <c r="CU349" s="198">
        <v>2332.2223934400008</v>
      </c>
      <c r="CV349" s="197">
        <v>1677.9939999999999</v>
      </c>
      <c r="CW349" s="198"/>
      <c r="CX349" s="198"/>
      <c r="CY349" s="198"/>
      <c r="CZ349" s="198"/>
      <c r="DA349" s="198"/>
      <c r="DB349" s="198"/>
      <c r="DC349" s="197">
        <v>158910.68599999999</v>
      </c>
      <c r="DD349" s="198">
        <v>19144.5</v>
      </c>
      <c r="DE349" s="198">
        <v>23714.694</v>
      </c>
      <c r="DF349" s="198"/>
      <c r="DG349" s="198">
        <v>53701.724000000002</v>
      </c>
      <c r="DH349" s="198"/>
      <c r="DI349" s="198">
        <v>62349.767999999982</v>
      </c>
      <c r="DJ349" s="197">
        <v>133710.29999999999</v>
      </c>
      <c r="DK349" s="198">
        <v>29646.1</v>
      </c>
      <c r="DL349" s="198">
        <v>35081.199999999997</v>
      </c>
      <c r="DM349" s="198">
        <v>8385.5</v>
      </c>
      <c r="DN349" s="198">
        <v>19814.8</v>
      </c>
      <c r="DO349" s="198"/>
      <c r="DP349" s="198">
        <v>40782.699999999983</v>
      </c>
      <c r="DQ349" s="197"/>
      <c r="DR349" s="198"/>
      <c r="DS349" s="198"/>
      <c r="DT349" s="198"/>
      <c r="DU349" s="198"/>
      <c r="DV349" s="198"/>
      <c r="DW349" s="198"/>
      <c r="DX349" s="197">
        <v>266027.87839999999</v>
      </c>
      <c r="DY349" s="198"/>
      <c r="DZ349" s="198">
        <v>176887.19890000002</v>
      </c>
      <c r="EA349" s="198">
        <v>37915.037900000003</v>
      </c>
      <c r="EB349" s="198">
        <v>46969.835500000001</v>
      </c>
      <c r="EC349" s="198">
        <v>4255.8060999999998</v>
      </c>
      <c r="ED349" s="198"/>
      <c r="EE349" s="197">
        <v>481912.30599999998</v>
      </c>
      <c r="EF349" s="198">
        <v>16070.853999999999</v>
      </c>
      <c r="EG349" s="198">
        <v>94584.263999999996</v>
      </c>
      <c r="EH349" s="198">
        <v>27417.210999999999</v>
      </c>
      <c r="EI349" s="198">
        <v>213703.45</v>
      </c>
      <c r="EJ349" s="198"/>
      <c r="EK349" s="198">
        <v>130136.52699999994</v>
      </c>
      <c r="EL349" s="197">
        <v>4092000.8952919994</v>
      </c>
      <c r="EM349" s="198">
        <v>1851955.7999109996</v>
      </c>
      <c r="EN349" s="198">
        <v>167020.23375800005</v>
      </c>
      <c r="EO349" s="198">
        <v>663690.76518900006</v>
      </c>
      <c r="EP349" s="198">
        <v>862922.47673800017</v>
      </c>
      <c r="EQ349" s="198"/>
      <c r="ER349" s="198">
        <v>546411.61969399999</v>
      </c>
      <c r="ES349" s="197">
        <v>136251.17898254999</v>
      </c>
      <c r="ET349" s="198">
        <v>17361.552272689998</v>
      </c>
      <c r="EU349" s="198">
        <v>47711.47277480999</v>
      </c>
      <c r="EV349" s="198">
        <v>18004.10906522</v>
      </c>
      <c r="EW349" s="198">
        <v>37050.678632789997</v>
      </c>
      <c r="EX349" s="198"/>
      <c r="EY349" s="198">
        <v>16123.366237040012</v>
      </c>
      <c r="EZ349" s="197">
        <v>47725.798173230003</v>
      </c>
      <c r="FA349" s="198">
        <v>2385.01271825</v>
      </c>
      <c r="FB349" s="198">
        <v>11334.005348130002</v>
      </c>
      <c r="FC349" s="198">
        <v>14124.20563574</v>
      </c>
      <c r="FD349" s="198">
        <v>9780.6134799400006</v>
      </c>
      <c r="FE349" s="198">
        <v>0</v>
      </c>
      <c r="FF349" s="198">
        <v>10101.960991169997</v>
      </c>
      <c r="FG349" s="197">
        <v>74282981.958538994</v>
      </c>
      <c r="FH349" s="198">
        <v>7147408.8529869998</v>
      </c>
      <c r="FI349" s="198">
        <v>17041414.038601</v>
      </c>
      <c r="FJ349" s="198"/>
      <c r="FK349" s="198">
        <v>10638596.721758001</v>
      </c>
      <c r="FL349" s="198"/>
      <c r="FM349" s="198">
        <v>39455562.345192991</v>
      </c>
      <c r="FN349" s="197">
        <v>232816.40734900002</v>
      </c>
      <c r="FO349" s="198">
        <v>36304.861301999998</v>
      </c>
      <c r="FP349" s="198">
        <v>35201.900826999998</v>
      </c>
      <c r="FQ349" s="198">
        <v>38543.681305999999</v>
      </c>
      <c r="FR349" s="198">
        <v>40890.426331000002</v>
      </c>
      <c r="FS349" s="198"/>
      <c r="FT349" s="199">
        <v>81875.537582999998</v>
      </c>
      <c r="FU349" s="197">
        <v>859482.08527029015</v>
      </c>
      <c r="FV349" s="198">
        <v>57352.30611607006</v>
      </c>
      <c r="FW349" s="198">
        <v>111775.42398427997</v>
      </c>
      <c r="FX349" s="198">
        <v>192568.47601813008</v>
      </c>
      <c r="FY349" s="198">
        <v>216649.66077486004</v>
      </c>
      <c r="FZ349" s="198"/>
      <c r="GA349" s="199">
        <v>281136.21837695001</v>
      </c>
      <c r="GB349" s="197">
        <v>1761.2170000000001</v>
      </c>
      <c r="GC349" s="198"/>
      <c r="GD349" s="198"/>
      <c r="GE349" s="198"/>
      <c r="GF349" s="198"/>
      <c r="GG349" s="198"/>
      <c r="GH349" s="199"/>
      <c r="GI349" s="197">
        <v>1219.2729999999999</v>
      </c>
      <c r="GJ349" s="198"/>
      <c r="GK349" s="198"/>
      <c r="GL349" s="198"/>
      <c r="GM349" s="198"/>
      <c r="GN349" s="198"/>
      <c r="GO349" s="199"/>
      <c r="GP349" s="197">
        <v>3712.5709999999999</v>
      </c>
      <c r="GQ349" s="198"/>
      <c r="GR349" s="198"/>
      <c r="GS349" s="198"/>
      <c r="GT349" s="198"/>
      <c r="GU349" s="198"/>
      <c r="GV349" s="199"/>
      <c r="GW349" s="198">
        <v>9024.7000000000007</v>
      </c>
      <c r="GX349" s="198">
        <v>638.29999999999995</v>
      </c>
      <c r="GY349" s="198">
        <v>2554.6000000000004</v>
      </c>
      <c r="GZ349" s="198">
        <v>1190.4000000000001</v>
      </c>
      <c r="HA349" s="198"/>
      <c r="HB349" s="198"/>
      <c r="HC349" s="198">
        <v>4641.3999999999996</v>
      </c>
      <c r="HD349" s="197"/>
      <c r="HE349" s="198"/>
      <c r="HF349" s="198"/>
      <c r="HG349" s="198"/>
      <c r="HH349" s="198"/>
      <c r="HI349" s="198"/>
      <c r="HJ349" s="198"/>
      <c r="HK349" s="197">
        <v>15717.038986000001</v>
      </c>
      <c r="HL349" s="198">
        <v>2275.6448949999999</v>
      </c>
      <c r="HM349" s="198">
        <v>1979.4303359999999</v>
      </c>
      <c r="HN349" s="198">
        <v>452.69911999999999</v>
      </c>
      <c r="HO349" s="198">
        <v>5409.7469970000011</v>
      </c>
      <c r="HP349" s="198"/>
      <c r="HQ349" s="198">
        <v>5599.5176380000021</v>
      </c>
      <c r="HR349" s="197">
        <v>4062592.1779999998</v>
      </c>
      <c r="HS349" s="198">
        <v>318193.92200000002</v>
      </c>
      <c r="HT349" s="198">
        <v>1963865.0120000001</v>
      </c>
      <c r="HU349" s="198">
        <v>157733.38699999999</v>
      </c>
      <c r="HV349" s="198">
        <v>833288.31400000001</v>
      </c>
      <c r="HW349" s="198">
        <v>167855.59</v>
      </c>
      <c r="HX349" s="198">
        <v>698383.89599999995</v>
      </c>
      <c r="HZ349" s="180"/>
    </row>
    <row r="350" spans="1:234">
      <c r="A350" s="185" t="s">
        <v>497</v>
      </c>
      <c r="B350" s="198"/>
      <c r="C350" s="198"/>
      <c r="D350" s="198"/>
      <c r="E350" s="198"/>
      <c r="F350" s="198"/>
      <c r="G350" s="198"/>
      <c r="H350" s="198"/>
      <c r="I350" s="197"/>
      <c r="J350" s="198"/>
      <c r="K350" s="198"/>
      <c r="L350" s="198"/>
      <c r="M350" s="198"/>
      <c r="N350" s="198"/>
      <c r="O350" s="199"/>
      <c r="P350" s="197"/>
      <c r="Q350" s="198"/>
      <c r="R350" s="198"/>
      <c r="S350" s="198"/>
      <c r="T350" s="198"/>
      <c r="U350" s="198"/>
      <c r="V350" s="199"/>
      <c r="W350" s="197"/>
      <c r="X350" s="198"/>
      <c r="Y350" s="198"/>
      <c r="Z350" s="198"/>
      <c r="AA350" s="198"/>
      <c r="AB350" s="198"/>
      <c r="AC350" s="199"/>
      <c r="AD350" s="198"/>
      <c r="AE350" s="198"/>
      <c r="AF350" s="198"/>
      <c r="AG350" s="198"/>
      <c r="AH350" s="198"/>
      <c r="AI350" s="198"/>
      <c r="AJ350" s="198"/>
      <c r="AK350" s="197"/>
      <c r="AL350" s="198"/>
      <c r="AM350" s="198"/>
      <c r="AN350" s="198"/>
      <c r="AO350" s="198"/>
      <c r="AP350" s="198"/>
      <c r="AQ350" s="199"/>
      <c r="AR350" s="198">
        <v>3109887</v>
      </c>
      <c r="AS350" s="198">
        <v>666305</v>
      </c>
      <c r="AT350" s="198">
        <v>270045</v>
      </c>
      <c r="AU350" s="198">
        <v>630304</v>
      </c>
      <c r="AV350" s="198">
        <v>1012613</v>
      </c>
      <c r="AW350" s="198"/>
      <c r="AX350" s="198">
        <v>530620</v>
      </c>
      <c r="AY350" s="197"/>
      <c r="AZ350" s="198"/>
      <c r="BA350" s="198"/>
      <c r="BB350" s="198"/>
      <c r="BC350" s="198"/>
      <c r="BD350" s="198"/>
      <c r="BE350" s="198"/>
      <c r="BF350" s="197"/>
      <c r="BG350" s="198"/>
      <c r="BH350" s="198"/>
      <c r="BI350" s="198"/>
      <c r="BJ350" s="198"/>
      <c r="BK350" s="198"/>
      <c r="BL350" s="198"/>
      <c r="BM350" s="197">
        <v>19454521.448249996</v>
      </c>
      <c r="BN350" s="198">
        <v>644577.93736999994</v>
      </c>
      <c r="BO350" s="198">
        <v>2020091.7749800005</v>
      </c>
      <c r="BP350" s="198">
        <v>5777798.9111499991</v>
      </c>
      <c r="BQ350" s="198">
        <v>5601853.2241399996</v>
      </c>
      <c r="BR350" s="198"/>
      <c r="BS350" s="198">
        <v>5410199.6006099973</v>
      </c>
      <c r="BT350" s="197"/>
      <c r="BU350" s="198"/>
      <c r="BV350" s="198"/>
      <c r="BW350" s="198"/>
      <c r="BX350" s="198"/>
      <c r="BY350" s="198"/>
      <c r="BZ350" s="198"/>
      <c r="CA350" s="197"/>
      <c r="CB350" s="198"/>
      <c r="CC350" s="198"/>
      <c r="CD350" s="198"/>
      <c r="CE350" s="198"/>
      <c r="CF350" s="198"/>
      <c r="CG350" s="198"/>
      <c r="CH350" s="197"/>
      <c r="CI350" s="198"/>
      <c r="CJ350" s="198"/>
      <c r="CK350" s="198"/>
      <c r="CL350" s="198"/>
      <c r="CM350" s="198"/>
      <c r="CN350" s="198"/>
      <c r="CO350" s="197">
        <v>11198.40949469</v>
      </c>
      <c r="CP350" s="198">
        <v>1059.8573649100003</v>
      </c>
      <c r="CQ350" s="198">
        <v>1504.3935379299999</v>
      </c>
      <c r="CR350" s="198">
        <v>2416.4726221400006</v>
      </c>
      <c r="CS350" s="198">
        <v>3873.5670976599995</v>
      </c>
      <c r="CT350" s="198"/>
      <c r="CU350" s="198">
        <v>2344.1188720500004</v>
      </c>
      <c r="CV350" s="197"/>
      <c r="CW350" s="198"/>
      <c r="CX350" s="198"/>
      <c r="CY350" s="198"/>
      <c r="CZ350" s="198"/>
      <c r="DA350" s="198"/>
      <c r="DB350" s="198"/>
      <c r="DC350" s="197">
        <v>158931.29399999999</v>
      </c>
      <c r="DD350" s="198">
        <v>18210.350999999999</v>
      </c>
      <c r="DE350" s="198">
        <v>23650.116999999998</v>
      </c>
      <c r="DF350" s="198"/>
      <c r="DG350" s="198">
        <v>54408.375999999997</v>
      </c>
      <c r="DH350" s="198"/>
      <c r="DI350" s="198">
        <v>62662.450000000004</v>
      </c>
      <c r="DJ350" s="197"/>
      <c r="DK350" s="198"/>
      <c r="DL350" s="198"/>
      <c r="DM350" s="198"/>
      <c r="DN350" s="198"/>
      <c r="DO350" s="198"/>
      <c r="DP350" s="198"/>
      <c r="DQ350" s="197"/>
      <c r="DR350" s="198"/>
      <c r="DS350" s="198"/>
      <c r="DT350" s="198"/>
      <c r="DU350" s="198"/>
      <c r="DV350" s="198"/>
      <c r="DW350" s="198"/>
      <c r="DX350" s="197">
        <v>270069.15639999998</v>
      </c>
      <c r="DY350" s="198"/>
      <c r="DZ350" s="198">
        <v>179278.3075</v>
      </c>
      <c r="EA350" s="198">
        <v>38173.572999999997</v>
      </c>
      <c r="EB350" s="198">
        <v>48341.665099999998</v>
      </c>
      <c r="EC350" s="198">
        <v>4275.6108999999997</v>
      </c>
      <c r="ED350" s="198"/>
      <c r="EE350" s="197">
        <v>488016.32199999999</v>
      </c>
      <c r="EF350" s="198">
        <v>16633.594000000001</v>
      </c>
      <c r="EG350" s="198">
        <v>95893.005000000005</v>
      </c>
      <c r="EH350" s="198">
        <v>25358.395</v>
      </c>
      <c r="EI350" s="198">
        <v>219507.10699999999</v>
      </c>
      <c r="EJ350" s="198"/>
      <c r="EK350" s="198">
        <v>130624.22099999999</v>
      </c>
      <c r="EL350" s="197"/>
      <c r="EM350" s="198"/>
      <c r="EN350" s="198"/>
      <c r="EO350" s="198"/>
      <c r="EP350" s="198"/>
      <c r="EQ350" s="198"/>
      <c r="ER350" s="198"/>
      <c r="ES350" s="197"/>
      <c r="ET350" s="198"/>
      <c r="EU350" s="198"/>
      <c r="EV350" s="198"/>
      <c r="EW350" s="198"/>
      <c r="EX350" s="198"/>
      <c r="EY350" s="198"/>
      <c r="EZ350" s="197"/>
      <c r="FA350" s="198"/>
      <c r="FB350" s="198"/>
      <c r="FC350" s="198"/>
      <c r="FD350" s="198"/>
      <c r="FE350" s="198"/>
      <c r="FF350" s="198"/>
      <c r="FG350" s="197">
        <v>73581915.083996996</v>
      </c>
      <c r="FH350" s="198">
        <v>7209252.9982559998</v>
      </c>
      <c r="FI350" s="198">
        <v>16809871.506602</v>
      </c>
      <c r="FJ350" s="198"/>
      <c r="FK350" s="198">
        <v>10740459.777815999</v>
      </c>
      <c r="FL350" s="198"/>
      <c r="FM350" s="198">
        <v>38822330.801322997</v>
      </c>
      <c r="FN350" s="197">
        <v>233530.00363800002</v>
      </c>
      <c r="FO350" s="198">
        <v>35663.703575</v>
      </c>
      <c r="FP350" s="198">
        <v>35746.290141999998</v>
      </c>
      <c r="FQ350" s="198">
        <v>38621.528806999995</v>
      </c>
      <c r="FR350" s="198">
        <v>41142.186049000004</v>
      </c>
      <c r="FS350" s="198"/>
      <c r="FT350" s="199">
        <v>82356.295065000042</v>
      </c>
      <c r="FU350" s="197"/>
      <c r="FV350" s="198"/>
      <c r="FW350" s="198"/>
      <c r="FX350" s="198"/>
      <c r="FY350" s="198"/>
      <c r="FZ350" s="198"/>
      <c r="GA350" s="199"/>
      <c r="GB350" s="197"/>
      <c r="GC350" s="198"/>
      <c r="GD350" s="198"/>
      <c r="GE350" s="198"/>
      <c r="GF350" s="198"/>
      <c r="GG350" s="198"/>
      <c r="GH350" s="199"/>
      <c r="GI350" s="197"/>
      <c r="GJ350" s="198"/>
      <c r="GK350" s="198"/>
      <c r="GL350" s="198"/>
      <c r="GM350" s="198"/>
      <c r="GN350" s="198"/>
      <c r="GO350" s="199"/>
      <c r="GP350" s="197"/>
      <c r="GQ350" s="198"/>
      <c r="GR350" s="198"/>
      <c r="GS350" s="198"/>
      <c r="GT350" s="198"/>
      <c r="GU350" s="198"/>
      <c r="GV350" s="199"/>
      <c r="GW350" s="198"/>
      <c r="GX350" s="198"/>
      <c r="GY350" s="198"/>
      <c r="GZ350" s="198"/>
      <c r="HA350" s="198"/>
      <c r="HB350" s="198"/>
      <c r="HC350" s="198"/>
      <c r="HD350" s="197"/>
      <c r="HE350" s="198"/>
      <c r="HF350" s="198"/>
      <c r="HG350" s="198"/>
      <c r="HH350" s="198"/>
      <c r="HI350" s="198"/>
      <c r="HJ350" s="198"/>
      <c r="HK350" s="197">
        <v>15637.819413000003</v>
      </c>
      <c r="HL350" s="198">
        <v>2183.1505859999997</v>
      </c>
      <c r="HM350" s="198">
        <v>1977.0169199999998</v>
      </c>
      <c r="HN350" s="198">
        <v>460.499348</v>
      </c>
      <c r="HO350" s="198">
        <v>5511.6661580000009</v>
      </c>
      <c r="HP350" s="198"/>
      <c r="HQ350" s="198">
        <v>5505.4864010000028</v>
      </c>
      <c r="HR350" s="197">
        <v>4420870.9079999998</v>
      </c>
      <c r="HS350" s="198">
        <v>356324.33500000002</v>
      </c>
      <c r="HT350" s="198">
        <v>2165802.2450000001</v>
      </c>
      <c r="HU350" s="198">
        <v>166083.611</v>
      </c>
      <c r="HV350" s="198">
        <v>898865.84600000002</v>
      </c>
      <c r="HW350" s="198">
        <v>180758.33900000001</v>
      </c>
      <c r="HX350" s="198">
        <v>735726.28099999996</v>
      </c>
      <c r="HZ350" s="180"/>
    </row>
    <row r="351" spans="1:234">
      <c r="A351" s="185" t="s">
        <v>498</v>
      </c>
      <c r="B351" s="198"/>
      <c r="C351" s="198"/>
      <c r="D351" s="198"/>
      <c r="E351" s="198"/>
      <c r="F351" s="198"/>
      <c r="G351" s="198"/>
      <c r="H351" s="198"/>
      <c r="I351" s="197"/>
      <c r="J351" s="198"/>
      <c r="K351" s="198"/>
      <c r="L351" s="198"/>
      <c r="M351" s="198"/>
      <c r="N351" s="198"/>
      <c r="O351" s="199"/>
      <c r="P351" s="197"/>
      <c r="Q351" s="198"/>
      <c r="R351" s="198"/>
      <c r="S351" s="198"/>
      <c r="T351" s="198"/>
      <c r="U351" s="198"/>
      <c r="V351" s="199"/>
      <c r="W351" s="197"/>
      <c r="X351" s="198"/>
      <c r="Y351" s="198"/>
      <c r="Z351" s="198"/>
      <c r="AA351" s="198"/>
      <c r="AB351" s="198"/>
      <c r="AC351" s="199"/>
      <c r="AD351" s="198"/>
      <c r="AE351" s="198"/>
      <c r="AF351" s="198"/>
      <c r="AG351" s="198"/>
      <c r="AH351" s="198"/>
      <c r="AI351" s="198"/>
      <c r="AJ351" s="199"/>
      <c r="AK351" s="197"/>
      <c r="AL351" s="198"/>
      <c r="AM351" s="198"/>
      <c r="AN351" s="198"/>
      <c r="AO351" s="198"/>
      <c r="AP351" s="198"/>
      <c r="AQ351" s="199"/>
      <c r="AR351" s="198"/>
      <c r="AS351" s="198"/>
      <c r="AT351" s="198"/>
      <c r="AU351" s="198"/>
      <c r="AV351" s="198"/>
      <c r="AW351" s="198"/>
      <c r="AX351" s="198"/>
      <c r="AY351" s="197"/>
      <c r="AZ351" s="198"/>
      <c r="BA351" s="198"/>
      <c r="BB351" s="198"/>
      <c r="BC351" s="198"/>
      <c r="BD351" s="198"/>
      <c r="BE351" s="198"/>
      <c r="BF351" s="197"/>
      <c r="BG351" s="198"/>
      <c r="BH351" s="198"/>
      <c r="BI351" s="198"/>
      <c r="BJ351" s="198"/>
      <c r="BK351" s="198"/>
      <c r="BL351" s="198"/>
      <c r="BM351" s="197"/>
      <c r="BN351" s="198"/>
      <c r="BO351" s="198"/>
      <c r="BP351" s="198"/>
      <c r="BQ351" s="198"/>
      <c r="BR351" s="198"/>
      <c r="BS351" s="198"/>
      <c r="BT351" s="197"/>
      <c r="BU351" s="198"/>
      <c r="BV351" s="198"/>
      <c r="BW351" s="198"/>
      <c r="BX351" s="198"/>
      <c r="BY351" s="198"/>
      <c r="BZ351" s="198"/>
      <c r="CA351" s="197"/>
      <c r="CB351" s="198"/>
      <c r="CE351" s="198"/>
      <c r="CF351" s="198"/>
      <c r="CG351" s="198"/>
      <c r="CH351" s="197"/>
      <c r="CI351" s="198"/>
      <c r="CJ351" s="198"/>
      <c r="CK351" s="198"/>
      <c r="CL351" s="198"/>
      <c r="CM351" s="198"/>
      <c r="CN351" s="198"/>
      <c r="CO351" s="197"/>
      <c r="CP351" s="198"/>
      <c r="CQ351" s="198"/>
      <c r="CR351" s="198"/>
      <c r="CS351" s="198"/>
      <c r="CT351" s="198"/>
      <c r="CU351" s="198"/>
      <c r="CV351" s="197"/>
      <c r="DA351" s="198"/>
      <c r="DB351" s="198"/>
      <c r="DC351" s="197"/>
      <c r="DD351" s="198"/>
      <c r="DE351" s="198"/>
      <c r="DF351" s="198"/>
      <c r="DG351" s="198"/>
      <c r="DH351" s="198"/>
      <c r="DI351" s="198"/>
      <c r="DJ351" s="197"/>
      <c r="DK351" s="198"/>
      <c r="DL351" s="198"/>
      <c r="DM351" s="198"/>
      <c r="DN351" s="198"/>
      <c r="DO351" s="198"/>
      <c r="DP351" s="198"/>
      <c r="DQ351" s="197"/>
      <c r="DR351" s="198"/>
      <c r="DS351" s="198"/>
      <c r="DT351" s="198"/>
      <c r="DU351" s="198"/>
      <c r="DV351" s="198"/>
      <c r="DW351" s="198"/>
      <c r="DX351" s="197"/>
      <c r="DY351" s="198"/>
      <c r="DZ351" s="198"/>
      <c r="EA351" s="198"/>
      <c r="EB351" s="198"/>
      <c r="EC351" s="198"/>
      <c r="ED351" s="198"/>
      <c r="EE351" s="197"/>
      <c r="EF351" s="198"/>
      <c r="EG351" s="198"/>
      <c r="EH351" s="198"/>
      <c r="EI351" s="198"/>
      <c r="EJ351" s="198"/>
      <c r="EK351" s="198"/>
      <c r="EL351" s="197"/>
      <c r="EM351" s="198"/>
      <c r="EN351" s="198"/>
      <c r="EO351" s="198"/>
      <c r="EP351" s="198"/>
      <c r="EQ351" s="198"/>
      <c r="ER351" s="198"/>
      <c r="ES351" s="197"/>
      <c r="ET351" s="198"/>
      <c r="EU351" s="198"/>
      <c r="EV351" s="198"/>
      <c r="EW351" s="198"/>
      <c r="EX351" s="198"/>
      <c r="EY351" s="198"/>
      <c r="EZ351" s="197"/>
      <c r="FA351" s="198"/>
      <c r="FB351" s="198"/>
      <c r="FC351" s="198"/>
      <c r="FD351" s="198"/>
      <c r="FE351" s="198"/>
      <c r="FF351" s="198"/>
      <c r="FG351" s="197"/>
      <c r="FH351" s="198"/>
      <c r="FI351" s="198"/>
      <c r="FJ351" s="198"/>
      <c r="FK351" s="198"/>
      <c r="FL351" s="198"/>
      <c r="FM351" s="198"/>
      <c r="FN351" s="197"/>
      <c r="FO351" s="198"/>
      <c r="FP351" s="198"/>
      <c r="FQ351" s="198"/>
      <c r="FR351" s="198"/>
      <c r="FS351" s="198"/>
      <c r="FT351" s="199"/>
      <c r="FU351" s="197"/>
      <c r="FV351" s="198"/>
      <c r="FW351" s="198"/>
      <c r="FX351" s="198"/>
      <c r="FY351" s="198"/>
      <c r="FZ351" s="198"/>
      <c r="GA351" s="199"/>
      <c r="GB351" s="197"/>
      <c r="GC351" s="198"/>
      <c r="GD351" s="198"/>
      <c r="GE351" s="198"/>
      <c r="GF351" s="198"/>
      <c r="GG351" s="198"/>
      <c r="GH351" s="199"/>
      <c r="GI351" s="197"/>
      <c r="GJ351" s="198"/>
      <c r="GK351" s="198"/>
      <c r="GL351" s="198"/>
      <c r="GM351" s="198"/>
      <c r="GN351" s="198"/>
      <c r="GO351" s="199"/>
      <c r="GP351" s="197"/>
      <c r="GQ351" s="198"/>
      <c r="GR351" s="198"/>
      <c r="GS351" s="198"/>
      <c r="GT351" s="198"/>
      <c r="GU351" s="198"/>
      <c r="GV351" s="199"/>
      <c r="GW351" s="198"/>
      <c r="GX351" s="198"/>
      <c r="GY351" s="198"/>
      <c r="GZ351" s="198"/>
      <c r="HA351" s="198"/>
      <c r="HB351" s="198"/>
      <c r="HC351" s="198"/>
      <c r="HD351" s="197"/>
      <c r="HE351" s="198"/>
      <c r="HF351" s="198"/>
      <c r="HG351" s="198"/>
      <c r="HH351" s="198"/>
      <c r="HI351" s="198"/>
      <c r="HJ351" s="198"/>
      <c r="HK351" s="197"/>
      <c r="HL351" s="198"/>
      <c r="HM351" s="198"/>
      <c r="HN351" s="198"/>
      <c r="HO351" s="198"/>
      <c r="HP351" s="198"/>
      <c r="HQ351" s="198"/>
      <c r="HR351" s="197"/>
      <c r="HS351" s="198"/>
      <c r="HT351" s="198"/>
      <c r="HU351" s="198"/>
      <c r="HV351" s="198"/>
      <c r="HW351" s="198"/>
      <c r="HX351" s="198"/>
      <c r="HZ351" s="180"/>
    </row>
    <row r="352" spans="1:234">
      <c r="A352" s="185" t="s">
        <v>499</v>
      </c>
      <c r="B352" s="198"/>
      <c r="C352" s="198"/>
      <c r="D352" s="198"/>
      <c r="E352" s="198"/>
      <c r="F352" s="198"/>
      <c r="G352" s="198"/>
      <c r="H352" s="198"/>
      <c r="I352" s="197"/>
      <c r="J352" s="198"/>
      <c r="K352" s="198"/>
      <c r="L352" s="198"/>
      <c r="M352" s="198"/>
      <c r="N352" s="198"/>
      <c r="O352" s="199"/>
      <c r="P352" s="197"/>
      <c r="Q352" s="198"/>
      <c r="R352" s="198"/>
      <c r="S352" s="198"/>
      <c r="T352" s="198"/>
      <c r="U352" s="198"/>
      <c r="V352" s="199"/>
      <c r="W352" s="197"/>
      <c r="X352" s="198"/>
      <c r="Y352" s="198"/>
      <c r="Z352" s="198"/>
      <c r="AA352" s="198"/>
      <c r="AB352" s="198"/>
      <c r="AC352" s="199"/>
      <c r="AD352" s="198"/>
      <c r="AE352" s="198"/>
      <c r="AF352" s="198"/>
      <c r="AG352" s="198"/>
      <c r="AH352" s="198"/>
      <c r="AI352" s="198"/>
      <c r="AJ352" s="199"/>
      <c r="AK352" s="197"/>
      <c r="AL352" s="198"/>
      <c r="AM352" s="198"/>
      <c r="AN352" s="198"/>
      <c r="AO352" s="198"/>
      <c r="AP352" s="198"/>
      <c r="AQ352" s="199"/>
      <c r="AR352" s="198"/>
      <c r="AS352" s="198"/>
      <c r="AT352" s="198"/>
      <c r="AU352" s="198"/>
      <c r="AV352" s="198"/>
      <c r="AW352" s="198"/>
      <c r="AX352" s="198"/>
      <c r="AY352" s="197"/>
      <c r="AZ352" s="198"/>
      <c r="BA352" s="198"/>
      <c r="BB352" s="198"/>
      <c r="BC352" s="198"/>
      <c r="BD352" s="198"/>
      <c r="BE352" s="198"/>
      <c r="BF352" s="197"/>
      <c r="BG352" s="198"/>
      <c r="BH352" s="198"/>
      <c r="BI352" s="198"/>
      <c r="BJ352" s="198"/>
      <c r="BK352" s="198"/>
      <c r="BL352" s="198"/>
      <c r="BM352" s="197"/>
      <c r="BN352" s="198"/>
      <c r="BO352" s="198"/>
      <c r="BP352" s="198"/>
      <c r="BQ352" s="198"/>
      <c r="BR352" s="198"/>
      <c r="BS352" s="198"/>
      <c r="BT352" s="197"/>
      <c r="BU352" s="198"/>
      <c r="BV352" s="198"/>
      <c r="BW352" s="198"/>
      <c r="BX352" s="198"/>
      <c r="BY352" s="198"/>
      <c r="BZ352" s="198"/>
      <c r="CA352" s="197"/>
      <c r="CB352" s="198"/>
      <c r="CC352" s="198"/>
      <c r="CD352" s="198"/>
      <c r="CE352" s="198"/>
      <c r="CF352" s="198"/>
      <c r="CG352" s="198"/>
      <c r="CH352" s="197"/>
      <c r="CI352" s="198"/>
      <c r="CJ352" s="198"/>
      <c r="CK352" s="198"/>
      <c r="CL352" s="198"/>
      <c r="CM352" s="198"/>
      <c r="CN352" s="198"/>
      <c r="CO352" s="197"/>
      <c r="CP352" s="198"/>
      <c r="CQ352" s="198"/>
      <c r="CR352" s="198"/>
      <c r="CS352" s="198"/>
      <c r="CT352" s="198"/>
      <c r="CU352" s="198"/>
      <c r="CV352" s="197"/>
      <c r="CW352" s="198"/>
      <c r="CX352" s="198"/>
      <c r="CY352" s="198"/>
      <c r="CZ352" s="198"/>
      <c r="DA352" s="198"/>
      <c r="DB352" s="198"/>
      <c r="DC352" s="197"/>
      <c r="DD352" s="198"/>
      <c r="DE352" s="198"/>
      <c r="DF352" s="198"/>
      <c r="DG352" s="198"/>
      <c r="DH352" s="198"/>
      <c r="DI352" s="198"/>
      <c r="DJ352" s="197"/>
      <c r="DK352" s="198"/>
      <c r="DL352" s="198"/>
      <c r="DM352" s="198"/>
      <c r="DN352" s="198"/>
      <c r="DO352" s="198"/>
      <c r="DP352" s="198"/>
      <c r="DQ352" s="197"/>
      <c r="DR352" s="198"/>
      <c r="DS352" s="198"/>
      <c r="DT352" s="198"/>
      <c r="DU352" s="198"/>
      <c r="DV352" s="198"/>
      <c r="DW352" s="198"/>
      <c r="DX352" s="197"/>
      <c r="DY352" s="198"/>
      <c r="DZ352" s="198"/>
      <c r="EA352" s="198"/>
      <c r="EB352" s="198"/>
      <c r="EC352" s="198"/>
      <c r="ED352" s="198"/>
      <c r="EE352" s="197"/>
      <c r="EF352" s="198"/>
      <c r="EG352" s="198"/>
      <c r="EH352" s="198"/>
      <c r="EI352" s="198"/>
      <c r="EJ352" s="198"/>
      <c r="EK352" s="198"/>
      <c r="EL352" s="197"/>
      <c r="EM352" s="198"/>
      <c r="EN352" s="198"/>
      <c r="EO352" s="198"/>
      <c r="EP352" s="198"/>
      <c r="EQ352" s="198"/>
      <c r="ER352" s="198"/>
      <c r="ES352" s="197"/>
      <c r="ET352" s="198"/>
      <c r="EU352" s="198"/>
      <c r="EV352" s="198"/>
      <c r="EW352" s="198"/>
      <c r="EX352" s="198"/>
      <c r="EY352" s="198"/>
      <c r="EZ352" s="197"/>
      <c r="FA352" s="198"/>
      <c r="FB352" s="198"/>
      <c r="FC352" s="198"/>
      <c r="FD352" s="198"/>
      <c r="FE352" s="198"/>
      <c r="FF352" s="198"/>
      <c r="FG352" s="197"/>
      <c r="FH352" s="198"/>
      <c r="FI352" s="198"/>
      <c r="FJ352" s="198"/>
      <c r="FK352" s="198"/>
      <c r="FL352" s="198"/>
      <c r="FM352" s="198"/>
      <c r="FN352" s="197"/>
      <c r="FO352" s="198"/>
      <c r="FP352" s="198"/>
      <c r="FQ352" s="198"/>
      <c r="FR352" s="198"/>
      <c r="FS352" s="198"/>
      <c r="FT352" s="199"/>
      <c r="FU352" s="197"/>
      <c r="FV352" s="198"/>
      <c r="FW352" s="198"/>
      <c r="FX352" s="198"/>
      <c r="FY352" s="198"/>
      <c r="FZ352" s="198"/>
      <c r="GA352" s="199"/>
      <c r="GB352" s="197"/>
      <c r="GC352" s="198"/>
      <c r="GD352" s="198"/>
      <c r="GE352" s="198"/>
      <c r="GF352" s="198"/>
      <c r="GG352" s="198"/>
      <c r="GH352" s="199"/>
      <c r="GI352" s="197"/>
      <c r="GJ352" s="198"/>
      <c r="GK352" s="198"/>
      <c r="GL352" s="198"/>
      <c r="GM352" s="198"/>
      <c r="GN352" s="198"/>
      <c r="GO352" s="199"/>
      <c r="GP352" s="197"/>
      <c r="GQ352" s="198"/>
      <c r="GR352" s="198"/>
      <c r="GS352" s="198"/>
      <c r="GT352" s="198"/>
      <c r="GU352" s="198"/>
      <c r="GV352" s="199"/>
      <c r="GW352" s="198"/>
      <c r="GX352" s="198"/>
      <c r="GY352" s="198"/>
      <c r="GZ352" s="198"/>
      <c r="HA352" s="198"/>
      <c r="HB352" s="198"/>
      <c r="HC352" s="198"/>
      <c r="HD352" s="197"/>
      <c r="HE352" s="198"/>
      <c r="HF352" s="198"/>
      <c r="HG352" s="198"/>
      <c r="HH352" s="198"/>
      <c r="HI352" s="198"/>
      <c r="HJ352" s="198"/>
      <c r="HK352" s="197"/>
      <c r="HL352" s="198"/>
      <c r="HM352" s="198"/>
      <c r="HN352" s="198"/>
      <c r="HO352" s="198"/>
      <c r="HP352" s="198"/>
      <c r="HQ352" s="198"/>
      <c r="HR352" s="197"/>
      <c r="HS352" s="198"/>
      <c r="HT352" s="198"/>
      <c r="HU352" s="198"/>
      <c r="HV352" s="198"/>
      <c r="HW352" s="198"/>
      <c r="HX352" s="198"/>
      <c r="HZ352" s="180"/>
    </row>
    <row r="353" spans="1:234">
      <c r="A353" s="202" t="s">
        <v>500</v>
      </c>
      <c r="B353" s="204"/>
      <c r="C353" s="204"/>
      <c r="D353" s="204"/>
      <c r="E353" s="204"/>
      <c r="F353" s="204"/>
      <c r="G353" s="204"/>
      <c r="H353" s="204"/>
      <c r="I353" s="203"/>
      <c r="J353" s="204"/>
      <c r="K353" s="204"/>
      <c r="L353" s="204"/>
      <c r="M353" s="204"/>
      <c r="N353" s="204"/>
      <c r="O353" s="205"/>
      <c r="P353" s="203"/>
      <c r="Q353" s="204"/>
      <c r="R353" s="204"/>
      <c r="S353" s="204"/>
      <c r="T353" s="204"/>
      <c r="U353" s="204"/>
      <c r="V353" s="205"/>
      <c r="W353" s="203"/>
      <c r="X353" s="204"/>
      <c r="Y353" s="204"/>
      <c r="Z353" s="204"/>
      <c r="AA353" s="204"/>
      <c r="AB353" s="204"/>
      <c r="AC353" s="205"/>
      <c r="AD353" s="204"/>
      <c r="AE353" s="204"/>
      <c r="AF353" s="204"/>
      <c r="AG353" s="204"/>
      <c r="AH353" s="204"/>
      <c r="AI353" s="204"/>
      <c r="AJ353" s="205"/>
      <c r="AK353" s="203"/>
      <c r="AL353" s="204"/>
      <c r="AM353" s="204"/>
      <c r="AN353" s="204"/>
      <c r="AO353" s="204"/>
      <c r="AP353" s="204"/>
      <c r="AQ353" s="205"/>
      <c r="AR353" s="204"/>
      <c r="AS353" s="204"/>
      <c r="AT353" s="204"/>
      <c r="AU353" s="204"/>
      <c r="AV353" s="204"/>
      <c r="AW353" s="204"/>
      <c r="AX353" s="204"/>
      <c r="AY353" s="203"/>
      <c r="AZ353" s="204"/>
      <c r="BA353" s="204"/>
      <c r="BB353" s="204"/>
      <c r="BC353" s="204"/>
      <c r="BD353" s="204"/>
      <c r="BE353" s="204"/>
      <c r="BF353" s="203"/>
      <c r="BG353" s="204"/>
      <c r="BH353" s="204"/>
      <c r="BI353" s="198"/>
      <c r="BJ353" s="204"/>
      <c r="BK353" s="204"/>
      <c r="BL353" s="205"/>
      <c r="BM353" s="203"/>
      <c r="BN353" s="204"/>
      <c r="BO353" s="204"/>
      <c r="BP353" s="204"/>
      <c r="BQ353" s="204"/>
      <c r="BR353" s="204"/>
      <c r="BS353" s="204"/>
      <c r="BT353" s="203"/>
      <c r="BU353" s="204"/>
      <c r="BV353" s="204"/>
      <c r="BW353" s="204"/>
      <c r="BX353" s="204"/>
      <c r="BY353" s="204"/>
      <c r="BZ353" s="204"/>
      <c r="CA353" s="203"/>
      <c r="CB353" s="198"/>
      <c r="CC353" s="198"/>
      <c r="CD353" s="198"/>
      <c r="CE353" s="198"/>
      <c r="CF353" s="204"/>
      <c r="CG353" s="205"/>
      <c r="CH353" s="203"/>
      <c r="CI353" s="204"/>
      <c r="CJ353" s="204"/>
      <c r="CK353" s="204"/>
      <c r="CL353" s="204"/>
      <c r="CM353" s="204"/>
      <c r="CN353" s="204"/>
      <c r="CO353" s="203"/>
      <c r="CP353" s="204"/>
      <c r="CQ353" s="204"/>
      <c r="CR353" s="204"/>
      <c r="CS353" s="204"/>
      <c r="CT353" s="204"/>
      <c r="CU353" s="204"/>
      <c r="CV353" s="203"/>
      <c r="CW353" s="204"/>
      <c r="CX353" s="204"/>
      <c r="CY353" s="204"/>
      <c r="CZ353" s="204"/>
      <c r="DA353" s="204"/>
      <c r="DB353" s="205"/>
      <c r="DC353" s="203"/>
      <c r="DD353" s="204"/>
      <c r="DE353" s="204"/>
      <c r="DF353" s="204"/>
      <c r="DG353" s="204"/>
      <c r="DH353" s="204"/>
      <c r="DI353" s="205"/>
      <c r="DJ353" s="203"/>
      <c r="DK353" s="204"/>
      <c r="DL353" s="204"/>
      <c r="DM353" s="204"/>
      <c r="DN353" s="204"/>
      <c r="DO353" s="204"/>
      <c r="DP353" s="204"/>
      <c r="DQ353" s="203"/>
      <c r="DR353" s="204"/>
      <c r="DS353" s="204"/>
      <c r="DT353" s="204"/>
      <c r="DU353" s="204"/>
      <c r="DV353" s="204"/>
      <c r="DW353" s="204"/>
      <c r="DX353" s="203"/>
      <c r="DY353" s="204"/>
      <c r="DZ353" s="204"/>
      <c r="EA353" s="204"/>
      <c r="EB353" s="204"/>
      <c r="EC353" s="204"/>
      <c r="ED353" s="204"/>
      <c r="EE353" s="203"/>
      <c r="EF353" s="204"/>
      <c r="EG353" s="204"/>
      <c r="EH353" s="204"/>
      <c r="EI353" s="204"/>
      <c r="EJ353" s="204"/>
      <c r="EK353" s="204"/>
      <c r="EL353" s="203"/>
      <c r="EM353" s="204"/>
      <c r="EN353" s="204"/>
      <c r="EO353" s="204"/>
      <c r="EP353" s="204"/>
      <c r="EQ353" s="204"/>
      <c r="ER353" s="205"/>
      <c r="ES353" s="203"/>
      <c r="ET353" s="204"/>
      <c r="EU353" s="204"/>
      <c r="EV353" s="204"/>
      <c r="EW353" s="204"/>
      <c r="EX353" s="204"/>
      <c r="EY353" s="205"/>
      <c r="EZ353" s="203"/>
      <c r="FA353" s="204"/>
      <c r="FB353" s="204"/>
      <c r="FC353" s="204"/>
      <c r="FD353" s="204"/>
      <c r="FE353" s="198"/>
      <c r="FF353" s="205"/>
      <c r="FG353" s="203"/>
      <c r="FH353" s="204"/>
      <c r="FI353" s="204"/>
      <c r="FJ353" s="204"/>
      <c r="FK353" s="204"/>
      <c r="FL353" s="204"/>
      <c r="FM353" s="205"/>
      <c r="FN353" s="203"/>
      <c r="FO353" s="204"/>
      <c r="FP353" s="204"/>
      <c r="FQ353" s="204"/>
      <c r="FR353" s="204"/>
      <c r="FS353" s="204"/>
      <c r="FT353" s="205"/>
      <c r="FU353" s="203"/>
      <c r="FV353" s="204"/>
      <c r="FW353" s="204"/>
      <c r="FX353" s="204"/>
      <c r="FY353" s="204"/>
      <c r="FZ353" s="204"/>
      <c r="GA353" s="205"/>
      <c r="GB353" s="203"/>
      <c r="GC353" s="204"/>
      <c r="GD353" s="204"/>
      <c r="GE353" s="204"/>
      <c r="GF353" s="204"/>
      <c r="GG353" s="204"/>
      <c r="GH353" s="205"/>
      <c r="GI353" s="203"/>
      <c r="GJ353" s="204"/>
      <c r="GK353" s="204"/>
      <c r="GL353" s="204"/>
      <c r="GM353" s="204"/>
      <c r="GN353" s="204"/>
      <c r="GO353" s="205"/>
      <c r="GP353" s="203"/>
      <c r="GQ353" s="204"/>
      <c r="GR353" s="204"/>
      <c r="GS353" s="204"/>
      <c r="GT353" s="204"/>
      <c r="GU353" s="204"/>
      <c r="GV353" s="205"/>
      <c r="GW353" s="203"/>
      <c r="GX353" s="204"/>
      <c r="GY353" s="204"/>
      <c r="GZ353" s="204"/>
      <c r="HA353" s="204"/>
      <c r="HB353" s="204"/>
      <c r="HC353" s="205"/>
      <c r="HD353" s="203"/>
      <c r="HE353" s="204"/>
      <c r="HF353" s="204"/>
      <c r="HG353" s="204"/>
      <c r="HH353" s="204"/>
      <c r="HI353" s="204"/>
      <c r="HJ353" s="204"/>
      <c r="HK353" s="203"/>
      <c r="HL353" s="204"/>
      <c r="HM353" s="204"/>
      <c r="HN353" s="204"/>
      <c r="HO353" s="204"/>
      <c r="HP353" s="204"/>
      <c r="HQ353" s="204"/>
      <c r="HR353" s="203"/>
      <c r="HS353" s="204"/>
      <c r="HT353" s="204"/>
      <c r="HU353" s="204"/>
      <c r="HV353" s="204"/>
      <c r="HW353" s="204"/>
      <c r="HX353" s="204"/>
      <c r="HZ353" s="180"/>
    </row>
    <row r="354" spans="1:234">
      <c r="A354" s="185"/>
      <c r="B354" s="201"/>
      <c r="C354" s="201"/>
      <c r="D354" s="201"/>
      <c r="E354" s="201"/>
      <c r="F354" s="201"/>
      <c r="G354" s="201"/>
      <c r="H354" s="201"/>
      <c r="I354" s="215"/>
      <c r="J354" s="201"/>
      <c r="K354" s="201"/>
      <c r="L354" s="201"/>
      <c r="M354" s="201"/>
      <c r="N354" s="201"/>
      <c r="O354" s="216"/>
      <c r="P354" s="215"/>
      <c r="Q354" s="201"/>
      <c r="R354" s="201"/>
      <c r="S354" s="201"/>
      <c r="T354" s="201"/>
      <c r="U354" s="201"/>
      <c r="V354" s="216"/>
      <c r="W354" s="215"/>
      <c r="X354" s="201"/>
      <c r="Y354" s="201"/>
      <c r="Z354" s="201"/>
      <c r="AA354" s="201"/>
      <c r="AB354" s="201"/>
      <c r="AC354" s="216"/>
      <c r="AD354" s="201"/>
      <c r="AE354" s="201"/>
      <c r="AF354" s="201"/>
      <c r="AG354" s="201"/>
      <c r="AH354" s="201"/>
      <c r="AI354" s="201"/>
      <c r="AJ354" s="201"/>
      <c r="AK354" s="215"/>
      <c r="AL354" s="201"/>
      <c r="AM354" s="201"/>
      <c r="AN354" s="201"/>
      <c r="AO354" s="201"/>
      <c r="AP354" s="201"/>
      <c r="AQ354" s="216"/>
      <c r="AR354" s="201"/>
      <c r="AS354" s="201"/>
      <c r="AT354" s="201"/>
      <c r="AU354" s="201"/>
      <c r="AV354" s="201"/>
      <c r="AW354" s="201"/>
      <c r="AX354" s="201"/>
      <c r="AY354" s="215"/>
      <c r="AZ354" s="201"/>
      <c r="BA354" s="201"/>
      <c r="BB354" s="201"/>
      <c r="BC354" s="201"/>
      <c r="BD354" s="201"/>
      <c r="BE354" s="201"/>
      <c r="BF354" s="215"/>
      <c r="BG354" s="201"/>
      <c r="BH354" s="201"/>
      <c r="BI354" s="201"/>
      <c r="BJ354" s="201"/>
      <c r="BK354" s="201"/>
      <c r="BL354" s="201"/>
      <c r="BM354" s="215"/>
      <c r="BN354" s="201"/>
      <c r="BO354" s="201"/>
      <c r="BP354" s="201"/>
      <c r="BQ354" s="201"/>
      <c r="BR354" s="201"/>
      <c r="BS354" s="201"/>
      <c r="BT354" s="215"/>
      <c r="BU354" s="201"/>
      <c r="BV354" s="201"/>
      <c r="BW354" s="201"/>
      <c r="BX354" s="201"/>
      <c r="BY354" s="201"/>
      <c r="BZ354" s="201"/>
      <c r="CA354" s="215"/>
      <c r="CB354" s="201"/>
      <c r="CC354" s="201"/>
      <c r="CD354" s="201"/>
      <c r="CE354" s="201"/>
      <c r="CF354" s="201"/>
      <c r="CG354" s="201"/>
      <c r="CH354" s="215"/>
      <c r="CI354" s="201"/>
      <c r="CJ354" s="201"/>
      <c r="CK354" s="201"/>
      <c r="CL354" s="201"/>
      <c r="CM354" s="201"/>
      <c r="CN354" s="201"/>
      <c r="CO354" s="215"/>
      <c r="CP354" s="201"/>
      <c r="CQ354" s="201"/>
      <c r="CR354" s="201"/>
      <c r="CS354" s="201"/>
      <c r="CT354" s="201"/>
      <c r="CU354" s="201"/>
      <c r="CV354" s="215"/>
      <c r="CW354" s="201"/>
      <c r="CX354" s="201"/>
      <c r="CY354" s="201"/>
      <c r="CZ354" s="201"/>
      <c r="DA354" s="201"/>
      <c r="DB354" s="201"/>
      <c r="DC354" s="215"/>
      <c r="DD354" s="201"/>
      <c r="DE354" s="201"/>
      <c r="DF354" s="201"/>
      <c r="DG354" s="201"/>
      <c r="DH354" s="201"/>
      <c r="DI354" s="201"/>
      <c r="DJ354" s="215"/>
      <c r="DK354" s="201"/>
      <c r="DL354" s="201"/>
      <c r="DM354" s="201"/>
      <c r="DN354" s="201"/>
      <c r="DO354" s="201"/>
      <c r="DP354" s="201"/>
      <c r="DQ354" s="215"/>
      <c r="DR354" s="201"/>
      <c r="DS354" s="201"/>
      <c r="DT354" s="201"/>
      <c r="DU354" s="201"/>
      <c r="DV354" s="201"/>
      <c r="DW354" s="201"/>
      <c r="DX354" s="215"/>
      <c r="DY354" s="201"/>
      <c r="DZ354" s="201"/>
      <c r="EA354" s="201"/>
      <c r="EB354" s="201"/>
      <c r="EC354" s="201"/>
      <c r="ED354" s="201"/>
      <c r="EE354" s="215"/>
      <c r="EF354" s="201"/>
      <c r="EG354" s="201"/>
      <c r="EH354" s="201"/>
      <c r="EI354" s="201"/>
      <c r="EJ354" s="201"/>
      <c r="EK354" s="201"/>
      <c r="EL354" s="215"/>
      <c r="EM354" s="201"/>
      <c r="EN354" s="201"/>
      <c r="EO354" s="201"/>
      <c r="EP354" s="201"/>
      <c r="EQ354" s="201"/>
      <c r="ER354" s="201"/>
      <c r="ES354" s="215"/>
      <c r="ET354" s="201"/>
      <c r="EU354" s="201"/>
      <c r="EV354" s="201"/>
      <c r="EW354" s="201"/>
      <c r="EX354" s="201"/>
      <c r="EY354" s="201"/>
      <c r="EZ354" s="215"/>
      <c r="FA354" s="201"/>
      <c r="FB354" s="201"/>
      <c r="FC354" s="201"/>
      <c r="FD354" s="201"/>
      <c r="FE354" s="201"/>
      <c r="FF354" s="201"/>
      <c r="FG354" s="215"/>
      <c r="FH354" s="201"/>
      <c r="FI354" s="201"/>
      <c r="FJ354" s="201"/>
      <c r="FK354" s="201"/>
      <c r="FL354" s="201"/>
      <c r="FM354" s="201"/>
      <c r="FN354" s="215"/>
      <c r="FO354" s="201"/>
      <c r="FP354" s="201"/>
      <c r="FQ354" s="201"/>
      <c r="FR354" s="201"/>
      <c r="FS354" s="201"/>
      <c r="FT354" s="216"/>
      <c r="FU354" s="215"/>
      <c r="FV354" s="201"/>
      <c r="FW354" s="201"/>
      <c r="FX354" s="201"/>
      <c r="FY354" s="201"/>
      <c r="FZ354" s="201"/>
      <c r="GA354" s="216"/>
      <c r="GB354" s="215"/>
      <c r="GC354" s="201"/>
      <c r="GD354" s="201"/>
      <c r="GE354" s="201"/>
      <c r="GF354" s="201"/>
      <c r="GG354" s="201"/>
      <c r="GH354" s="216"/>
      <c r="GI354" s="215"/>
      <c r="GJ354" s="201"/>
      <c r="GK354" s="201"/>
      <c r="GL354" s="201"/>
      <c r="GM354" s="201"/>
      <c r="GN354" s="201"/>
      <c r="GO354" s="216"/>
      <c r="GP354" s="215"/>
      <c r="GQ354" s="201"/>
      <c r="GR354" s="201"/>
      <c r="GS354" s="201"/>
      <c r="GT354" s="201"/>
      <c r="GU354" s="201"/>
      <c r="GV354" s="216"/>
      <c r="GW354" s="201"/>
      <c r="GX354" s="201"/>
      <c r="GY354" s="201"/>
      <c r="GZ354" s="201"/>
      <c r="HA354" s="201"/>
      <c r="HB354" s="201"/>
      <c r="HC354" s="201"/>
      <c r="HD354" s="215"/>
      <c r="HE354" s="201"/>
      <c r="HF354" s="201"/>
      <c r="HG354" s="201"/>
      <c r="HH354" s="201"/>
      <c r="HI354" s="201"/>
      <c r="HJ354" s="201"/>
      <c r="HK354" s="201"/>
      <c r="HL354" s="201"/>
      <c r="HM354" s="201"/>
      <c r="HN354" s="201"/>
      <c r="HO354" s="201"/>
      <c r="HP354" s="201"/>
      <c r="HQ354" s="201"/>
      <c r="HR354" s="215"/>
      <c r="HS354" s="201"/>
      <c r="HT354" s="201"/>
      <c r="HU354" s="201"/>
      <c r="HV354" s="201"/>
      <c r="HW354" s="201"/>
    </row>
    <row r="355" spans="1:234">
      <c r="A355" s="185"/>
      <c r="B355" s="201"/>
      <c r="C355" s="201"/>
      <c r="D355" s="201"/>
      <c r="E355" s="201"/>
      <c r="F355" s="201"/>
      <c r="G355" s="201"/>
      <c r="H355" s="201"/>
      <c r="I355" s="215"/>
      <c r="J355" s="201"/>
      <c r="K355" s="201"/>
      <c r="L355" s="201"/>
      <c r="M355" s="201"/>
      <c r="N355" s="201"/>
      <c r="O355" s="216"/>
      <c r="P355" s="215"/>
      <c r="Q355" s="201"/>
      <c r="R355" s="201"/>
      <c r="S355" s="201"/>
      <c r="T355" s="201"/>
      <c r="U355" s="201"/>
      <c r="V355" s="216"/>
      <c r="W355" s="215"/>
      <c r="X355" s="201"/>
      <c r="Y355" s="201"/>
      <c r="Z355" s="201"/>
      <c r="AA355" s="201"/>
      <c r="AB355" s="201"/>
      <c r="AC355" s="216"/>
      <c r="AD355" s="201"/>
      <c r="AE355" s="201"/>
      <c r="AF355" s="201"/>
      <c r="AG355" s="201"/>
      <c r="AH355" s="201"/>
      <c r="AI355" s="201"/>
      <c r="AJ355" s="201"/>
      <c r="AK355" s="215"/>
      <c r="AL355" s="201"/>
      <c r="AM355" s="201"/>
      <c r="AN355" s="201"/>
      <c r="AO355" s="201"/>
      <c r="AP355" s="201"/>
      <c r="AQ355" s="216"/>
      <c r="AR355" s="201"/>
      <c r="AS355" s="201"/>
      <c r="AT355" s="201"/>
      <c r="AU355" s="201"/>
      <c r="AV355" s="201"/>
      <c r="AW355" s="201"/>
      <c r="AX355" s="201"/>
      <c r="AY355" s="215"/>
      <c r="AZ355" s="201"/>
      <c r="BA355" s="201"/>
      <c r="BB355" s="201"/>
      <c r="BC355" s="201"/>
      <c r="BD355" s="201"/>
      <c r="BE355" s="201"/>
      <c r="BF355" s="215"/>
      <c r="BG355" s="201"/>
      <c r="BH355" s="201"/>
      <c r="BI355" s="201"/>
      <c r="BJ355" s="201"/>
      <c r="BK355" s="201"/>
      <c r="BL355" s="201"/>
      <c r="BM355" s="215"/>
      <c r="BN355" s="201"/>
      <c r="BO355" s="201"/>
      <c r="BP355" s="201"/>
      <c r="BQ355" s="201"/>
      <c r="BR355" s="201"/>
      <c r="BS355" s="201"/>
      <c r="BT355" s="215"/>
      <c r="BU355" s="201"/>
      <c r="BV355" s="201"/>
      <c r="BW355" s="201"/>
      <c r="BX355" s="201"/>
      <c r="BY355" s="201"/>
      <c r="BZ355" s="201"/>
      <c r="CA355" s="215"/>
      <c r="CB355" s="201"/>
      <c r="CC355" s="201"/>
      <c r="CD355" s="201"/>
      <c r="CE355" s="201"/>
      <c r="CF355" s="201"/>
      <c r="CG355" s="201"/>
      <c r="CH355" s="215"/>
      <c r="CI355" s="201"/>
      <c r="CJ355" s="201"/>
      <c r="CK355" s="201"/>
      <c r="CL355" s="201"/>
      <c r="CM355" s="201"/>
      <c r="CN355" s="201"/>
      <c r="CO355" s="215"/>
      <c r="CP355" s="201"/>
      <c r="CQ355" s="201"/>
      <c r="CR355" s="201"/>
      <c r="CS355" s="201"/>
      <c r="CT355" s="201"/>
      <c r="CU355" s="201"/>
      <c r="CV355" s="215"/>
      <c r="CW355" s="201"/>
      <c r="CX355" s="201"/>
      <c r="CY355" s="201"/>
      <c r="CZ355" s="201"/>
      <c r="DA355" s="201"/>
      <c r="DB355" s="201"/>
      <c r="DC355" s="215"/>
      <c r="DD355" s="201"/>
      <c r="DE355" s="201"/>
      <c r="DF355" s="201"/>
      <c r="DG355" s="201"/>
      <c r="DH355" s="201"/>
      <c r="DI355" s="201"/>
      <c r="DJ355" s="215"/>
      <c r="DK355" s="201"/>
      <c r="DL355" s="201"/>
      <c r="DM355" s="201"/>
      <c r="DN355" s="201"/>
      <c r="DO355" s="201"/>
      <c r="DP355" s="201"/>
      <c r="DQ355" s="215"/>
      <c r="DR355" s="201"/>
      <c r="DS355" s="201"/>
      <c r="DT355" s="201"/>
      <c r="DU355" s="201"/>
      <c r="DV355" s="201"/>
      <c r="DW355" s="201"/>
      <c r="DX355" s="215"/>
      <c r="DY355" s="201"/>
      <c r="DZ355" s="201"/>
      <c r="EA355" s="201"/>
      <c r="EB355" s="201"/>
      <c r="EC355" s="201"/>
      <c r="ED355" s="201"/>
      <c r="EE355" s="215"/>
      <c r="EF355" s="201"/>
      <c r="EG355" s="201"/>
      <c r="EH355" s="201"/>
      <c r="EI355" s="201"/>
      <c r="EJ355" s="201"/>
      <c r="EK355" s="201"/>
      <c r="EL355" s="215"/>
      <c r="EM355" s="201"/>
      <c r="EN355" s="201"/>
      <c r="EO355" s="201"/>
      <c r="EP355" s="201"/>
      <c r="EQ355" s="201"/>
      <c r="ER355" s="201"/>
      <c r="ES355" s="215"/>
      <c r="ET355" s="201"/>
      <c r="EU355" s="201"/>
      <c r="EV355" s="201"/>
      <c r="EW355" s="201"/>
      <c r="EX355" s="201"/>
      <c r="EY355" s="201"/>
      <c r="EZ355" s="215"/>
      <c r="FA355" s="201"/>
      <c r="FB355" s="201"/>
      <c r="FC355" s="201"/>
      <c r="FD355" s="201"/>
      <c r="FE355" s="201"/>
      <c r="FF355" s="201"/>
      <c r="FG355" s="215"/>
      <c r="FH355" s="201"/>
      <c r="FI355" s="201"/>
      <c r="FJ355" s="201"/>
      <c r="FK355" s="201"/>
      <c r="FL355" s="201"/>
      <c r="FM355" s="201"/>
      <c r="FN355" s="215"/>
      <c r="FO355" s="201"/>
      <c r="FP355" s="201"/>
      <c r="FQ355" s="201"/>
      <c r="FR355" s="201"/>
      <c r="FS355" s="201"/>
      <c r="FT355" s="216"/>
      <c r="FU355" s="215"/>
      <c r="FV355" s="201"/>
      <c r="FW355" s="201"/>
      <c r="FX355" s="201"/>
      <c r="FY355" s="201"/>
      <c r="FZ355" s="201"/>
      <c r="GA355" s="216"/>
      <c r="GB355" s="215"/>
      <c r="GC355" s="201"/>
      <c r="GD355" s="201"/>
      <c r="GE355" s="201"/>
      <c r="GF355" s="201"/>
      <c r="GG355" s="201"/>
      <c r="GH355" s="216"/>
      <c r="GI355" s="215"/>
      <c r="GJ355" s="201"/>
      <c r="GK355" s="201"/>
      <c r="GL355" s="201"/>
      <c r="GM355" s="201"/>
      <c r="GN355" s="201"/>
      <c r="GO355" s="216"/>
      <c r="GP355" s="215"/>
      <c r="GQ355" s="201"/>
      <c r="GR355" s="201"/>
      <c r="GS355" s="201"/>
      <c r="GT355" s="201"/>
      <c r="GU355" s="201"/>
      <c r="GV355" s="216"/>
      <c r="GW355" s="201"/>
      <c r="GX355" s="201"/>
      <c r="GY355" s="201"/>
      <c r="GZ355" s="201"/>
      <c r="HA355" s="201"/>
      <c r="HB355" s="201"/>
      <c r="HC355" s="201"/>
      <c r="HD355" s="215"/>
      <c r="HE355" s="201"/>
      <c r="HF355" s="201"/>
      <c r="HG355" s="201"/>
      <c r="HH355" s="201"/>
      <c r="HI355" s="201"/>
      <c r="HJ355" s="201"/>
      <c r="HK355" s="201"/>
      <c r="HL355" s="201"/>
      <c r="HM355" s="201"/>
      <c r="HN355" s="201"/>
      <c r="HO355" s="201"/>
      <c r="HP355" s="201"/>
      <c r="HQ355" s="201"/>
      <c r="HR355" s="215"/>
      <c r="HS355" s="201"/>
      <c r="HT355" s="201"/>
      <c r="HU355" s="201"/>
      <c r="HV355" s="201"/>
      <c r="HW355" s="201"/>
    </row>
    <row r="356" spans="1:234">
      <c r="A356" s="185"/>
      <c r="B356" s="201"/>
      <c r="C356" s="201"/>
      <c r="D356" s="201"/>
      <c r="E356" s="201"/>
      <c r="F356" s="201"/>
      <c r="G356" s="201"/>
      <c r="H356" s="201"/>
      <c r="I356" s="215"/>
      <c r="J356" s="201"/>
      <c r="K356" s="201"/>
      <c r="L356" s="201"/>
      <c r="M356" s="201"/>
      <c r="N356" s="201"/>
      <c r="O356" s="216"/>
      <c r="P356" s="215"/>
      <c r="Q356" s="201"/>
      <c r="R356" s="201"/>
      <c r="S356" s="201"/>
      <c r="T356" s="201"/>
      <c r="U356" s="201"/>
      <c r="V356" s="216"/>
      <c r="W356" s="215"/>
      <c r="X356" s="201"/>
      <c r="Y356" s="201"/>
      <c r="Z356" s="201"/>
      <c r="AA356" s="201"/>
      <c r="AB356" s="201"/>
      <c r="AC356" s="216"/>
      <c r="AD356" s="201"/>
      <c r="AE356" s="201"/>
      <c r="AF356" s="201"/>
      <c r="AG356" s="201"/>
      <c r="AH356" s="201"/>
      <c r="AI356" s="201"/>
      <c r="AJ356" s="201"/>
      <c r="AK356" s="215"/>
      <c r="AL356" s="201"/>
      <c r="AM356" s="201"/>
      <c r="AN356" s="201"/>
      <c r="AO356" s="201"/>
      <c r="AP356" s="201"/>
      <c r="AQ356" s="216"/>
      <c r="AR356" s="201"/>
      <c r="AS356" s="201"/>
      <c r="AT356" s="201"/>
      <c r="AU356" s="201"/>
      <c r="AV356" s="201"/>
      <c r="AW356" s="201"/>
      <c r="AX356" s="201"/>
      <c r="AY356" s="215"/>
      <c r="AZ356" s="201"/>
      <c r="BA356" s="201"/>
      <c r="BB356" s="201"/>
      <c r="BC356" s="201"/>
      <c r="BD356" s="201"/>
      <c r="BE356" s="201"/>
      <c r="BF356" s="215"/>
      <c r="BG356" s="201"/>
      <c r="BH356" s="201"/>
      <c r="BI356" s="201"/>
      <c r="BJ356" s="201"/>
      <c r="BK356" s="201"/>
      <c r="BL356" s="201"/>
      <c r="BM356" s="215"/>
      <c r="BN356" s="201"/>
      <c r="BO356" s="201"/>
      <c r="BP356" s="201"/>
      <c r="BQ356" s="201"/>
      <c r="BR356" s="201"/>
      <c r="BS356" s="201"/>
      <c r="BT356" s="215"/>
      <c r="BU356" s="201"/>
      <c r="BV356" s="201"/>
      <c r="BW356" s="201"/>
      <c r="BX356" s="201"/>
      <c r="BY356" s="201"/>
      <c r="BZ356" s="201"/>
      <c r="CA356" s="215"/>
      <c r="CB356" s="201"/>
      <c r="CC356" s="201"/>
      <c r="CD356" s="201"/>
      <c r="CE356" s="201"/>
      <c r="CF356" s="201"/>
      <c r="CG356" s="201"/>
      <c r="CH356" s="215"/>
      <c r="CI356" s="201"/>
      <c r="CJ356" s="201"/>
      <c r="CK356" s="201"/>
      <c r="CL356" s="201"/>
      <c r="CM356" s="201"/>
      <c r="CN356" s="201"/>
      <c r="CO356" s="215"/>
      <c r="CP356" s="201"/>
      <c r="CQ356" s="201"/>
      <c r="CR356" s="201"/>
      <c r="CS356" s="201"/>
      <c r="CT356" s="201"/>
      <c r="CU356" s="201"/>
      <c r="CV356" s="215"/>
      <c r="CW356" s="201"/>
      <c r="CX356" s="201"/>
      <c r="CY356" s="201"/>
      <c r="CZ356" s="201"/>
      <c r="DA356" s="201"/>
      <c r="DB356" s="201"/>
      <c r="DC356" s="215"/>
      <c r="DD356" s="201"/>
      <c r="DE356" s="201"/>
      <c r="DF356" s="201"/>
      <c r="DG356" s="201"/>
      <c r="DH356" s="201"/>
      <c r="DI356" s="201"/>
      <c r="DJ356" s="215"/>
      <c r="DK356" s="201"/>
      <c r="DL356" s="201"/>
      <c r="DM356" s="201"/>
      <c r="DN356" s="201"/>
      <c r="DO356" s="201"/>
      <c r="DP356" s="201"/>
      <c r="DQ356" s="215"/>
      <c r="DR356" s="201"/>
      <c r="DS356" s="201"/>
      <c r="DT356" s="201"/>
      <c r="DU356" s="201"/>
      <c r="DV356" s="201"/>
      <c r="DW356" s="201"/>
      <c r="DX356" s="215"/>
      <c r="DY356" s="201"/>
      <c r="DZ356" s="201"/>
      <c r="EA356" s="201"/>
      <c r="EB356" s="201"/>
      <c r="EC356" s="201"/>
      <c r="ED356" s="201"/>
      <c r="EE356" s="215"/>
      <c r="EF356" s="201"/>
      <c r="EG356" s="201"/>
      <c r="EH356" s="201"/>
      <c r="EI356" s="201"/>
      <c r="EJ356" s="201"/>
      <c r="EK356" s="201"/>
      <c r="EL356" s="215"/>
      <c r="EM356" s="201"/>
      <c r="EN356" s="201"/>
      <c r="EO356" s="201"/>
      <c r="EP356" s="201"/>
      <c r="EQ356" s="201"/>
      <c r="ER356" s="201"/>
      <c r="ES356" s="215"/>
      <c r="ET356" s="201"/>
      <c r="EU356" s="201"/>
      <c r="EV356" s="201"/>
      <c r="EW356" s="201"/>
      <c r="EX356" s="201"/>
      <c r="EY356" s="201"/>
      <c r="EZ356" s="215"/>
      <c r="FA356" s="201"/>
      <c r="FB356" s="201"/>
      <c r="FC356" s="201"/>
      <c r="FD356" s="201"/>
      <c r="FE356" s="201"/>
      <c r="FF356" s="201"/>
      <c r="FG356" s="215"/>
      <c r="FH356" s="201"/>
      <c r="FI356" s="201"/>
      <c r="FJ356" s="201"/>
      <c r="FK356" s="201"/>
      <c r="FL356" s="201"/>
      <c r="FM356" s="201"/>
      <c r="FN356" s="215"/>
      <c r="FO356" s="201"/>
      <c r="FP356" s="201"/>
      <c r="FQ356" s="201"/>
      <c r="FR356" s="201"/>
      <c r="FS356" s="201"/>
      <c r="FT356" s="216"/>
      <c r="FU356" s="215"/>
      <c r="FV356" s="201"/>
      <c r="FW356" s="201"/>
      <c r="FX356" s="201"/>
      <c r="FY356" s="201"/>
      <c r="FZ356" s="201"/>
      <c r="GA356" s="216"/>
      <c r="GB356" s="215"/>
      <c r="GC356" s="201"/>
      <c r="GD356" s="201"/>
      <c r="GE356" s="201"/>
      <c r="GF356" s="201"/>
      <c r="GG356" s="201"/>
      <c r="GH356" s="216"/>
      <c r="GI356" s="215"/>
      <c r="GJ356" s="201"/>
      <c r="GK356" s="201"/>
      <c r="GL356" s="201"/>
      <c r="GM356" s="201"/>
      <c r="GN356" s="201"/>
      <c r="GO356" s="216"/>
      <c r="GP356" s="215"/>
      <c r="GQ356" s="201"/>
      <c r="GR356" s="201"/>
      <c r="GS356" s="201"/>
      <c r="GT356" s="201"/>
      <c r="GU356" s="201"/>
      <c r="GV356" s="216"/>
      <c r="GW356" s="201"/>
      <c r="GX356" s="201"/>
      <c r="GY356" s="201"/>
      <c r="GZ356" s="201"/>
      <c r="HA356" s="201"/>
      <c r="HB356" s="201"/>
      <c r="HC356" s="201"/>
      <c r="HD356" s="215"/>
      <c r="HE356" s="201"/>
      <c r="HF356" s="201"/>
      <c r="HG356" s="201"/>
      <c r="HH356" s="201"/>
      <c r="HI356" s="201"/>
      <c r="HJ356" s="201"/>
      <c r="HK356" s="201"/>
      <c r="HL356" s="201"/>
      <c r="HM356" s="201"/>
      <c r="HN356" s="201"/>
      <c r="HO356" s="201"/>
      <c r="HP356" s="201"/>
      <c r="HQ356" s="201"/>
      <c r="HR356" s="215"/>
      <c r="HS356" s="201"/>
      <c r="HT356" s="201"/>
      <c r="HU356" s="201"/>
      <c r="HV356" s="201"/>
      <c r="HW356" s="201"/>
    </row>
    <row r="357" spans="1:234">
      <c r="A357" s="185"/>
      <c r="B357" s="201"/>
      <c r="C357" s="201"/>
      <c r="D357" s="201"/>
      <c r="E357" s="201"/>
      <c r="F357" s="201"/>
      <c r="G357" s="201"/>
      <c r="H357" s="201"/>
      <c r="I357" s="215"/>
      <c r="J357" s="201"/>
      <c r="K357" s="201"/>
      <c r="L357" s="201"/>
      <c r="M357" s="201"/>
      <c r="N357" s="201"/>
      <c r="O357" s="216"/>
      <c r="P357" s="215"/>
      <c r="Q357" s="201"/>
      <c r="R357" s="201"/>
      <c r="S357" s="201"/>
      <c r="T357" s="201"/>
      <c r="U357" s="201"/>
      <c r="V357" s="216"/>
      <c r="W357" s="215"/>
      <c r="X357" s="201"/>
      <c r="Y357" s="201"/>
      <c r="Z357" s="201"/>
      <c r="AA357" s="201"/>
      <c r="AB357" s="201"/>
      <c r="AC357" s="216"/>
      <c r="AD357" s="201"/>
      <c r="AE357" s="201"/>
      <c r="AF357" s="201"/>
      <c r="AG357" s="201"/>
      <c r="AH357" s="201"/>
      <c r="AI357" s="201"/>
      <c r="AJ357" s="201"/>
      <c r="AK357" s="215"/>
      <c r="AL357" s="201"/>
      <c r="AM357" s="201"/>
      <c r="AN357" s="201"/>
      <c r="AO357" s="201"/>
      <c r="AP357" s="201"/>
      <c r="AQ357" s="216"/>
      <c r="AR357" s="201"/>
      <c r="AS357" s="201"/>
      <c r="AT357" s="201"/>
      <c r="AU357" s="201"/>
      <c r="AV357" s="201"/>
      <c r="AW357" s="201"/>
      <c r="AX357" s="201"/>
      <c r="AY357" s="215"/>
      <c r="AZ357" s="201"/>
      <c r="BA357" s="201"/>
      <c r="BB357" s="201"/>
      <c r="BC357" s="201"/>
      <c r="BD357" s="201"/>
      <c r="BE357" s="201"/>
      <c r="BF357" s="215"/>
      <c r="BG357" s="201"/>
      <c r="BH357" s="201"/>
      <c r="BI357" s="201"/>
      <c r="BJ357" s="201"/>
      <c r="BK357" s="201"/>
      <c r="BL357" s="201"/>
      <c r="BM357" s="215"/>
      <c r="BN357" s="201"/>
      <c r="BO357" s="201"/>
      <c r="BP357" s="201"/>
      <c r="BQ357" s="201"/>
      <c r="BR357" s="201"/>
      <c r="BS357" s="201"/>
      <c r="BT357" s="215"/>
      <c r="BU357" s="201"/>
      <c r="BV357" s="201"/>
      <c r="BW357" s="201"/>
      <c r="BX357" s="201"/>
      <c r="BY357" s="201"/>
      <c r="BZ357" s="201"/>
      <c r="CA357" s="215"/>
      <c r="CB357" s="201"/>
      <c r="CC357" s="201"/>
      <c r="CD357" s="201"/>
      <c r="CE357" s="201"/>
      <c r="CF357" s="201"/>
      <c r="CG357" s="201"/>
      <c r="CH357" s="215"/>
      <c r="CI357" s="201"/>
      <c r="CJ357" s="201"/>
      <c r="CK357" s="201"/>
      <c r="CL357" s="201"/>
      <c r="CM357" s="201"/>
      <c r="CN357" s="201"/>
      <c r="CO357" s="215"/>
      <c r="CP357" s="201"/>
      <c r="CQ357" s="201"/>
      <c r="CR357" s="201"/>
      <c r="CS357" s="201"/>
      <c r="CT357" s="201"/>
      <c r="CU357" s="201"/>
      <c r="CV357" s="215"/>
      <c r="CW357" s="201"/>
      <c r="CX357" s="201"/>
      <c r="CY357" s="201"/>
      <c r="CZ357" s="201"/>
      <c r="DA357" s="201"/>
      <c r="DB357" s="201"/>
      <c r="DC357" s="215"/>
      <c r="DD357" s="201"/>
      <c r="DE357" s="201"/>
      <c r="DF357" s="201"/>
      <c r="DG357" s="201"/>
      <c r="DH357" s="201"/>
      <c r="DI357" s="201"/>
      <c r="DJ357" s="215"/>
      <c r="DK357" s="201"/>
      <c r="DL357" s="201"/>
      <c r="DM357" s="201"/>
      <c r="DN357" s="201"/>
      <c r="DO357" s="201"/>
      <c r="DP357" s="201"/>
      <c r="DQ357" s="215"/>
      <c r="DR357" s="201"/>
      <c r="DS357" s="201"/>
      <c r="DT357" s="201"/>
      <c r="DU357" s="201"/>
      <c r="DV357" s="201"/>
      <c r="DW357" s="201"/>
      <c r="DX357" s="215"/>
      <c r="DY357" s="201"/>
      <c r="DZ357" s="201"/>
      <c r="EA357" s="201"/>
      <c r="EB357" s="201"/>
      <c r="EC357" s="201"/>
      <c r="ED357" s="201"/>
      <c r="EE357" s="215"/>
      <c r="EF357" s="201"/>
      <c r="EG357" s="201"/>
      <c r="EH357" s="201"/>
      <c r="EI357" s="201"/>
      <c r="EJ357" s="201"/>
      <c r="EK357" s="201"/>
      <c r="EL357" s="215"/>
      <c r="EM357" s="201"/>
      <c r="EN357" s="201"/>
      <c r="EO357" s="201"/>
      <c r="EP357" s="201"/>
      <c r="EQ357" s="201"/>
      <c r="ER357" s="201"/>
      <c r="ES357" s="215"/>
      <c r="ET357" s="201"/>
      <c r="EU357" s="201"/>
      <c r="EV357" s="201"/>
      <c r="EW357" s="201"/>
      <c r="EX357" s="201"/>
      <c r="EY357" s="201"/>
      <c r="EZ357" s="215"/>
      <c r="FA357" s="201"/>
      <c r="FB357" s="201"/>
      <c r="FC357" s="201"/>
      <c r="FD357" s="201"/>
      <c r="FE357" s="201"/>
      <c r="FF357" s="201"/>
      <c r="FG357" s="215"/>
      <c r="FH357" s="201"/>
      <c r="FI357" s="201"/>
      <c r="FJ357" s="201"/>
      <c r="FK357" s="201"/>
      <c r="FL357" s="201"/>
      <c r="FM357" s="201"/>
      <c r="FN357" s="215"/>
      <c r="FO357" s="201"/>
      <c r="FP357" s="201"/>
      <c r="FQ357" s="201"/>
      <c r="FR357" s="201"/>
      <c r="FS357" s="201"/>
      <c r="FT357" s="216"/>
      <c r="FU357" s="215"/>
      <c r="FV357" s="201"/>
      <c r="FW357" s="201"/>
      <c r="FX357" s="201"/>
      <c r="FY357" s="201"/>
      <c r="FZ357" s="201"/>
      <c r="GA357" s="216"/>
      <c r="GB357" s="215"/>
      <c r="GC357" s="201"/>
      <c r="GD357" s="201"/>
      <c r="GE357" s="201"/>
      <c r="GF357" s="201"/>
      <c r="GG357" s="201"/>
      <c r="GH357" s="216"/>
      <c r="GI357" s="215"/>
      <c r="GJ357" s="201"/>
      <c r="GK357" s="201"/>
      <c r="GL357" s="201"/>
      <c r="GM357" s="201"/>
      <c r="GN357" s="201"/>
      <c r="GO357" s="216"/>
      <c r="GP357" s="215"/>
      <c r="GQ357" s="201"/>
      <c r="GR357" s="201"/>
      <c r="GS357" s="201"/>
      <c r="GT357" s="201"/>
      <c r="GU357" s="201"/>
      <c r="GV357" s="216"/>
      <c r="GW357" s="201"/>
      <c r="GX357" s="201"/>
      <c r="GY357" s="201"/>
      <c r="GZ357" s="201"/>
      <c r="HA357" s="201"/>
      <c r="HB357" s="201"/>
      <c r="HC357" s="201"/>
      <c r="HD357" s="215"/>
      <c r="HE357" s="201"/>
      <c r="HF357" s="201"/>
      <c r="HG357" s="201"/>
      <c r="HH357" s="201"/>
      <c r="HI357" s="201"/>
      <c r="HJ357" s="201"/>
      <c r="HK357" s="201"/>
      <c r="HL357" s="201"/>
      <c r="HM357" s="201"/>
      <c r="HN357" s="201"/>
      <c r="HO357" s="201"/>
      <c r="HP357" s="201"/>
      <c r="HQ357" s="201"/>
      <c r="HR357" s="215"/>
      <c r="HS357" s="201"/>
      <c r="HT357" s="201"/>
      <c r="HU357" s="201"/>
      <c r="HV357" s="201"/>
      <c r="HW357" s="201"/>
    </row>
    <row r="358" spans="1:234">
      <c r="A358" s="185"/>
      <c r="B358" s="201"/>
      <c r="C358" s="201"/>
      <c r="D358" s="201"/>
      <c r="E358" s="201"/>
      <c r="F358" s="201"/>
      <c r="G358" s="201"/>
      <c r="H358" s="201"/>
      <c r="I358" s="215"/>
      <c r="J358" s="201"/>
      <c r="K358" s="201"/>
      <c r="L358" s="201"/>
      <c r="M358" s="201"/>
      <c r="N358" s="201"/>
      <c r="O358" s="216"/>
      <c r="P358" s="215"/>
      <c r="Q358" s="201"/>
      <c r="R358" s="201"/>
      <c r="S358" s="201"/>
      <c r="T358" s="201"/>
      <c r="U358" s="201"/>
      <c r="V358" s="216"/>
      <c r="W358" s="215"/>
      <c r="X358" s="201"/>
      <c r="Y358" s="201"/>
      <c r="Z358" s="201"/>
      <c r="AA358" s="201"/>
      <c r="AB358" s="201"/>
      <c r="AC358" s="216"/>
      <c r="AD358" s="201"/>
      <c r="AE358" s="201"/>
      <c r="AF358" s="201"/>
      <c r="AG358" s="201"/>
      <c r="AH358" s="201"/>
      <c r="AI358" s="201"/>
      <c r="AJ358" s="201"/>
      <c r="AK358" s="215"/>
      <c r="AL358" s="201"/>
      <c r="AM358" s="201"/>
      <c r="AN358" s="201"/>
      <c r="AO358" s="201"/>
      <c r="AP358" s="201"/>
      <c r="AQ358" s="216"/>
      <c r="AR358" s="201"/>
      <c r="AS358" s="201"/>
      <c r="AT358" s="201"/>
      <c r="AU358" s="201"/>
      <c r="AV358" s="201"/>
      <c r="AW358" s="201"/>
      <c r="AX358" s="201"/>
      <c r="AY358" s="215"/>
      <c r="AZ358" s="201"/>
      <c r="BA358" s="201"/>
      <c r="BB358" s="201"/>
      <c r="BC358" s="201"/>
      <c r="BD358" s="201"/>
      <c r="BE358" s="201"/>
      <c r="BF358" s="215"/>
      <c r="BG358" s="201"/>
      <c r="BH358" s="201"/>
      <c r="BI358" s="201"/>
      <c r="BJ358" s="201"/>
      <c r="BK358" s="201"/>
      <c r="BL358" s="201"/>
      <c r="BM358" s="215"/>
      <c r="BN358" s="201"/>
      <c r="BO358" s="201"/>
      <c r="BP358" s="201"/>
      <c r="BQ358" s="201"/>
      <c r="BR358" s="201"/>
      <c r="BS358" s="201"/>
      <c r="BT358" s="215"/>
      <c r="BU358" s="201"/>
      <c r="BV358" s="201"/>
      <c r="BW358" s="201"/>
      <c r="BX358" s="201"/>
      <c r="BY358" s="201"/>
      <c r="BZ358" s="201"/>
      <c r="CA358" s="215"/>
      <c r="CB358" s="201"/>
      <c r="CC358" s="201"/>
      <c r="CD358" s="201"/>
      <c r="CE358" s="201"/>
      <c r="CF358" s="201"/>
      <c r="CG358" s="201"/>
      <c r="CH358" s="215"/>
      <c r="CI358" s="201"/>
      <c r="CJ358" s="201"/>
      <c r="CK358" s="201"/>
      <c r="CL358" s="201"/>
      <c r="CM358" s="201"/>
      <c r="CN358" s="201"/>
      <c r="CO358" s="215"/>
      <c r="CP358" s="201"/>
      <c r="CQ358" s="201"/>
      <c r="CR358" s="201"/>
      <c r="CS358" s="201"/>
      <c r="CT358" s="201"/>
      <c r="CU358" s="201"/>
      <c r="CV358" s="215"/>
      <c r="CW358" s="201"/>
      <c r="CX358" s="201"/>
      <c r="CY358" s="201"/>
      <c r="CZ358" s="201"/>
      <c r="DA358" s="201"/>
      <c r="DB358" s="201"/>
      <c r="DC358" s="215"/>
      <c r="DD358" s="201"/>
      <c r="DE358" s="201"/>
      <c r="DF358" s="201"/>
      <c r="DG358" s="201"/>
      <c r="DH358" s="201"/>
      <c r="DI358" s="201"/>
      <c r="DJ358" s="215"/>
      <c r="DK358" s="201"/>
      <c r="DL358" s="201"/>
      <c r="DM358" s="201"/>
      <c r="DN358" s="201"/>
      <c r="DO358" s="201"/>
      <c r="DP358" s="201"/>
      <c r="DQ358" s="215"/>
      <c r="DR358" s="201"/>
      <c r="DS358" s="201"/>
      <c r="DT358" s="201"/>
      <c r="DU358" s="201"/>
      <c r="DV358" s="201"/>
      <c r="DW358" s="201"/>
      <c r="DX358" s="215"/>
      <c r="DY358" s="201"/>
      <c r="DZ358" s="201"/>
      <c r="EA358" s="201"/>
      <c r="EB358" s="201"/>
      <c r="EC358" s="201"/>
      <c r="ED358" s="201"/>
      <c r="EE358" s="215"/>
      <c r="EF358" s="201"/>
      <c r="EG358" s="201"/>
      <c r="EH358" s="201"/>
      <c r="EI358" s="201"/>
      <c r="EJ358" s="201"/>
      <c r="EK358" s="201"/>
      <c r="EL358" s="215"/>
      <c r="EM358" s="201"/>
      <c r="EN358" s="201"/>
      <c r="EO358" s="201"/>
      <c r="EP358" s="201"/>
      <c r="EQ358" s="201"/>
      <c r="ER358" s="201"/>
      <c r="ES358" s="215"/>
      <c r="ET358" s="201"/>
      <c r="EU358" s="201"/>
      <c r="EV358" s="201"/>
      <c r="EW358" s="201"/>
      <c r="EX358" s="201"/>
      <c r="EY358" s="201"/>
      <c r="EZ358" s="215"/>
      <c r="FA358" s="201"/>
      <c r="FB358" s="201"/>
      <c r="FC358" s="201"/>
      <c r="FD358" s="201"/>
      <c r="FE358" s="201"/>
      <c r="FF358" s="201"/>
      <c r="FG358" s="215"/>
      <c r="FH358" s="201"/>
      <c r="FI358" s="201"/>
      <c r="FJ358" s="201"/>
      <c r="FK358" s="201"/>
      <c r="FL358" s="201"/>
      <c r="FM358" s="201"/>
      <c r="FN358" s="215"/>
      <c r="FO358" s="201"/>
      <c r="FP358" s="201"/>
      <c r="FQ358" s="201"/>
      <c r="FR358" s="201"/>
      <c r="FS358" s="201"/>
      <c r="FT358" s="216"/>
      <c r="FU358" s="215"/>
      <c r="FV358" s="201"/>
      <c r="FW358" s="201"/>
      <c r="FX358" s="201"/>
      <c r="FY358" s="201"/>
      <c r="FZ358" s="201"/>
      <c r="GA358" s="216"/>
      <c r="GB358" s="215"/>
      <c r="GC358" s="201"/>
      <c r="GD358" s="201"/>
      <c r="GE358" s="201"/>
      <c r="GF358" s="201"/>
      <c r="GG358" s="201"/>
      <c r="GH358" s="216"/>
      <c r="GI358" s="215"/>
      <c r="GJ358" s="201"/>
      <c r="GK358" s="201"/>
      <c r="GL358" s="201"/>
      <c r="GM358" s="201"/>
      <c r="GN358" s="201"/>
      <c r="GO358" s="216"/>
      <c r="GP358" s="215"/>
      <c r="GQ358" s="201"/>
      <c r="GR358" s="201"/>
      <c r="GS358" s="201"/>
      <c r="GT358" s="201"/>
      <c r="GU358" s="201"/>
      <c r="GV358" s="216"/>
      <c r="GW358" s="201"/>
      <c r="GX358" s="201"/>
      <c r="GY358" s="201"/>
      <c r="GZ358" s="201"/>
      <c r="HA358" s="201"/>
      <c r="HB358" s="201"/>
      <c r="HC358" s="201"/>
      <c r="HD358" s="215"/>
      <c r="HE358" s="201"/>
      <c r="HF358" s="201"/>
      <c r="HG358" s="201"/>
      <c r="HH358" s="201"/>
      <c r="HI358" s="201"/>
      <c r="HJ358" s="201"/>
      <c r="HK358" s="201"/>
      <c r="HL358" s="201"/>
      <c r="HM358" s="201"/>
      <c r="HN358" s="201"/>
      <c r="HO358" s="201"/>
      <c r="HP358" s="201"/>
      <c r="HQ358" s="201"/>
      <c r="HR358" s="215"/>
      <c r="HS358" s="201"/>
      <c r="HT358" s="201"/>
      <c r="HU358" s="201"/>
      <c r="HV358" s="201"/>
      <c r="HW358" s="201"/>
    </row>
  </sheetData>
  <mergeCells count="33">
    <mergeCell ref="CA4:CG4"/>
    <mergeCell ref="B4:H4"/>
    <mergeCell ref="I4:O4"/>
    <mergeCell ref="P4:V4"/>
    <mergeCell ref="W4:AC4"/>
    <mergeCell ref="AD4:AJ4"/>
    <mergeCell ref="AK4:AQ4"/>
    <mergeCell ref="AR4:AX4"/>
    <mergeCell ref="AY4:BE4"/>
    <mergeCell ref="BF4:BL4"/>
    <mergeCell ref="BM4:BS4"/>
    <mergeCell ref="BT4:BZ4"/>
    <mergeCell ref="FG4:FM4"/>
    <mergeCell ref="CH4:CN4"/>
    <mergeCell ref="CO4:CU4"/>
    <mergeCell ref="CV4:DB4"/>
    <mergeCell ref="DC4:DI4"/>
    <mergeCell ref="DJ4:DP4"/>
    <mergeCell ref="DQ4:DW4"/>
    <mergeCell ref="DX4:ED4"/>
    <mergeCell ref="EE4:EK4"/>
    <mergeCell ref="EL4:ER4"/>
    <mergeCell ref="ES4:EY4"/>
    <mergeCell ref="EZ4:FF4"/>
    <mergeCell ref="HD4:HJ4"/>
    <mergeCell ref="HK4:HQ4"/>
    <mergeCell ref="HR4:HX4"/>
    <mergeCell ref="FN4:FT4"/>
    <mergeCell ref="FU4:GA4"/>
    <mergeCell ref="GB4:GH4"/>
    <mergeCell ref="GI4:GO4"/>
    <mergeCell ref="GP4:GV4"/>
    <mergeCell ref="GW4:HC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Tasa_politica</vt:lpstr>
      <vt:lpstr>Meta de inflación</vt:lpstr>
      <vt:lpstr>Crédito interno</vt:lpstr>
      <vt:lpstr>Cartera vencida</vt:lpstr>
      <vt:lpstr>Préstamos bancarios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user7</dc:creator>
  <cp:lastModifiedBy>user7</cp:lastModifiedBy>
  <dcterms:created xsi:type="dcterms:W3CDTF">2017-01-17T18:23:22Z</dcterms:created>
  <dcterms:modified xsi:type="dcterms:W3CDTF">2017-01-17T22:37:26Z</dcterms:modified>
</cp:coreProperties>
</file>