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MAYER\Documents\forecastmix\data\"/>
    </mc:Choice>
  </mc:AlternateContent>
  <xr:revisionPtr revIDLastSave="0" documentId="8_{E5778B60-C20E-475E-B8D4-1D57B5FC5E13}" xr6:coauthVersionLast="31" xr6:coauthVersionMax="31" xr10:uidLastSave="{00000000-0000-0000-0000-000000000000}"/>
  <bookViews>
    <workbookView xWindow="0" yWindow="0" windowWidth="13665" windowHeight="11790" activeTab="1" xr2:uid="{00000000-000D-0000-FFFF-FFFF00000000}"/>
  </bookViews>
  <sheets>
    <sheet name="Gráfico" sheetId="14" r:id="rId1"/>
    <sheet name="Tabla trabajo" sheetId="2" r:id="rId2"/>
    <sheet name="Tabla final prensa ESP-ENG" sheetId="13" r:id="rId3"/>
    <sheet name="insumos" sheetId="1" r:id="rId4"/>
    <sheet name="Datos1" sheetId="15" r:id="rId5"/>
    <sheet name="Datos2" sheetId="16" r:id="rId6"/>
    <sheet name="cuadro BP" sheetId="12" r:id="rId7"/>
    <sheet name="TABLA CON 1.5" sheetId="17" r:id="rId8"/>
  </sheets>
  <externalReferences>
    <externalReference r:id="rId9"/>
  </externalReferences>
  <definedNames>
    <definedName name="_xlnm._FilterDatabase" localSheetId="3" hidden="1">insumos!$A$3:$M$36</definedName>
    <definedName name="_GoBack" localSheetId="1">'Tabla trabajo'!#REF!</definedName>
    <definedName name="contributors">[1]Analysts!$A$51:$A$163</definedName>
    <definedName name="PER">[1]Analysts!$D$52:$D$56</definedName>
    <definedName name="_xlnm.Print_Area" localSheetId="6">'cuadro BP'!$C$1:$J$42</definedName>
    <definedName name="_xlnm.Print_Area" localSheetId="0">Gráfico!$B$1:$L$36</definedName>
    <definedName name="_xlnm.Print_Area" localSheetId="7">'TABLA CON 1.5'!$B$1:$D$44</definedName>
    <definedName name="_xlnm.Print_Area" localSheetId="2">'Tabla final prensa ESP-ENG'!$B$1:$D$44</definedName>
    <definedName name="_xlnm.Print_Area" localSheetId="1">'Tabla trabajo'!$A$1:$F$48</definedName>
    <definedName name="QUARTER">[1]Analysts!$A$43</definedName>
    <definedName name="TICKER">[1]Analysts!$I$9</definedName>
    <definedName name="YEAR">[1]Analysts!$A$44</definedName>
  </definedNames>
  <calcPr calcId="179017"/>
</workbook>
</file>

<file path=xl/calcChain.xml><?xml version="1.0" encoding="utf-8"?>
<calcChain xmlns="http://schemas.openxmlformats.org/spreadsheetml/2006/main">
  <c r="B48" i="2" l="1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AR5" i="1"/>
  <c r="AB5" i="1"/>
  <c r="I40" i="17"/>
  <c r="C40" i="17"/>
  <c r="I39" i="17"/>
  <c r="C39" i="17"/>
  <c r="I38" i="17"/>
  <c r="C38" i="17"/>
  <c r="I37" i="17"/>
  <c r="C37" i="17"/>
  <c r="I36" i="17"/>
  <c r="C36" i="17"/>
  <c r="I35" i="17"/>
  <c r="C35" i="17"/>
  <c r="I34" i="17"/>
  <c r="C34" i="17"/>
  <c r="I33" i="17"/>
  <c r="C33" i="17"/>
  <c r="I32" i="17"/>
  <c r="C32" i="17"/>
  <c r="I31" i="17"/>
  <c r="C31" i="17"/>
  <c r="I30" i="17"/>
  <c r="C30" i="17"/>
  <c r="I29" i="17"/>
  <c r="C29" i="17"/>
  <c r="I28" i="17"/>
  <c r="C28" i="17"/>
  <c r="I24" i="17"/>
  <c r="C24" i="17"/>
  <c r="I23" i="17"/>
  <c r="C23" i="17"/>
  <c r="I22" i="17"/>
  <c r="C22" i="17"/>
  <c r="I21" i="17"/>
  <c r="C21" i="17"/>
  <c r="I20" i="17"/>
  <c r="C20" i="17"/>
  <c r="I19" i="17"/>
  <c r="C19" i="17"/>
  <c r="I18" i="17"/>
  <c r="C18" i="17"/>
  <c r="I17" i="17"/>
  <c r="C17" i="17"/>
  <c r="I16" i="17"/>
  <c r="C16" i="17"/>
  <c r="I15" i="17"/>
  <c r="C15" i="17"/>
  <c r="I13" i="17"/>
  <c r="C13" i="17"/>
  <c r="I12" i="17"/>
  <c r="C12" i="17"/>
  <c r="I11" i="17"/>
  <c r="C11" i="17"/>
  <c r="I10" i="17"/>
  <c r="C10" i="17"/>
  <c r="I9" i="17"/>
  <c r="C9" i="17"/>
  <c r="I8" i="17"/>
  <c r="C8" i="17"/>
  <c r="I7" i="17"/>
  <c r="C7" i="17"/>
  <c r="I6" i="17"/>
  <c r="C6" i="17"/>
  <c r="I5" i="17"/>
  <c r="C5" i="17"/>
  <c r="I4" i="17"/>
  <c r="C4" i="17"/>
  <c r="V37" i="15"/>
  <c r="D7" i="2"/>
  <c r="F7" i="2"/>
  <c r="AR20" i="1"/>
  <c r="Q36" i="1"/>
  <c r="R36" i="1"/>
  <c r="S36" i="1"/>
  <c r="T36" i="1"/>
  <c r="U36" i="1"/>
  <c r="V36" i="1"/>
  <c r="W36" i="1"/>
  <c r="X36" i="1"/>
  <c r="Y36" i="1"/>
  <c r="Z36" i="1"/>
  <c r="AA36" i="1"/>
  <c r="Q35" i="1"/>
  <c r="R35" i="1"/>
  <c r="S35" i="1"/>
  <c r="T35" i="1"/>
  <c r="U35" i="1"/>
  <c r="V35" i="1"/>
  <c r="W35" i="1"/>
  <c r="X35" i="1"/>
  <c r="Y35" i="1"/>
  <c r="Z35" i="1"/>
  <c r="AA35" i="1"/>
  <c r="Q34" i="1"/>
  <c r="R34" i="1"/>
  <c r="S34" i="1"/>
  <c r="T34" i="1"/>
  <c r="U34" i="1"/>
  <c r="V34" i="1"/>
  <c r="W34" i="1"/>
  <c r="X34" i="1"/>
  <c r="Y34" i="1"/>
  <c r="Z34" i="1"/>
  <c r="AA34" i="1"/>
  <c r="Q33" i="1"/>
  <c r="R33" i="1"/>
  <c r="S33" i="1"/>
  <c r="T33" i="1"/>
  <c r="U33" i="1"/>
  <c r="V33" i="1"/>
  <c r="W33" i="1"/>
  <c r="X33" i="1"/>
  <c r="Y33" i="1"/>
  <c r="Z33" i="1"/>
  <c r="AA33" i="1"/>
  <c r="Q32" i="1"/>
  <c r="R32" i="1"/>
  <c r="S32" i="1"/>
  <c r="T32" i="1"/>
  <c r="U32" i="1"/>
  <c r="V32" i="1"/>
  <c r="W32" i="1"/>
  <c r="X32" i="1"/>
  <c r="Y32" i="1"/>
  <c r="Z32" i="1"/>
  <c r="AA32" i="1"/>
  <c r="Q31" i="1"/>
  <c r="R31" i="1"/>
  <c r="S31" i="1"/>
  <c r="T31" i="1"/>
  <c r="U31" i="1"/>
  <c r="V31" i="1"/>
  <c r="W31" i="1"/>
  <c r="X31" i="1"/>
  <c r="Y31" i="1"/>
  <c r="Z31" i="1"/>
  <c r="AA31" i="1"/>
  <c r="Q30" i="1"/>
  <c r="R30" i="1"/>
  <c r="S30" i="1"/>
  <c r="T30" i="1"/>
  <c r="U30" i="1"/>
  <c r="V30" i="1"/>
  <c r="W30" i="1"/>
  <c r="X30" i="1"/>
  <c r="Y30" i="1"/>
  <c r="Z30" i="1"/>
  <c r="AA30" i="1"/>
  <c r="Q29" i="1"/>
  <c r="R29" i="1"/>
  <c r="S29" i="1"/>
  <c r="T29" i="1"/>
  <c r="U29" i="1"/>
  <c r="V29" i="1"/>
  <c r="W29" i="1"/>
  <c r="X29" i="1"/>
  <c r="Y29" i="1"/>
  <c r="Z29" i="1"/>
  <c r="AA29" i="1"/>
  <c r="Q28" i="1"/>
  <c r="R28" i="1"/>
  <c r="S28" i="1"/>
  <c r="T28" i="1"/>
  <c r="U28" i="1"/>
  <c r="V28" i="1"/>
  <c r="W28" i="1"/>
  <c r="X28" i="1"/>
  <c r="Y28" i="1"/>
  <c r="Z28" i="1"/>
  <c r="AA28" i="1"/>
  <c r="Q27" i="1"/>
  <c r="R27" i="1"/>
  <c r="S27" i="1"/>
  <c r="T27" i="1"/>
  <c r="U27" i="1"/>
  <c r="V27" i="1"/>
  <c r="W27" i="1"/>
  <c r="X27" i="1"/>
  <c r="Y27" i="1"/>
  <c r="Z27" i="1"/>
  <c r="AA27" i="1"/>
  <c r="Q26" i="1"/>
  <c r="R26" i="1"/>
  <c r="S26" i="1"/>
  <c r="T26" i="1"/>
  <c r="U26" i="1"/>
  <c r="V26" i="1"/>
  <c r="W26" i="1"/>
  <c r="X26" i="1"/>
  <c r="Y26" i="1"/>
  <c r="Z26" i="1"/>
  <c r="AA26" i="1"/>
  <c r="Q25" i="1"/>
  <c r="R25" i="1"/>
  <c r="S25" i="1"/>
  <c r="T25" i="1"/>
  <c r="U25" i="1"/>
  <c r="V25" i="1"/>
  <c r="W25" i="1"/>
  <c r="X25" i="1"/>
  <c r="Y25" i="1"/>
  <c r="Z25" i="1"/>
  <c r="AA25" i="1"/>
  <c r="Q24" i="1"/>
  <c r="R24" i="1"/>
  <c r="S24" i="1"/>
  <c r="T24" i="1"/>
  <c r="U24" i="1"/>
  <c r="V24" i="1"/>
  <c r="W24" i="1"/>
  <c r="X24" i="1"/>
  <c r="Y24" i="1"/>
  <c r="Z24" i="1"/>
  <c r="AA24" i="1"/>
  <c r="Q23" i="1"/>
  <c r="R23" i="1"/>
  <c r="S23" i="1"/>
  <c r="T23" i="1"/>
  <c r="U23" i="1"/>
  <c r="V23" i="1"/>
  <c r="W23" i="1"/>
  <c r="X23" i="1"/>
  <c r="Y23" i="1"/>
  <c r="Z23" i="1"/>
  <c r="AA23" i="1"/>
  <c r="Q22" i="1"/>
  <c r="R22" i="1"/>
  <c r="S22" i="1"/>
  <c r="T22" i="1"/>
  <c r="U22" i="1"/>
  <c r="V22" i="1"/>
  <c r="W22" i="1"/>
  <c r="X22" i="1"/>
  <c r="Y22" i="1"/>
  <c r="Z22" i="1"/>
  <c r="AA22" i="1"/>
  <c r="Q21" i="1"/>
  <c r="R21" i="1"/>
  <c r="S21" i="1"/>
  <c r="T21" i="1"/>
  <c r="U21" i="1"/>
  <c r="V21" i="1"/>
  <c r="W21" i="1"/>
  <c r="X21" i="1"/>
  <c r="Y21" i="1"/>
  <c r="Z21" i="1"/>
  <c r="AA21" i="1"/>
  <c r="Q20" i="1"/>
  <c r="R20" i="1"/>
  <c r="S20" i="1"/>
  <c r="T20" i="1"/>
  <c r="U20" i="1"/>
  <c r="V20" i="1"/>
  <c r="W20" i="1"/>
  <c r="X20" i="1"/>
  <c r="Y20" i="1"/>
  <c r="Z20" i="1"/>
  <c r="AA20" i="1"/>
  <c r="Q19" i="1"/>
  <c r="R19" i="1"/>
  <c r="S19" i="1"/>
  <c r="T19" i="1"/>
  <c r="U19" i="1"/>
  <c r="V19" i="1"/>
  <c r="W19" i="1"/>
  <c r="X19" i="1"/>
  <c r="Y19" i="1"/>
  <c r="Z19" i="1"/>
  <c r="AA19" i="1"/>
  <c r="Q18" i="1"/>
  <c r="R18" i="1"/>
  <c r="S18" i="1"/>
  <c r="T18" i="1"/>
  <c r="U18" i="1"/>
  <c r="V18" i="1"/>
  <c r="W18" i="1"/>
  <c r="X18" i="1"/>
  <c r="Y18" i="1"/>
  <c r="Z18" i="1"/>
  <c r="AA18" i="1"/>
  <c r="Q17" i="1"/>
  <c r="R17" i="1"/>
  <c r="S17" i="1"/>
  <c r="T17" i="1"/>
  <c r="U17" i="1"/>
  <c r="V17" i="1"/>
  <c r="W17" i="1"/>
  <c r="X17" i="1"/>
  <c r="Y17" i="1"/>
  <c r="Z17" i="1"/>
  <c r="AA17" i="1"/>
  <c r="Q16" i="1"/>
  <c r="R16" i="1"/>
  <c r="S16" i="1"/>
  <c r="T16" i="1"/>
  <c r="U16" i="1"/>
  <c r="V16" i="1"/>
  <c r="W16" i="1"/>
  <c r="X16" i="1"/>
  <c r="Y16" i="1"/>
  <c r="Z16" i="1"/>
  <c r="AA16" i="1"/>
  <c r="Q15" i="1"/>
  <c r="R15" i="1"/>
  <c r="S15" i="1"/>
  <c r="T15" i="1"/>
  <c r="U15" i="1"/>
  <c r="V15" i="1"/>
  <c r="W15" i="1"/>
  <c r="X15" i="1"/>
  <c r="Y15" i="1"/>
  <c r="Z15" i="1"/>
  <c r="AA15" i="1"/>
  <c r="Q14" i="1"/>
  <c r="R14" i="1"/>
  <c r="S14" i="1"/>
  <c r="T14" i="1"/>
  <c r="U14" i="1"/>
  <c r="V14" i="1"/>
  <c r="W14" i="1"/>
  <c r="X14" i="1"/>
  <c r="Y14" i="1"/>
  <c r="Z14" i="1"/>
  <c r="AA14" i="1"/>
  <c r="Q13" i="1"/>
  <c r="Q12" i="1"/>
  <c r="R12" i="1"/>
  <c r="S12" i="1"/>
  <c r="T12" i="1"/>
  <c r="U12" i="1"/>
  <c r="V12" i="1"/>
  <c r="W12" i="1"/>
  <c r="X12" i="1"/>
  <c r="Y12" i="1"/>
  <c r="Z12" i="1"/>
  <c r="AA12" i="1"/>
  <c r="Q11" i="1"/>
  <c r="R11" i="1"/>
  <c r="S11" i="1"/>
  <c r="T11" i="1"/>
  <c r="U11" i="1"/>
  <c r="V11" i="1"/>
  <c r="W11" i="1"/>
  <c r="X11" i="1"/>
  <c r="Y11" i="1"/>
  <c r="Z11" i="1"/>
  <c r="AA11" i="1"/>
  <c r="Q10" i="1"/>
  <c r="R10" i="1"/>
  <c r="S10" i="1"/>
  <c r="T10" i="1"/>
  <c r="U10" i="1"/>
  <c r="V10" i="1"/>
  <c r="W10" i="1"/>
  <c r="X10" i="1"/>
  <c r="Y10" i="1"/>
  <c r="Z10" i="1"/>
  <c r="AA10" i="1"/>
  <c r="Q9" i="1"/>
  <c r="R9" i="1"/>
  <c r="S9" i="1"/>
  <c r="T9" i="1"/>
  <c r="U9" i="1"/>
  <c r="V9" i="1"/>
  <c r="W9" i="1"/>
  <c r="X9" i="1"/>
  <c r="Y9" i="1"/>
  <c r="Z9" i="1"/>
  <c r="AA9" i="1"/>
  <c r="Q8" i="1"/>
  <c r="R8" i="1"/>
  <c r="S8" i="1"/>
  <c r="T8" i="1"/>
  <c r="U8" i="1"/>
  <c r="V8" i="1"/>
  <c r="W8" i="1"/>
  <c r="X8" i="1"/>
  <c r="Y8" i="1"/>
  <c r="Z8" i="1"/>
  <c r="AA8" i="1"/>
  <c r="Q7" i="1"/>
  <c r="R7" i="1"/>
  <c r="S7" i="1"/>
  <c r="T7" i="1"/>
  <c r="U7" i="1"/>
  <c r="V7" i="1"/>
  <c r="W7" i="1"/>
  <c r="X7" i="1"/>
  <c r="Y7" i="1"/>
  <c r="Z7" i="1"/>
  <c r="AA7" i="1"/>
  <c r="Q6" i="1"/>
  <c r="R6" i="1"/>
  <c r="S6" i="1"/>
  <c r="T6" i="1"/>
  <c r="U6" i="1"/>
  <c r="V6" i="1"/>
  <c r="W6" i="1"/>
  <c r="X6" i="1"/>
  <c r="Y6" i="1"/>
  <c r="Z6" i="1"/>
  <c r="AA6" i="1"/>
  <c r="Q5" i="1"/>
  <c r="Q4" i="1"/>
  <c r="R4" i="1"/>
  <c r="S4" i="1"/>
  <c r="P50" i="1"/>
  <c r="P49" i="1"/>
  <c r="P48" i="1"/>
  <c r="P47" i="1"/>
  <c r="P46" i="1"/>
  <c r="P45" i="1"/>
  <c r="P44" i="1"/>
  <c r="P43" i="1"/>
  <c r="P42" i="1"/>
  <c r="P41" i="1"/>
  <c r="P40" i="1"/>
  <c r="P39" i="1"/>
  <c r="D41" i="2"/>
  <c r="F41" i="2"/>
  <c r="AB20" i="1"/>
  <c r="J34" i="17"/>
  <c r="D34" i="17"/>
  <c r="J4" i="17"/>
  <c r="D4" i="17"/>
  <c r="Q45" i="1"/>
  <c r="AG45" i="1"/>
  <c r="Q49" i="1"/>
  <c r="AG49" i="1"/>
  <c r="Q50" i="1"/>
  <c r="AG50" i="1"/>
  <c r="Q42" i="1"/>
  <c r="AG42" i="1"/>
  <c r="Q46" i="1"/>
  <c r="AG46" i="1"/>
  <c r="R50" i="1"/>
  <c r="R5" i="1"/>
  <c r="R13" i="1"/>
  <c r="R40" i="1"/>
  <c r="Q39" i="1"/>
  <c r="AG39" i="1"/>
  <c r="Q43" i="1"/>
  <c r="AG43" i="1"/>
  <c r="Q47" i="1"/>
  <c r="AG47" i="1"/>
  <c r="Q40" i="1"/>
  <c r="AG40" i="1"/>
  <c r="Q44" i="1"/>
  <c r="AG44" i="1"/>
  <c r="Q48" i="1"/>
  <c r="AG48" i="1"/>
  <c r="Q41" i="1"/>
  <c r="AG41" i="1"/>
  <c r="T4" i="1"/>
  <c r="U4" i="1"/>
  <c r="V4" i="1"/>
  <c r="W4" i="1"/>
  <c r="X4" i="1"/>
  <c r="Y4" i="1"/>
  <c r="Z4" i="1"/>
  <c r="AA4" i="1"/>
  <c r="S50" i="1"/>
  <c r="AS36" i="1"/>
  <c r="E16" i="2"/>
  <c r="AS35" i="1"/>
  <c r="E15" i="2"/>
  <c r="AS34" i="1"/>
  <c r="E47" i="2"/>
  <c r="AS33" i="1"/>
  <c r="E46" i="2"/>
  <c r="AS32" i="1"/>
  <c r="E45" i="2"/>
  <c r="AS31" i="1"/>
  <c r="E44" i="2"/>
  <c r="AS30" i="1"/>
  <c r="E43" i="2"/>
  <c r="AS29" i="1"/>
  <c r="E29" i="2"/>
  <c r="AS28" i="1"/>
  <c r="E14" i="2"/>
  <c r="AS27" i="1"/>
  <c r="E13" i="2"/>
  <c r="AS26" i="1"/>
  <c r="E28" i="2"/>
  <c r="AS25" i="1"/>
  <c r="E27" i="2"/>
  <c r="AS24" i="1"/>
  <c r="E26" i="2"/>
  <c r="AS23" i="1"/>
  <c r="E42" i="2"/>
  <c r="AS22" i="1"/>
  <c r="E25" i="2"/>
  <c r="AS21" i="1"/>
  <c r="E24" i="2"/>
  <c r="AS20" i="1"/>
  <c r="E41" i="2"/>
  <c r="AS19" i="1"/>
  <c r="E23" i="2"/>
  <c r="AS18" i="1"/>
  <c r="E40" i="2"/>
  <c r="AS17" i="1"/>
  <c r="E22" i="2"/>
  <c r="AS16" i="1"/>
  <c r="E12" i="2"/>
  <c r="AS15" i="1"/>
  <c r="E39" i="2"/>
  <c r="AS14" i="1"/>
  <c r="E21" i="2"/>
  <c r="AS13" i="1"/>
  <c r="E20" i="2"/>
  <c r="AS12" i="1"/>
  <c r="E11" i="2"/>
  <c r="AS11" i="1"/>
  <c r="E10" i="2"/>
  <c r="AS10" i="1"/>
  <c r="E9" i="2"/>
  <c r="AS9" i="1"/>
  <c r="E8" i="2"/>
  <c r="AS8" i="1"/>
  <c r="E38" i="2"/>
  <c r="AS7" i="1"/>
  <c r="E37" i="2"/>
  <c r="AS6" i="1"/>
  <c r="E36" i="2"/>
  <c r="AS5" i="1"/>
  <c r="AS4" i="1"/>
  <c r="E35" i="2"/>
  <c r="E7" i="2"/>
  <c r="AC5" i="1"/>
  <c r="AC20" i="1"/>
  <c r="AH40" i="1"/>
  <c r="AH50" i="1"/>
  <c r="S13" i="1"/>
  <c r="R48" i="1"/>
  <c r="AH48" i="1"/>
  <c r="R49" i="1"/>
  <c r="S5" i="1"/>
  <c r="R44" i="1"/>
  <c r="AH44" i="1"/>
  <c r="R45" i="1"/>
  <c r="R41" i="1"/>
  <c r="R47" i="1"/>
  <c r="R43" i="1"/>
  <c r="R46" i="1"/>
  <c r="R42" i="1"/>
  <c r="AI50" i="1"/>
  <c r="R39" i="1"/>
  <c r="S47" i="1"/>
  <c r="AI47" i="1"/>
  <c r="S41" i="1"/>
  <c r="AI41" i="1"/>
  <c r="S45" i="1"/>
  <c r="AI45" i="1"/>
  <c r="S40" i="1"/>
  <c r="AI40" i="1"/>
  <c r="S42" i="1"/>
  <c r="AI42" i="1"/>
  <c r="S44" i="1"/>
  <c r="AI44" i="1"/>
  <c r="T5" i="1"/>
  <c r="U5" i="1"/>
  <c r="V5" i="1"/>
  <c r="W5" i="1"/>
  <c r="X5" i="1"/>
  <c r="Y5" i="1"/>
  <c r="Z5" i="1"/>
  <c r="AA5" i="1"/>
  <c r="S46" i="1"/>
  <c r="AI46" i="1"/>
  <c r="S39" i="1"/>
  <c r="AI39" i="1"/>
  <c r="S43" i="1"/>
  <c r="AI43" i="1"/>
  <c r="AH49" i="1"/>
  <c r="S49" i="1"/>
  <c r="AI49" i="1"/>
  <c r="S48" i="1"/>
  <c r="AI48" i="1"/>
  <c r="T13" i="1"/>
  <c r="U13" i="1"/>
  <c r="V13" i="1"/>
  <c r="W13" i="1"/>
  <c r="X13" i="1"/>
  <c r="Y13" i="1"/>
  <c r="Z13" i="1"/>
  <c r="AA13" i="1"/>
  <c r="AH45" i="1"/>
  <c r="AH42" i="1"/>
  <c r="AH46" i="1"/>
  <c r="AH41" i="1"/>
  <c r="AH47" i="1"/>
  <c r="AH39" i="1"/>
  <c r="AH43" i="1"/>
  <c r="I23" i="13"/>
  <c r="I22" i="13"/>
  <c r="I21" i="13"/>
  <c r="I17" i="13"/>
  <c r="I11" i="13"/>
  <c r="I8" i="13"/>
  <c r="I7" i="13"/>
  <c r="I6" i="13"/>
  <c r="I4" i="13"/>
  <c r="C24" i="13"/>
  <c r="C22" i="13"/>
  <c r="C21" i="13"/>
  <c r="C20" i="13"/>
  <c r="C11" i="13"/>
  <c r="C8" i="13"/>
  <c r="C7" i="13"/>
  <c r="C6" i="13"/>
  <c r="C4" i="13"/>
  <c r="AR4" i="1"/>
  <c r="D35" i="2"/>
  <c r="F35" i="2"/>
  <c r="AB4" i="1"/>
  <c r="J28" i="17"/>
  <c r="D28" i="17"/>
  <c r="D28" i="13"/>
  <c r="J28" i="13"/>
  <c r="C28" i="13"/>
  <c r="I28" i="13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4" i="12"/>
  <c r="U37" i="15"/>
  <c r="AC4" i="1"/>
  <c r="Z47" i="1"/>
  <c r="Y47" i="1"/>
  <c r="X47" i="1"/>
  <c r="W47" i="1"/>
  <c r="V47" i="1"/>
  <c r="U47" i="1"/>
  <c r="T47" i="1"/>
  <c r="AJ47" i="1"/>
  <c r="Z44" i="1"/>
  <c r="Y44" i="1"/>
  <c r="X44" i="1"/>
  <c r="W44" i="1"/>
  <c r="V44" i="1"/>
  <c r="U44" i="1"/>
  <c r="T44" i="1"/>
  <c r="AJ44" i="1"/>
  <c r="Z41" i="1"/>
  <c r="Y41" i="1"/>
  <c r="X41" i="1"/>
  <c r="W41" i="1"/>
  <c r="V41" i="1"/>
  <c r="U41" i="1"/>
  <c r="T41" i="1"/>
  <c r="AJ41" i="1"/>
  <c r="V30" i="15"/>
  <c r="V31" i="15"/>
  <c r="I3" i="15"/>
  <c r="AN41" i="1"/>
  <c r="AO44" i="1"/>
  <c r="AP47" i="1"/>
  <c r="AM47" i="1"/>
  <c r="AK47" i="1"/>
  <c r="AK41" i="1"/>
  <c r="AL44" i="1"/>
  <c r="AK44" i="1"/>
  <c r="AL41" i="1"/>
  <c r="AM44" i="1"/>
  <c r="AN47" i="1"/>
  <c r="AN44" i="1"/>
  <c r="AP41" i="1"/>
  <c r="AL47" i="1"/>
  <c r="AO41" i="1"/>
  <c r="AP44" i="1"/>
  <c r="AM41" i="1"/>
  <c r="AO47" i="1"/>
  <c r="B33" i="15"/>
  <c r="E33" i="15" s="1"/>
  <c r="B32" i="15"/>
  <c r="C32" i="15" s="1"/>
  <c r="B31" i="15"/>
  <c r="D31" i="15" s="1"/>
  <c r="B30" i="15"/>
  <c r="C30" i="15" s="1"/>
  <c r="B29" i="15"/>
  <c r="C29" i="15" s="1"/>
  <c r="B28" i="15"/>
  <c r="D28" i="15" s="1"/>
  <c r="B27" i="15"/>
  <c r="F27" i="15" s="1"/>
  <c r="B26" i="15"/>
  <c r="D26" i="15" s="1"/>
  <c r="B25" i="15"/>
  <c r="E25" i="15" s="1"/>
  <c r="B24" i="15"/>
  <c r="B23" i="15"/>
  <c r="E23" i="15" s="1"/>
  <c r="I23" i="15" s="1"/>
  <c r="B22" i="15"/>
  <c r="E22" i="15" s="1"/>
  <c r="B21" i="15"/>
  <c r="F21" i="15" s="1"/>
  <c r="B20" i="15"/>
  <c r="C20" i="15" s="1"/>
  <c r="B19" i="15"/>
  <c r="F19" i="15" s="1"/>
  <c r="B18" i="15"/>
  <c r="C18" i="15" s="1"/>
  <c r="B17" i="15"/>
  <c r="E17" i="15" s="1"/>
  <c r="B16" i="15"/>
  <c r="D16" i="15" s="1"/>
  <c r="B15" i="15"/>
  <c r="C15" i="15" s="1"/>
  <c r="B14" i="15"/>
  <c r="E14" i="15" s="1"/>
  <c r="B13" i="15"/>
  <c r="D13" i="15" s="1"/>
  <c r="B12" i="15"/>
  <c r="E12" i="15" s="1"/>
  <c r="B11" i="15"/>
  <c r="C11" i="15" s="1"/>
  <c r="B10" i="15"/>
  <c r="C10" i="15" s="1"/>
  <c r="B9" i="15"/>
  <c r="D9" i="15" s="1"/>
  <c r="B8" i="15"/>
  <c r="D8" i="15" s="1"/>
  <c r="B7" i="15"/>
  <c r="C7" i="15" s="1"/>
  <c r="B6" i="15"/>
  <c r="D6" i="15" s="1"/>
  <c r="B5" i="15"/>
  <c r="D5" i="15" s="1"/>
  <c r="B4" i="15"/>
  <c r="F4" i="15" s="1"/>
  <c r="C12" i="15"/>
  <c r="C24" i="15"/>
  <c r="T26" i="15"/>
  <c r="J4" i="12"/>
  <c r="J26" i="12" s="1"/>
  <c r="I4" i="12"/>
  <c r="I33" i="12" s="1"/>
  <c r="H4" i="12"/>
  <c r="H13" i="12" s="1"/>
  <c r="G4" i="12"/>
  <c r="G31" i="12" s="1"/>
  <c r="F4" i="12"/>
  <c r="F38" i="12" s="1"/>
  <c r="E4" i="12"/>
  <c r="E23" i="12" s="1"/>
  <c r="D4" i="12"/>
  <c r="D36" i="12" s="1"/>
  <c r="D22" i="12"/>
  <c r="G14" i="12"/>
  <c r="W24" i="15"/>
  <c r="A52" i="16"/>
  <c r="A53" i="16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Y50" i="1"/>
  <c r="X50" i="1"/>
  <c r="W50" i="1"/>
  <c r="V50" i="1"/>
  <c r="U50" i="1"/>
  <c r="Y49" i="1"/>
  <c r="X49" i="1"/>
  <c r="W49" i="1"/>
  <c r="V49" i="1"/>
  <c r="U49" i="1"/>
  <c r="Y48" i="1"/>
  <c r="X48" i="1"/>
  <c r="W48" i="1"/>
  <c r="V48" i="1"/>
  <c r="U48" i="1"/>
  <c r="Y46" i="1"/>
  <c r="X46" i="1"/>
  <c r="W46" i="1"/>
  <c r="V46" i="1"/>
  <c r="U46" i="1"/>
  <c r="Y45" i="1"/>
  <c r="X45" i="1"/>
  <c r="W45" i="1"/>
  <c r="V45" i="1"/>
  <c r="U45" i="1"/>
  <c r="Y43" i="1"/>
  <c r="X43" i="1"/>
  <c r="W43" i="1"/>
  <c r="V43" i="1"/>
  <c r="U43" i="1"/>
  <c r="Y42" i="1"/>
  <c r="X42" i="1"/>
  <c r="W42" i="1"/>
  <c r="V42" i="1"/>
  <c r="U42" i="1"/>
  <c r="Y40" i="1"/>
  <c r="X40" i="1"/>
  <c r="W40" i="1"/>
  <c r="V40" i="1"/>
  <c r="U40" i="1"/>
  <c r="Y39" i="1"/>
  <c r="X39" i="1"/>
  <c r="W39" i="1"/>
  <c r="V39" i="1"/>
  <c r="U39" i="1"/>
  <c r="T50" i="1"/>
  <c r="AJ50" i="1"/>
  <c r="T49" i="1"/>
  <c r="AJ49" i="1"/>
  <c r="T48" i="1"/>
  <c r="AJ48" i="1"/>
  <c r="T46" i="1"/>
  <c r="AJ46" i="1"/>
  <c r="T45" i="1"/>
  <c r="AJ45" i="1"/>
  <c r="T43" i="1"/>
  <c r="AJ43" i="1"/>
  <c r="T42" i="1"/>
  <c r="AJ42" i="1"/>
  <c r="T40" i="1"/>
  <c r="AJ40" i="1"/>
  <c r="T39" i="1"/>
  <c r="AJ39" i="1"/>
  <c r="D22" i="2"/>
  <c r="F22" i="2"/>
  <c r="AB17" i="1"/>
  <c r="AC17" i="1"/>
  <c r="D9" i="2"/>
  <c r="F9" i="2"/>
  <c r="AB10" i="1"/>
  <c r="AC10" i="1"/>
  <c r="D15" i="2"/>
  <c r="F15" i="2"/>
  <c r="AB35" i="1"/>
  <c r="AC35" i="1"/>
  <c r="D38" i="2"/>
  <c r="F38" i="2"/>
  <c r="AB8" i="1"/>
  <c r="AC8" i="1"/>
  <c r="D12" i="2"/>
  <c r="F12" i="2"/>
  <c r="AB16" i="1"/>
  <c r="AC16" i="1"/>
  <c r="D26" i="2"/>
  <c r="F26" i="2"/>
  <c r="AB24" i="1"/>
  <c r="AC24" i="1"/>
  <c r="D45" i="2"/>
  <c r="F45" i="2"/>
  <c r="AB32" i="1"/>
  <c r="AC32" i="1"/>
  <c r="D8" i="2"/>
  <c r="F8" i="2"/>
  <c r="AB9" i="1"/>
  <c r="D28" i="2"/>
  <c r="F28" i="2"/>
  <c r="AB26" i="1"/>
  <c r="AC26" i="1"/>
  <c r="D23" i="2"/>
  <c r="F23" i="2"/>
  <c r="AB19" i="1"/>
  <c r="AC19" i="1"/>
  <c r="D14" i="2"/>
  <c r="F14" i="2"/>
  <c r="AB28" i="1"/>
  <c r="AC28" i="1"/>
  <c r="D16" i="2"/>
  <c r="F16" i="2"/>
  <c r="AB36" i="1"/>
  <c r="AC36" i="1"/>
  <c r="D20" i="2"/>
  <c r="F20" i="2"/>
  <c r="AB13" i="1"/>
  <c r="D24" i="2"/>
  <c r="F24" i="2"/>
  <c r="AB21" i="1"/>
  <c r="AC21" i="1"/>
  <c r="D29" i="2"/>
  <c r="F29" i="2"/>
  <c r="AB29" i="1"/>
  <c r="AC29" i="1"/>
  <c r="D46" i="2"/>
  <c r="F46" i="2"/>
  <c r="AB33" i="1"/>
  <c r="AC33" i="1"/>
  <c r="D40" i="2"/>
  <c r="F40" i="2"/>
  <c r="AB18" i="1"/>
  <c r="AC18" i="1"/>
  <c r="D13" i="2"/>
  <c r="F13" i="2"/>
  <c r="AB27" i="1"/>
  <c r="AC27" i="1"/>
  <c r="D11" i="2"/>
  <c r="F11" i="2"/>
  <c r="AB12" i="1"/>
  <c r="AC12" i="1"/>
  <c r="D36" i="2"/>
  <c r="F36" i="2"/>
  <c r="AB6" i="1"/>
  <c r="D25" i="2"/>
  <c r="F25" i="2"/>
  <c r="AB22" i="1"/>
  <c r="AC22" i="1"/>
  <c r="D43" i="2"/>
  <c r="F43" i="2"/>
  <c r="AB30" i="1"/>
  <c r="AC30" i="1"/>
  <c r="D27" i="2"/>
  <c r="F27" i="2"/>
  <c r="AB25" i="1"/>
  <c r="AC25" i="1"/>
  <c r="D47" i="2"/>
  <c r="F47" i="2"/>
  <c r="AB34" i="1"/>
  <c r="AC34" i="1"/>
  <c r="D10" i="2"/>
  <c r="F10" i="2"/>
  <c r="AB11" i="1"/>
  <c r="AC11" i="1"/>
  <c r="D21" i="2"/>
  <c r="F21" i="2"/>
  <c r="AB14" i="1"/>
  <c r="AC14" i="1"/>
  <c r="D37" i="2"/>
  <c r="F37" i="2"/>
  <c r="AB7" i="1"/>
  <c r="AC7" i="1"/>
  <c r="D39" i="2"/>
  <c r="F39" i="2"/>
  <c r="AB15" i="1"/>
  <c r="AC15" i="1"/>
  <c r="D42" i="2"/>
  <c r="F42" i="2"/>
  <c r="AB23" i="1"/>
  <c r="AC23" i="1"/>
  <c r="D44" i="2"/>
  <c r="F44" i="2"/>
  <c r="AB31" i="1"/>
  <c r="AC31" i="1"/>
  <c r="J5" i="17"/>
  <c r="D5" i="17"/>
  <c r="D23" i="17"/>
  <c r="J24" i="17"/>
  <c r="J7" i="17"/>
  <c r="D7" i="17"/>
  <c r="J19" i="17"/>
  <c r="D18" i="17"/>
  <c r="J10" i="17"/>
  <c r="D10" i="17"/>
  <c r="J12" i="17"/>
  <c r="D12" i="17"/>
  <c r="J8" i="17"/>
  <c r="D8" i="17"/>
  <c r="J11" i="17"/>
  <c r="D11" i="17"/>
  <c r="J13" i="17"/>
  <c r="D13" i="17"/>
  <c r="H29" i="12"/>
  <c r="D31" i="17"/>
  <c r="J31" i="17"/>
  <c r="D21" i="17"/>
  <c r="J22" i="17"/>
  <c r="J23" i="17"/>
  <c r="D22" i="17"/>
  <c r="J15" i="17"/>
  <c r="D15" i="17"/>
  <c r="J17" i="17"/>
  <c r="D24" i="17"/>
  <c r="H27" i="12"/>
  <c r="J29" i="17"/>
  <c r="D29" i="17"/>
  <c r="D16" i="17"/>
  <c r="J16" i="17"/>
  <c r="J21" i="17"/>
  <c r="D20" i="17"/>
  <c r="J36" i="17"/>
  <c r="D36" i="17"/>
  <c r="D9" i="17"/>
  <c r="J9" i="17"/>
  <c r="H36" i="12"/>
  <c r="J38" i="17"/>
  <c r="D38" i="17"/>
  <c r="D17" i="17"/>
  <c r="J18" i="17"/>
  <c r="H37" i="12"/>
  <c r="D39" i="17"/>
  <c r="J39" i="17"/>
  <c r="J6" i="17"/>
  <c r="D6" i="17"/>
  <c r="D33" i="17"/>
  <c r="J33" i="17"/>
  <c r="H38" i="12"/>
  <c r="J40" i="17"/>
  <c r="D40" i="17"/>
  <c r="J20" i="17"/>
  <c r="D19" i="17"/>
  <c r="H28" i="12"/>
  <c r="J30" i="17"/>
  <c r="D30" i="17"/>
  <c r="J32" i="17"/>
  <c r="D32" i="17"/>
  <c r="D35" i="17"/>
  <c r="J35" i="17"/>
  <c r="J37" i="17"/>
  <c r="D37" i="17"/>
  <c r="H8" i="12"/>
  <c r="H12" i="12"/>
  <c r="AK39" i="1"/>
  <c r="AL39" i="1"/>
  <c r="AM39" i="1"/>
  <c r="AN39" i="1"/>
  <c r="AO39" i="1"/>
  <c r="H14" i="12"/>
  <c r="I19" i="13"/>
  <c r="C18" i="13"/>
  <c r="J31" i="13"/>
  <c r="D31" i="13"/>
  <c r="I34" i="13"/>
  <c r="C34" i="13"/>
  <c r="D22" i="13"/>
  <c r="J23" i="13"/>
  <c r="D6" i="13"/>
  <c r="J6" i="13"/>
  <c r="D40" i="13"/>
  <c r="J40" i="13"/>
  <c r="I16" i="13"/>
  <c r="C16" i="13"/>
  <c r="C35" i="13"/>
  <c r="I35" i="13"/>
  <c r="C12" i="13"/>
  <c r="I12" i="13"/>
  <c r="D7" i="13"/>
  <c r="J7" i="13"/>
  <c r="J19" i="13"/>
  <c r="D18" i="13"/>
  <c r="D10" i="13"/>
  <c r="J10" i="13"/>
  <c r="D12" i="13"/>
  <c r="J12" i="13"/>
  <c r="D21" i="13"/>
  <c r="J22" i="13"/>
  <c r="I5" i="13"/>
  <c r="C5" i="13"/>
  <c r="J5" i="13"/>
  <c r="D5" i="13"/>
  <c r="C19" i="13"/>
  <c r="I20" i="13"/>
  <c r="J24" i="13"/>
  <c r="D23" i="13"/>
  <c r="J11" i="13"/>
  <c r="D11" i="13"/>
  <c r="I10" i="13"/>
  <c r="C10" i="13"/>
  <c r="D4" i="13"/>
  <c r="J4" i="13"/>
  <c r="J15" i="13"/>
  <c r="D15" i="13"/>
  <c r="J20" i="13"/>
  <c r="D19" i="13"/>
  <c r="J17" i="13"/>
  <c r="D24" i="13"/>
  <c r="I38" i="13"/>
  <c r="C38" i="13"/>
  <c r="D38" i="13"/>
  <c r="J38" i="13"/>
  <c r="J39" i="13"/>
  <c r="D39" i="13"/>
  <c r="C40" i="13"/>
  <c r="I40" i="13"/>
  <c r="I24" i="13"/>
  <c r="C23" i="13"/>
  <c r="D34" i="13"/>
  <c r="J34" i="13"/>
  <c r="I9" i="13"/>
  <c r="C9" i="13"/>
  <c r="C29" i="13"/>
  <c r="I29" i="13"/>
  <c r="I18" i="13"/>
  <c r="C17" i="13"/>
  <c r="I36" i="13"/>
  <c r="C36" i="13"/>
  <c r="J29" i="13"/>
  <c r="D29" i="13"/>
  <c r="D16" i="13"/>
  <c r="J16" i="13"/>
  <c r="J21" i="13"/>
  <c r="D20" i="13"/>
  <c r="D36" i="13"/>
  <c r="J36" i="13"/>
  <c r="C31" i="13"/>
  <c r="I31" i="13"/>
  <c r="J9" i="13"/>
  <c r="D9" i="13"/>
  <c r="C39" i="13"/>
  <c r="I39" i="13"/>
  <c r="D17" i="13"/>
  <c r="J18" i="13"/>
  <c r="C15" i="13"/>
  <c r="I15" i="13"/>
  <c r="J33" i="13"/>
  <c r="D33" i="13"/>
  <c r="C32" i="13"/>
  <c r="I32" i="13"/>
  <c r="I13" i="13"/>
  <c r="C13" i="13"/>
  <c r="D8" i="13"/>
  <c r="J8" i="13"/>
  <c r="J13" i="13"/>
  <c r="D13" i="13"/>
  <c r="I30" i="13"/>
  <c r="C30" i="13"/>
  <c r="I33" i="13"/>
  <c r="C33" i="13"/>
  <c r="I37" i="13"/>
  <c r="C37" i="13"/>
  <c r="D30" i="13"/>
  <c r="J30" i="13"/>
  <c r="D32" i="13"/>
  <c r="J32" i="13"/>
  <c r="D35" i="13"/>
  <c r="J35" i="13"/>
  <c r="J37" i="13"/>
  <c r="D37" i="13"/>
  <c r="AL49" i="1"/>
  <c r="AO50" i="1"/>
  <c r="AK49" i="1"/>
  <c r="AN40" i="1"/>
  <c r="AL43" i="1"/>
  <c r="AO45" i="1"/>
  <c r="AM48" i="1"/>
  <c r="AN42" i="1"/>
  <c r="AL40" i="1"/>
  <c r="AO42" i="1"/>
  <c r="AM45" i="1"/>
  <c r="AN49" i="1"/>
  <c r="AK48" i="1"/>
  <c r="AL45" i="1"/>
  <c r="AO46" i="1"/>
  <c r="AM49" i="1"/>
  <c r="AK45" i="1"/>
  <c r="AM42" i="1"/>
  <c r="AN46" i="1"/>
  <c r="AO43" i="1"/>
  <c r="AN50" i="1"/>
  <c r="AO40" i="1"/>
  <c r="AM43" i="1"/>
  <c r="AK46" i="1"/>
  <c r="AN48" i="1"/>
  <c r="AL50" i="1"/>
  <c r="AM46" i="1"/>
  <c r="AK50" i="1"/>
  <c r="AL42" i="1"/>
  <c r="AK40" i="1"/>
  <c r="AM40" i="1"/>
  <c r="AK43" i="1"/>
  <c r="AN45" i="1"/>
  <c r="AL48" i="1"/>
  <c r="AO49" i="1"/>
  <c r="AO48" i="1"/>
  <c r="AK42" i="1"/>
  <c r="AL46" i="1"/>
  <c r="AM50" i="1"/>
  <c r="AN43" i="1"/>
  <c r="AC6" i="1"/>
  <c r="AB50" i="1"/>
  <c r="AR50" i="1"/>
  <c r="AB41" i="1"/>
  <c r="AR41" i="1"/>
  <c r="AB39" i="1"/>
  <c r="AR39" i="1"/>
  <c r="AB40" i="1"/>
  <c r="AR40" i="1"/>
  <c r="AB49" i="1"/>
  <c r="AR49" i="1"/>
  <c r="AC13" i="1"/>
  <c r="AB48" i="1"/>
  <c r="AR48" i="1"/>
  <c r="AC9" i="1"/>
  <c r="AB47" i="1"/>
  <c r="AR47" i="1"/>
  <c r="AB44" i="1"/>
  <c r="AR44" i="1"/>
  <c r="AB43" i="1"/>
  <c r="AR43" i="1"/>
  <c r="AB42" i="1"/>
  <c r="AR42" i="1"/>
  <c r="AB45" i="1"/>
  <c r="AR45" i="1"/>
  <c r="AB46" i="1"/>
  <c r="AR46" i="1"/>
  <c r="D41" i="12"/>
  <c r="D40" i="12"/>
  <c r="A2" i="16"/>
  <c r="A3" i="16"/>
  <c r="A4" i="16"/>
  <c r="A5" i="16"/>
  <c r="E3" i="15"/>
  <c r="E28" i="15"/>
  <c r="G28" i="15" s="1"/>
  <c r="H28" i="15" s="1"/>
  <c r="V26" i="15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U28" i="15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U33" i="15"/>
  <c r="U35" i="15"/>
  <c r="C5" i="14"/>
  <c r="T25" i="15"/>
  <c r="U23" i="15"/>
  <c r="F3" i="15"/>
  <c r="C3" i="14"/>
  <c r="G3" i="14"/>
  <c r="X28" i="15"/>
  <c r="U29" i="15"/>
  <c r="U30" i="15"/>
  <c r="U31" i="15"/>
  <c r="K3" i="15"/>
  <c r="D17" i="15"/>
  <c r="Z50" i="1"/>
  <c r="D3" i="14"/>
  <c r="H3" i="14"/>
  <c r="J3" i="15"/>
  <c r="V33" i="15"/>
  <c r="V35" i="15"/>
  <c r="D5" i="14"/>
  <c r="T27" i="15"/>
  <c r="E19" i="15"/>
  <c r="I19" i="15" s="1"/>
  <c r="E24" i="15"/>
  <c r="G24" i="15" s="1"/>
  <c r="H24" i="15" s="1"/>
  <c r="U24" i="15"/>
  <c r="AP50" i="1"/>
  <c r="Z39" i="1"/>
  <c r="Z48" i="1"/>
  <c r="AP48" i="1"/>
  <c r="Z49" i="1"/>
  <c r="AP49" i="1"/>
  <c r="Z40" i="1"/>
  <c r="AP40" i="1"/>
  <c r="Z45" i="1"/>
  <c r="AP45" i="1"/>
  <c r="Z42" i="1"/>
  <c r="Z43" i="1"/>
  <c r="AP43" i="1"/>
  <c r="Z46" i="1"/>
  <c r="AP46" i="1"/>
  <c r="F20" i="15"/>
  <c r="AP42" i="1"/>
  <c r="AP39" i="1"/>
  <c r="AA47" i="1"/>
  <c r="AQ47" i="1"/>
  <c r="AA44" i="1"/>
  <c r="AQ44" i="1"/>
  <c r="AA41" i="1"/>
  <c r="AQ41" i="1"/>
  <c r="AA46" i="1"/>
  <c r="AQ46" i="1"/>
  <c r="AA49" i="1"/>
  <c r="AQ49" i="1"/>
  <c r="AA43" i="1"/>
  <c r="AQ43" i="1"/>
  <c r="AA48" i="1"/>
  <c r="AQ48" i="1"/>
  <c r="AA42" i="1"/>
  <c r="AA45" i="1"/>
  <c r="AQ45" i="1"/>
  <c r="AA40" i="1"/>
  <c r="AQ40" i="1"/>
  <c r="AA50" i="1"/>
  <c r="AA39" i="1"/>
  <c r="C26" i="17"/>
  <c r="I26" i="17"/>
  <c r="C14" i="17"/>
  <c r="I14" i="17"/>
  <c r="I25" i="17"/>
  <c r="C25" i="17"/>
  <c r="AQ50" i="1"/>
  <c r="C41" i="13"/>
  <c r="AQ42" i="1"/>
  <c r="AQ39" i="1"/>
  <c r="I14" i="13"/>
  <c r="C14" i="13"/>
  <c r="I25" i="13"/>
  <c r="C25" i="13"/>
  <c r="C26" i="13"/>
  <c r="I26" i="13"/>
  <c r="AC47" i="1"/>
  <c r="AS47" i="1"/>
  <c r="AC44" i="1"/>
  <c r="AS44" i="1"/>
  <c r="AC41" i="1"/>
  <c r="AS41" i="1"/>
  <c r="AC45" i="1"/>
  <c r="AS45" i="1"/>
  <c r="AC49" i="1"/>
  <c r="AS49" i="1"/>
  <c r="AC46" i="1"/>
  <c r="AS46" i="1"/>
  <c r="AC42" i="1"/>
  <c r="AS42" i="1"/>
  <c r="AC43" i="1"/>
  <c r="AS43" i="1"/>
  <c r="AC48" i="1"/>
  <c r="AS48" i="1"/>
  <c r="AC40" i="1"/>
  <c r="AS40" i="1"/>
  <c r="AC50" i="1"/>
  <c r="AS50" i="1"/>
  <c r="AC39" i="1"/>
  <c r="AS39" i="1"/>
  <c r="E4" i="2"/>
  <c r="I3" i="17"/>
  <c r="C3" i="17"/>
  <c r="I27" i="17"/>
  <c r="C27" i="17"/>
  <c r="I41" i="17"/>
  <c r="C41" i="17"/>
  <c r="I27" i="13"/>
  <c r="C27" i="13"/>
  <c r="I41" i="13"/>
  <c r="I3" i="13"/>
  <c r="C3" i="13"/>
  <c r="D31" i="2"/>
  <c r="F31" i="2"/>
  <c r="E31" i="2"/>
  <c r="D17" i="2"/>
  <c r="F17" i="2"/>
  <c r="D48" i="2"/>
  <c r="F48" i="2"/>
  <c r="E5" i="2"/>
  <c r="D30" i="2"/>
  <c r="F30" i="2"/>
  <c r="E30" i="2"/>
  <c r="E33" i="2"/>
  <c r="E34" i="2"/>
  <c r="E18" i="2"/>
  <c r="D32" i="2"/>
  <c r="F32" i="2"/>
  <c r="E32" i="2"/>
  <c r="E6" i="2"/>
  <c r="E19" i="2"/>
  <c r="D4" i="2"/>
  <c r="F4" i="2"/>
  <c r="D18" i="2"/>
  <c r="F18" i="2"/>
  <c r="D5" i="2"/>
  <c r="F5" i="2"/>
  <c r="D19" i="2"/>
  <c r="F19" i="2"/>
  <c r="D34" i="2"/>
  <c r="F34" i="2"/>
  <c r="E48" i="2"/>
  <c r="E17" i="2"/>
  <c r="D6" i="2"/>
  <c r="F6" i="2"/>
  <c r="D33" i="2"/>
  <c r="F33" i="2"/>
  <c r="J41" i="17"/>
  <c r="D41" i="17"/>
  <c r="J14" i="17"/>
  <c r="D14" i="17"/>
  <c r="J25" i="13"/>
  <c r="D25" i="17"/>
  <c r="J25" i="17"/>
  <c r="D26" i="13"/>
  <c r="D26" i="17"/>
  <c r="J26" i="17"/>
  <c r="H25" i="12"/>
  <c r="J26" i="13"/>
  <c r="J41" i="13"/>
  <c r="D25" i="13"/>
  <c r="D27" i="13"/>
  <c r="J27" i="13"/>
  <c r="D41" i="13"/>
  <c r="J14" i="13"/>
  <c r="D14" i="13"/>
  <c r="J3" i="13"/>
  <c r="D3" i="13"/>
  <c r="V27" i="15"/>
  <c r="X27" i="15"/>
  <c r="U26" i="15"/>
  <c r="H20" i="12" l="1"/>
  <c r="H24" i="12"/>
  <c r="H34" i="12"/>
  <c r="H22" i="12"/>
  <c r="D35" i="12"/>
  <c r="G12" i="12"/>
  <c r="H42" i="12"/>
  <c r="H40" i="12"/>
  <c r="D25" i="12"/>
  <c r="H5" i="12"/>
  <c r="H33" i="12"/>
  <c r="H11" i="12"/>
  <c r="H32" i="12"/>
  <c r="D5" i="12"/>
  <c r="D32" i="12"/>
  <c r="G39" i="12"/>
  <c r="G16" i="12"/>
  <c r="F8" i="15"/>
  <c r="I17" i="15"/>
  <c r="H39" i="12"/>
  <c r="F7" i="15"/>
  <c r="D23" i="15"/>
  <c r="D39" i="12"/>
  <c r="H23" i="12"/>
  <c r="H9" i="12"/>
  <c r="H30" i="12"/>
  <c r="H31" i="12"/>
  <c r="H17" i="12"/>
  <c r="H18" i="12"/>
  <c r="H6" i="12"/>
  <c r="H26" i="12"/>
  <c r="F29" i="12"/>
  <c r="D23" i="12"/>
  <c r="C17" i="15"/>
  <c r="H41" i="12"/>
  <c r="F25" i="15"/>
  <c r="D19" i="15"/>
  <c r="D42" i="12"/>
  <c r="J38" i="12"/>
  <c r="H21" i="12"/>
  <c r="H7" i="12"/>
  <c r="H35" i="12"/>
  <c r="H19" i="12"/>
  <c r="H10" i="12"/>
  <c r="H16" i="12"/>
  <c r="H15" i="12"/>
  <c r="D18" i="12"/>
  <c r="D21" i="12"/>
  <c r="E39" i="12"/>
  <c r="I28" i="12"/>
  <c r="I23" i="12"/>
  <c r="E18" i="15"/>
  <c r="I18" i="15" s="1"/>
  <c r="D10" i="15"/>
  <c r="D16" i="12"/>
  <c r="J17" i="12"/>
  <c r="F30" i="12"/>
  <c r="F31" i="15"/>
  <c r="E27" i="15"/>
  <c r="G27" i="15" s="1"/>
  <c r="H27" i="15" s="1"/>
  <c r="E11" i="15"/>
  <c r="G11" i="15" s="1"/>
  <c r="H11" i="15" s="1"/>
  <c r="D27" i="15"/>
  <c r="J6" i="12"/>
  <c r="G26" i="12"/>
  <c r="F9" i="12"/>
  <c r="C19" i="15"/>
  <c r="F40" i="12"/>
  <c r="F14" i="15"/>
  <c r="F39" i="12"/>
  <c r="E10" i="15"/>
  <c r="C14" i="15"/>
  <c r="C22" i="15"/>
  <c r="J25" i="12"/>
  <c r="J42" i="12"/>
  <c r="G42" i="12"/>
  <c r="F11" i="15"/>
  <c r="E26" i="15"/>
  <c r="Q46" i="15" s="1"/>
  <c r="D14" i="15"/>
  <c r="G28" i="12"/>
  <c r="G17" i="12"/>
  <c r="E22" i="12"/>
  <c r="C23" i="15"/>
  <c r="C27" i="15"/>
  <c r="G25" i="15"/>
  <c r="H25" i="15" s="1"/>
  <c r="Q45" i="15"/>
  <c r="N25" i="15"/>
  <c r="F42" i="12"/>
  <c r="F17" i="15"/>
  <c r="F5" i="15"/>
  <c r="G33" i="15"/>
  <c r="H33" i="15" s="1"/>
  <c r="E29" i="15"/>
  <c r="G29" i="15" s="1"/>
  <c r="H29" i="15" s="1"/>
  <c r="D29" i="15"/>
  <c r="J16" i="12"/>
  <c r="J19" i="12"/>
  <c r="J12" i="12"/>
  <c r="F11" i="12"/>
  <c r="F19" i="12"/>
  <c r="F36" i="12"/>
  <c r="D12" i="12"/>
  <c r="C13" i="15"/>
  <c r="I25" i="15"/>
  <c r="J25" i="15" s="1"/>
  <c r="Q16" i="15"/>
  <c r="F9" i="15"/>
  <c r="F13" i="15"/>
  <c r="N18" i="15"/>
  <c r="G17" i="15"/>
  <c r="H17" i="15" s="1"/>
  <c r="F33" i="15"/>
  <c r="J35" i="12"/>
  <c r="J27" i="12"/>
  <c r="J15" i="12"/>
  <c r="J32" i="12"/>
  <c r="F35" i="12"/>
  <c r="F24" i="12"/>
  <c r="F27" i="12"/>
  <c r="J40" i="12"/>
  <c r="I33" i="15"/>
  <c r="J17" i="15"/>
  <c r="E5" i="15"/>
  <c r="G5" i="15" s="1"/>
  <c r="H5" i="15" s="1"/>
  <c r="J11" i="12"/>
  <c r="J22" i="12"/>
  <c r="J29" i="12"/>
  <c r="F34" i="12"/>
  <c r="F31" i="12"/>
  <c r="F14" i="12"/>
  <c r="I22" i="15"/>
  <c r="J22" i="15" s="1"/>
  <c r="Q42" i="15"/>
  <c r="G14" i="15"/>
  <c r="H14" i="15" s="1"/>
  <c r="I14" i="15"/>
  <c r="J14" i="15" s="1"/>
  <c r="I42" i="12"/>
  <c r="I25" i="12"/>
  <c r="K18" i="15"/>
  <c r="I18" i="12"/>
  <c r="I7" i="12"/>
  <c r="E37" i="12"/>
  <c r="I39" i="12"/>
  <c r="I41" i="12"/>
  <c r="J41" i="12"/>
  <c r="Q4" i="15"/>
  <c r="F41" i="12"/>
  <c r="F22" i="15"/>
  <c r="F6" i="15"/>
  <c r="F10" i="15"/>
  <c r="F23" i="15"/>
  <c r="J18" i="15"/>
  <c r="E6" i="15"/>
  <c r="I6" i="15" s="1"/>
  <c r="J6" i="15" s="1"/>
  <c r="E15" i="15"/>
  <c r="N15" i="15" s="1"/>
  <c r="D7" i="15"/>
  <c r="D30" i="15"/>
  <c r="D11" i="15"/>
  <c r="J30" i="12"/>
  <c r="J20" i="12"/>
  <c r="J5" i="12"/>
  <c r="J24" i="12"/>
  <c r="I16" i="12"/>
  <c r="J14" i="12"/>
  <c r="J31" i="12"/>
  <c r="I21" i="12"/>
  <c r="F13" i="12"/>
  <c r="F26" i="12"/>
  <c r="F21" i="12"/>
  <c r="F15" i="12"/>
  <c r="F20" i="12"/>
  <c r="F6" i="12"/>
  <c r="E36" i="12"/>
  <c r="C31" i="15"/>
  <c r="I40" i="12"/>
  <c r="Q13" i="15"/>
  <c r="K19" i="15"/>
  <c r="E30" i="15"/>
  <c r="I30" i="15" s="1"/>
  <c r="D22" i="15"/>
  <c r="C26" i="15"/>
  <c r="C6" i="15"/>
  <c r="J39" i="12"/>
  <c r="Q5" i="15"/>
  <c r="F25" i="12"/>
  <c r="F18" i="15"/>
  <c r="F26" i="15"/>
  <c r="F15" i="15"/>
  <c r="G18" i="15"/>
  <c r="H18" i="15" s="1"/>
  <c r="G22" i="15"/>
  <c r="H22" i="15" s="1"/>
  <c r="F30" i="15"/>
  <c r="E7" i="15"/>
  <c r="G7" i="15" s="1"/>
  <c r="H7" i="15" s="1"/>
  <c r="D18" i="15"/>
  <c r="E42" i="12"/>
  <c r="J33" i="12"/>
  <c r="J36" i="12"/>
  <c r="I27" i="12"/>
  <c r="J37" i="12"/>
  <c r="J8" i="12"/>
  <c r="J10" i="12"/>
  <c r="I14" i="12"/>
  <c r="I9" i="12"/>
  <c r="F5" i="12"/>
  <c r="F10" i="12"/>
  <c r="F33" i="12"/>
  <c r="F7" i="12"/>
  <c r="F37" i="12"/>
  <c r="F32" i="12"/>
  <c r="E13" i="15"/>
  <c r="I22" i="12"/>
  <c r="I38" i="12"/>
  <c r="I26" i="12"/>
  <c r="E20" i="12"/>
  <c r="E19" i="12"/>
  <c r="E38" i="12"/>
  <c r="D11" i="12"/>
  <c r="D26" i="12"/>
  <c r="D31" i="12"/>
  <c r="D29" i="12"/>
  <c r="D20" i="12"/>
  <c r="Q44" i="15"/>
  <c r="E40" i="12"/>
  <c r="I35" i="12"/>
  <c r="I6" i="12"/>
  <c r="I10" i="12"/>
  <c r="I30" i="12"/>
  <c r="I37" i="12"/>
  <c r="I20" i="12"/>
  <c r="I5" i="12"/>
  <c r="I12" i="12"/>
  <c r="I8" i="12"/>
  <c r="I24" i="12"/>
  <c r="E33" i="12"/>
  <c r="E9" i="12"/>
  <c r="E15" i="12"/>
  <c r="D19" i="12"/>
  <c r="D24" i="12"/>
  <c r="D14" i="12"/>
  <c r="D8" i="12"/>
  <c r="N29" i="15"/>
  <c r="E9" i="15"/>
  <c r="D33" i="15"/>
  <c r="E41" i="12"/>
  <c r="I31" i="12"/>
  <c r="I36" i="12"/>
  <c r="I17" i="12"/>
  <c r="I13" i="12"/>
  <c r="I32" i="12"/>
  <c r="E5" i="12"/>
  <c r="E16" i="12"/>
  <c r="E7" i="12"/>
  <c r="C33" i="15"/>
  <c r="N12" i="15"/>
  <c r="J23" i="15"/>
  <c r="Q17" i="15"/>
  <c r="G41" i="12"/>
  <c r="F16" i="15"/>
  <c r="F24" i="15"/>
  <c r="Q43" i="15"/>
  <c r="E16" i="15"/>
  <c r="G16" i="15" s="1"/>
  <c r="H16" i="15" s="1"/>
  <c r="D32" i="15"/>
  <c r="D24" i="15"/>
  <c r="G38" i="12"/>
  <c r="G27" i="12"/>
  <c r="G34" i="12"/>
  <c r="G19" i="12"/>
  <c r="G24" i="12"/>
  <c r="G7" i="12"/>
  <c r="C16" i="15"/>
  <c r="I24" i="15"/>
  <c r="G40" i="12"/>
  <c r="Q14" i="15"/>
  <c r="Q9" i="15"/>
  <c r="Q6" i="15"/>
  <c r="Q8" i="15"/>
  <c r="F12" i="15"/>
  <c r="N11" i="15"/>
  <c r="N24" i="15"/>
  <c r="N19" i="15"/>
  <c r="N26" i="15"/>
  <c r="G19" i="15"/>
  <c r="H19" i="15" s="1"/>
  <c r="E8" i="15"/>
  <c r="I8" i="15" s="1"/>
  <c r="I12" i="15"/>
  <c r="N6" i="12"/>
  <c r="G21" i="12"/>
  <c r="G35" i="12"/>
  <c r="G13" i="12"/>
  <c r="G9" i="12"/>
  <c r="G32" i="12"/>
  <c r="G23" i="12"/>
  <c r="D27" i="12"/>
  <c r="D34" i="12"/>
  <c r="D7" i="12"/>
  <c r="D10" i="12"/>
  <c r="D38" i="12"/>
  <c r="D37" i="12"/>
  <c r="D6" i="12"/>
  <c r="D28" i="12"/>
  <c r="Q19" i="15"/>
  <c r="Q18" i="15"/>
  <c r="Q11" i="15"/>
  <c r="Q10" i="15"/>
  <c r="Q15" i="15"/>
  <c r="Q12" i="15"/>
  <c r="Q7" i="15"/>
  <c r="G25" i="12"/>
  <c r="N23" i="15"/>
  <c r="G12" i="15"/>
  <c r="H12" i="15" s="1"/>
  <c r="F32" i="15"/>
  <c r="E32" i="15"/>
  <c r="D12" i="15"/>
  <c r="N7" i="12"/>
  <c r="G5" i="12"/>
  <c r="G37" i="12"/>
  <c r="G18" i="12"/>
  <c r="G29" i="12"/>
  <c r="G33" i="12"/>
  <c r="G36" i="12"/>
  <c r="D17" i="12"/>
  <c r="D15" i="12"/>
  <c r="D9" i="12"/>
  <c r="D13" i="12"/>
  <c r="D33" i="12"/>
  <c r="D30" i="12"/>
  <c r="E21" i="12"/>
  <c r="E18" i="12"/>
  <c r="E30" i="12"/>
  <c r="E31" i="12"/>
  <c r="E26" i="12"/>
  <c r="E28" i="12"/>
  <c r="E8" i="12"/>
  <c r="E12" i="12"/>
  <c r="E25" i="12"/>
  <c r="I29" i="12"/>
  <c r="I15" i="12"/>
  <c r="I11" i="12"/>
  <c r="I34" i="12"/>
  <c r="I19" i="12"/>
  <c r="C5" i="15"/>
  <c r="I5" i="15"/>
  <c r="D21" i="15"/>
  <c r="E21" i="15"/>
  <c r="C25" i="15"/>
  <c r="D25" i="15"/>
  <c r="E11" i="12"/>
  <c r="E24" i="12"/>
  <c r="E35" i="12"/>
  <c r="E6" i="12"/>
  <c r="E27" i="12"/>
  <c r="E13" i="12"/>
  <c r="F22" i="12"/>
  <c r="F8" i="12"/>
  <c r="F12" i="12"/>
  <c r="F23" i="12"/>
  <c r="F16" i="12"/>
  <c r="F17" i="12"/>
  <c r="F18" i="12"/>
  <c r="F28" i="12"/>
  <c r="J21" i="12"/>
  <c r="J13" i="12"/>
  <c r="J9" i="12"/>
  <c r="J18" i="12"/>
  <c r="J23" i="12"/>
  <c r="J7" i="12"/>
  <c r="J34" i="12"/>
  <c r="J28" i="12"/>
  <c r="C21" i="15"/>
  <c r="C9" i="15"/>
  <c r="E17" i="12"/>
  <c r="E32" i="12"/>
  <c r="E34" i="12"/>
  <c r="E14" i="12"/>
  <c r="E10" i="12"/>
  <c r="E29" i="12"/>
  <c r="G15" i="12"/>
  <c r="G22" i="12"/>
  <c r="G8" i="12"/>
  <c r="G11" i="12"/>
  <c r="G30" i="12"/>
  <c r="G10" i="12"/>
  <c r="G20" i="12"/>
  <c r="G6" i="12"/>
  <c r="D15" i="15"/>
  <c r="I15" i="15"/>
  <c r="J19" i="15"/>
  <c r="G23" i="15"/>
  <c r="H23" i="15" s="1"/>
  <c r="E31" i="15"/>
  <c r="G31" i="15" s="1"/>
  <c r="H31" i="15" s="1"/>
  <c r="C4" i="15"/>
  <c r="E4" i="15"/>
  <c r="D4" i="15"/>
  <c r="C8" i="15"/>
  <c r="D20" i="15"/>
  <c r="E20" i="15"/>
  <c r="G20" i="15" s="1"/>
  <c r="H20" i="15" s="1"/>
  <c r="C28" i="15"/>
  <c r="U25" i="15"/>
  <c r="V28" i="15"/>
  <c r="Q47" i="15" l="1"/>
  <c r="I27" i="15"/>
  <c r="J27" i="15" s="1"/>
  <c r="N28" i="15"/>
  <c r="K25" i="15"/>
  <c r="I11" i="15"/>
  <c r="K12" i="15" s="1"/>
  <c r="K23" i="15"/>
  <c r="G26" i="15"/>
  <c r="H26" i="15" s="1"/>
  <c r="N27" i="15"/>
  <c r="I26" i="15"/>
  <c r="K26" i="15" s="1"/>
  <c r="L19" i="15"/>
  <c r="R5" i="15" s="1"/>
  <c r="G10" i="15"/>
  <c r="H10" i="15" s="1"/>
  <c r="I10" i="15"/>
  <c r="J10" i="15" s="1"/>
  <c r="G15" i="15"/>
  <c r="H15" i="15" s="1"/>
  <c r="N6" i="15"/>
  <c r="G6" i="15"/>
  <c r="H6" i="15" s="1"/>
  <c r="G30" i="15"/>
  <c r="H30" i="15" s="1"/>
  <c r="N30" i="15"/>
  <c r="N7" i="15"/>
  <c r="I7" i="15"/>
  <c r="C1" i="12"/>
  <c r="G13" i="15"/>
  <c r="H13" i="15" s="1"/>
  <c r="I13" i="15"/>
  <c r="K13" i="15" s="1"/>
  <c r="N14" i="15"/>
  <c r="N13" i="15"/>
  <c r="I9" i="15"/>
  <c r="G9" i="15"/>
  <c r="H9" i="15" s="1"/>
  <c r="N10" i="15"/>
  <c r="G32" i="15"/>
  <c r="H32" i="15" s="1"/>
  <c r="N33" i="15"/>
  <c r="I32" i="15"/>
  <c r="J24" i="15"/>
  <c r="N17" i="15"/>
  <c r="N16" i="15"/>
  <c r="J12" i="15"/>
  <c r="I16" i="15"/>
  <c r="K16" i="15" s="1"/>
  <c r="G8" i="15"/>
  <c r="H8" i="15" s="1"/>
  <c r="N9" i="15"/>
  <c r="N8" i="15"/>
  <c r="K24" i="15"/>
  <c r="F29" i="15"/>
  <c r="F28" i="15"/>
  <c r="Q35" i="15"/>
  <c r="Q31" i="15"/>
  <c r="Q34" i="15"/>
  <c r="Q37" i="15"/>
  <c r="Q32" i="15"/>
  <c r="Q36" i="15"/>
  <c r="Q38" i="15"/>
  <c r="Q33" i="15"/>
  <c r="Q28" i="15"/>
  <c r="Q22" i="15"/>
  <c r="Q27" i="15"/>
  <c r="Q29" i="15"/>
  <c r="Q26" i="15"/>
  <c r="Q25" i="15"/>
  <c r="Q24" i="15"/>
  <c r="Q23" i="15"/>
  <c r="I20" i="15"/>
  <c r="N20" i="15"/>
  <c r="J15" i="15"/>
  <c r="K15" i="15"/>
  <c r="J5" i="15"/>
  <c r="K6" i="15"/>
  <c r="G4" i="15"/>
  <c r="H4" i="15" s="1"/>
  <c r="N5" i="15"/>
  <c r="I4" i="15"/>
  <c r="N31" i="15"/>
  <c r="N32" i="15"/>
  <c r="I31" i="15"/>
  <c r="J8" i="15"/>
  <c r="G21" i="15"/>
  <c r="H21" i="15" s="1"/>
  <c r="N21" i="15"/>
  <c r="N22" i="15"/>
  <c r="I21" i="15"/>
  <c r="R22" i="15"/>
  <c r="R32" i="15"/>
  <c r="R25" i="15"/>
  <c r="R27" i="15"/>
  <c r="R28" i="15"/>
  <c r="R26" i="15"/>
  <c r="R29" i="15"/>
  <c r="R24" i="15"/>
  <c r="R23" i="15"/>
  <c r="J11" i="15" l="1"/>
  <c r="L26" i="15"/>
  <c r="R12" i="15" s="1"/>
  <c r="K11" i="15"/>
  <c r="L24" i="15"/>
  <c r="R10" i="15" s="1"/>
  <c r="J26" i="15"/>
  <c r="K27" i="15"/>
  <c r="L27" i="15" s="1"/>
  <c r="R13" i="15" s="1"/>
  <c r="J7" i="15"/>
  <c r="K7" i="15"/>
  <c r="L7" i="15" s="1"/>
  <c r="K8" i="15"/>
  <c r="Q40" i="15"/>
  <c r="J9" i="15"/>
  <c r="M12" i="15" s="1"/>
  <c r="K10" i="15"/>
  <c r="K14" i="15"/>
  <c r="L15" i="15" s="1"/>
  <c r="J13" i="15"/>
  <c r="K9" i="15"/>
  <c r="L13" i="15"/>
  <c r="K17" i="15"/>
  <c r="L18" i="15" s="1"/>
  <c r="R4" i="15" s="1"/>
  <c r="J16" i="15"/>
  <c r="L12" i="15"/>
  <c r="L25" i="15"/>
  <c r="R11" i="15" s="1"/>
  <c r="U34" i="15"/>
  <c r="K22" i="15"/>
  <c r="J21" i="15"/>
  <c r="J4" i="15"/>
  <c r="K4" i="15"/>
  <c r="K5" i="15"/>
  <c r="L6" i="15" s="1"/>
  <c r="Y4" i="15"/>
  <c r="Z4" i="15" s="1"/>
  <c r="Y9" i="15"/>
  <c r="Z9" i="15" s="1"/>
  <c r="Y8" i="15"/>
  <c r="Z8" i="15" s="1"/>
  <c r="Y7" i="15"/>
  <c r="Z7" i="15" s="1"/>
  <c r="Y19" i="15"/>
  <c r="Z19" i="15" s="1"/>
  <c r="Y18" i="15"/>
  <c r="Z18" i="15" s="1"/>
  <c r="Y14" i="15"/>
  <c r="Z14" i="15" s="1"/>
  <c r="Y16" i="15"/>
  <c r="Z16" i="15" s="1"/>
  <c r="Y17" i="15"/>
  <c r="Z17" i="15" s="1"/>
  <c r="Y15" i="15"/>
  <c r="Z15" i="15" s="1"/>
  <c r="Y13" i="15"/>
  <c r="Z13" i="15" s="1"/>
  <c r="Y5" i="15"/>
  <c r="Z5" i="15" s="1"/>
  <c r="Y11" i="15"/>
  <c r="Z11" i="15" s="1"/>
  <c r="Y12" i="15"/>
  <c r="Z12" i="15" s="1"/>
  <c r="Y6" i="15"/>
  <c r="Z6" i="15" s="1"/>
  <c r="Y10" i="15"/>
  <c r="Z10" i="15" s="1"/>
  <c r="K20" i="15"/>
  <c r="L20" i="15" s="1"/>
  <c r="R6" i="15" s="1"/>
  <c r="J20" i="15"/>
  <c r="K21" i="15"/>
  <c r="L16" i="15"/>
  <c r="R31" i="15"/>
  <c r="M13" i="15" l="1"/>
  <c r="L11" i="15"/>
  <c r="L8" i="15"/>
  <c r="M16" i="15"/>
  <c r="L9" i="15"/>
  <c r="L10" i="15"/>
  <c r="M8" i="15"/>
  <c r="L21" i="15"/>
  <c r="R7" i="15" s="1"/>
  <c r="M17" i="15"/>
  <c r="M15" i="15"/>
  <c r="M11" i="15"/>
  <c r="M18" i="15"/>
  <c r="M19" i="15"/>
  <c r="M14" i="15"/>
  <c r="L14" i="15"/>
  <c r="L17" i="15"/>
  <c r="M10" i="15"/>
  <c r="M9" i="15"/>
  <c r="M24" i="15"/>
  <c r="L5" i="15"/>
  <c r="L22" i="15"/>
  <c r="R8" i="15" s="1"/>
  <c r="L23" i="15"/>
  <c r="R9" i="15" s="1"/>
  <c r="M23" i="15"/>
  <c r="M21" i="15"/>
  <c r="M26" i="15"/>
  <c r="M27" i="15"/>
  <c r="M22" i="15"/>
  <c r="M20" i="15"/>
  <c r="M25" i="15"/>
  <c r="C4" i="14"/>
  <c r="U38" i="15"/>
  <c r="G5" i="14" s="1"/>
  <c r="U36" i="15"/>
  <c r="U43" i="15"/>
  <c r="Q48" i="15" l="1"/>
  <c r="Q49" i="15" s="1"/>
  <c r="C6" i="14"/>
  <c r="I29" i="15"/>
  <c r="I28" i="15"/>
  <c r="J28" i="15" l="1"/>
  <c r="K29" i="15"/>
  <c r="K28" i="15"/>
  <c r="L28" i="15" s="1"/>
  <c r="R14" i="15" s="1"/>
  <c r="U27" i="15"/>
  <c r="R49" i="15"/>
  <c r="U41" i="15"/>
  <c r="J29" i="15"/>
  <c r="R34" i="15"/>
  <c r="R33" i="15"/>
  <c r="M28" i="15" l="1"/>
  <c r="M29" i="15"/>
  <c r="J33" i="15"/>
  <c r="J31" i="15"/>
  <c r="J30" i="15"/>
  <c r="J32" i="15"/>
  <c r="L29" i="15"/>
  <c r="R15" i="15" s="1"/>
  <c r="R38" i="15"/>
  <c r="R36" i="15"/>
  <c r="R35" i="15"/>
  <c r="R37" i="15"/>
  <c r="V34" i="15" l="1"/>
  <c r="M33" i="15"/>
  <c r="M32" i="15"/>
  <c r="M30" i="15"/>
  <c r="M31" i="15"/>
  <c r="D4" i="14" l="1"/>
  <c r="V38" i="15"/>
  <c r="H5" i="14" s="1"/>
  <c r="V36" i="15"/>
  <c r="D6" i="14" l="1"/>
  <c r="K30" i="15"/>
  <c r="Q50" i="15"/>
  <c r="Q51" i="15" s="1"/>
  <c r="Q52" i="15" s="1"/>
  <c r="Q53" i="15" s="1"/>
  <c r="R53" i="15" s="1"/>
  <c r="O31" i="15"/>
  <c r="O32" i="15" s="1"/>
  <c r="O33" i="15" s="1"/>
  <c r="L30" i="15" l="1"/>
  <c r="R16" i="15" s="1"/>
  <c r="K31" i="15"/>
  <c r="L31" i="15" l="1"/>
  <c r="R17" i="15" s="1"/>
  <c r="K32" i="15"/>
  <c r="K33" i="15" l="1"/>
  <c r="L32" i="15"/>
  <c r="R18" i="15" s="1"/>
  <c r="V41" i="15" l="1"/>
  <c r="L33" i="15"/>
  <c r="R19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C4" authorId="0" shapeId="0" xr:uid="{4E33F1A0-5E68-428A-8531-8CD7AB00ED3F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 mano</t>
        </r>
      </text>
    </comment>
    <comment ref="C32" authorId="0" shapeId="0" xr:uid="{96FF934D-AD81-491B-84CA-20E38B9925DB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 mano</t>
        </r>
      </text>
    </comment>
  </commentList>
</comments>
</file>

<file path=xl/sharedStrings.xml><?xml version="1.0" encoding="utf-8"?>
<sst xmlns="http://schemas.openxmlformats.org/spreadsheetml/2006/main" count="1210" uniqueCount="175">
  <si>
    <t>Argentina</t>
  </si>
  <si>
    <t>Antigua y Barbuda</t>
  </si>
  <si>
    <t>Brasil</t>
  </si>
  <si>
    <t>Bahamas</t>
  </si>
  <si>
    <t>Chile</t>
  </si>
  <si>
    <t>Barbados</t>
  </si>
  <si>
    <t>Colombia</t>
  </si>
  <si>
    <t>Belice</t>
  </si>
  <si>
    <t>Costa Rica</t>
  </si>
  <si>
    <t>Bolivia (Estado Plurinacional de)</t>
  </si>
  <si>
    <t>Ecuador</t>
  </si>
  <si>
    <t>Cuba</t>
  </si>
  <si>
    <t>México</t>
  </si>
  <si>
    <t>Paraguay</t>
  </si>
  <si>
    <t>El Salvador</t>
  </si>
  <si>
    <t>Perú</t>
  </si>
  <si>
    <t>Guatemala</t>
  </si>
  <si>
    <t>Uruguay</t>
  </si>
  <si>
    <t>Haití</t>
  </si>
  <si>
    <t>Honduras</t>
  </si>
  <si>
    <t>Dominica</t>
  </si>
  <si>
    <t>Nicaragua</t>
  </si>
  <si>
    <t>Panamá</t>
  </si>
  <si>
    <t>Granada</t>
  </si>
  <si>
    <t>Guyana</t>
  </si>
  <si>
    <t>República Dominicana</t>
  </si>
  <si>
    <t>Jamaica</t>
  </si>
  <si>
    <t>Saint Kitts y Nevis</t>
  </si>
  <si>
    <t>San Vicente y las Granadinas</t>
  </si>
  <si>
    <t>Santa Lucía</t>
  </si>
  <si>
    <t>Suriname</t>
  </si>
  <si>
    <t>Trinidad y Tabago</t>
  </si>
  <si>
    <t>Venezuela (República Bolivariana de)</t>
  </si>
  <si>
    <t>América Latina y el Caribe</t>
  </si>
  <si>
    <t>América Latina</t>
  </si>
  <si>
    <t>El Caribe</t>
  </si>
  <si>
    <t>CAR</t>
  </si>
  <si>
    <t>ASUR</t>
  </si>
  <si>
    <t>ACENT</t>
  </si>
  <si>
    <t>América del Sur</t>
  </si>
  <si>
    <t>América Central</t>
  </si>
  <si>
    <t>América Central y México</t>
  </si>
  <si>
    <t>PROMEDIO PONDERADO</t>
  </si>
  <si>
    <t>ALC</t>
  </si>
  <si>
    <t>AL</t>
  </si>
  <si>
    <t>ACMEX</t>
  </si>
  <si>
    <t>Producto interno bruto total</t>
  </si>
  <si>
    <t>(Millones de dólares a precios constantes de 2010)</t>
  </si>
  <si>
    <t>País</t>
  </si>
  <si>
    <t>Crecimiento del PIB</t>
  </si>
  <si>
    <t>Fuente: CEPAL</t>
  </si>
  <si>
    <t>HACER PRUEBAS ACÁ</t>
  </si>
  <si>
    <t>¯</t>
  </si>
  <si>
    <t>País o región</t>
  </si>
  <si>
    <t>ACÁ SE PONEN LAS TASAS QUE CALCULAN EL PIB EN NIVELES, QUE A SU VEZ SIRVEN PARA TODOS LOS CÁLCULOS</t>
  </si>
  <si>
    <t>PIB TRIMESTRAL</t>
  </si>
  <si>
    <t>trim</t>
  </si>
  <si>
    <t>Arrastre</t>
  </si>
  <si>
    <t>(En porcentajes, sobre la base de dólares constantes de 2010)</t>
  </si>
  <si>
    <t>Subtotal de América Latina</t>
  </si>
  <si>
    <t>Subtotal del Caribe</t>
  </si>
  <si>
    <t>Centroamérica (9 países)</t>
  </si>
  <si>
    <t>América del Sur (10 países)</t>
  </si>
  <si>
    <t>Dinámica</t>
  </si>
  <si>
    <t>América del Sur (excl. Venezuela)</t>
  </si>
  <si>
    <t>América Latina y el Caribe (excl. Venezuela)</t>
  </si>
  <si>
    <t>América Latina (excl. Venezuela)</t>
  </si>
  <si>
    <t>Proyección</t>
  </si>
  <si>
    <t>Crec. Trimestral</t>
  </si>
  <si>
    <t>Crec.Trim.</t>
  </si>
  <si>
    <t>AÑO ACTUAL</t>
  </si>
  <si>
    <t>PRÓX. AÑO</t>
  </si>
  <si>
    <t>MATCH PAÍS</t>
  </si>
  <si>
    <t>TRIM. FALTANTES</t>
  </si>
  <si>
    <t>EXP. DINÁMICA</t>
  </si>
  <si>
    <t>año actual</t>
  </si>
  <si>
    <t>Si dinámica…</t>
  </si>
  <si>
    <t>Entonces proy…</t>
  </si>
  <si>
    <t>Dinámica prom. asumida</t>
  </si>
  <si>
    <t>Crec. Trim. Actual</t>
  </si>
  <si>
    <t>para DT</t>
  </si>
  <si>
    <t>ALCsinV</t>
  </si>
  <si>
    <t>ALsinV</t>
  </si>
  <si>
    <t>ASURsinV</t>
  </si>
  <si>
    <t>proy</t>
  </si>
  <si>
    <t>TRIM. DIPONIBLES</t>
  </si>
  <si>
    <t>Country or region</t>
  </si>
  <si>
    <t>GDP growth</t>
  </si>
  <si>
    <t>Latin America and the Caribbean</t>
  </si>
  <si>
    <t>Bolivia (Plurinational State of)</t>
  </si>
  <si>
    <t>Brazil</t>
  </si>
  <si>
    <t>Peru</t>
  </si>
  <si>
    <t>Venezuela (Bolivarian Republic of)</t>
  </si>
  <si>
    <t>South America</t>
  </si>
  <si>
    <t>Haiti</t>
  </si>
  <si>
    <t>Mexico</t>
  </si>
  <si>
    <t>Domincan Republic</t>
  </si>
  <si>
    <t>Central America and Mexico</t>
  </si>
  <si>
    <t>Central America</t>
  </si>
  <si>
    <t>Latin America</t>
  </si>
  <si>
    <t>Antigua and Barbuda</t>
  </si>
  <si>
    <t>Belize</t>
  </si>
  <si>
    <t>Saint Kitts and Nevis</t>
  </si>
  <si>
    <t>Saint Vincent and the Grenadines</t>
  </si>
  <si>
    <t>Saint Lucia</t>
  </si>
  <si>
    <t>Trinidad and Tobago</t>
  </si>
  <si>
    <t>Grenada</t>
  </si>
  <si>
    <t>The Caribbean</t>
  </si>
  <si>
    <t>Source: ECLAC</t>
  </si>
  <si>
    <t>ACTUALIZAR TABLA DE CONSENSUS Y OTROS AL CAMBIAR DATOS</t>
  </si>
  <si>
    <t>ALsinBRA</t>
  </si>
  <si>
    <t>ASURsinB</t>
  </si>
  <si>
    <t>ALCsinB</t>
  </si>
  <si>
    <t>ALsinB</t>
  </si>
  <si>
    <t>América Latina y el Caribe (excl. Brasil)</t>
  </si>
  <si>
    <t>América Latina (excl. Brasil)</t>
  </si>
  <si>
    <t>América del Sur (excl. Brasil)</t>
  </si>
  <si>
    <t>ATG</t>
  </si>
  <si>
    <t>ARG</t>
  </si>
  <si>
    <t>BOL</t>
  </si>
  <si>
    <t>BRA</t>
  </si>
  <si>
    <t>CHL</t>
  </si>
  <si>
    <t>COL</t>
  </si>
  <si>
    <t>ECU</t>
  </si>
  <si>
    <t>MEX</t>
  </si>
  <si>
    <t>PRY</t>
  </si>
  <si>
    <t>PER</t>
  </si>
  <si>
    <t>URY</t>
  </si>
  <si>
    <t>VEN</t>
  </si>
  <si>
    <t>CRI</t>
  </si>
  <si>
    <t>DOM</t>
  </si>
  <si>
    <t>SLV</t>
  </si>
  <si>
    <t>GTM</t>
  </si>
  <si>
    <t>HTI</t>
  </si>
  <si>
    <t>HND</t>
  </si>
  <si>
    <t>NIC</t>
  </si>
  <si>
    <t>PAN</t>
  </si>
  <si>
    <t>BRB</t>
  </si>
  <si>
    <t>BLZ</t>
  </si>
  <si>
    <t>DMA</t>
  </si>
  <si>
    <t>GRD</t>
  </si>
  <si>
    <t>GUY</t>
  </si>
  <si>
    <t>JAM</t>
  </si>
  <si>
    <t>KNA</t>
  </si>
  <si>
    <t>LCA</t>
  </si>
  <si>
    <t>VCT</t>
  </si>
  <si>
    <t>SUR</t>
  </si>
  <si>
    <t>BHS</t>
  </si>
  <si>
    <t>TTO</t>
  </si>
  <si>
    <t>CUB</t>
  </si>
  <si>
    <t>CHECK</t>
  </si>
  <si>
    <t>EXP. PROYECCIÓN</t>
  </si>
  <si>
    <t>Si la dinámica es…</t>
  </si>
  <si>
    <t>Entonces la proyección sería…</t>
  </si>
  <si>
    <t>Simulación</t>
  </si>
  <si>
    <t>areaID</t>
  </si>
  <si>
    <t>Región o país</t>
  </si>
  <si>
    <t>ESTADÍSTICAS</t>
  </si>
  <si>
    <t>NOSOTROS</t>
  </si>
  <si>
    <t>Panama</t>
  </si>
  <si>
    <t>EE</t>
  </si>
  <si>
    <t>año base 2010</t>
  </si>
  <si>
    <t>modelo</t>
  </si>
  <si>
    <t>abril</t>
  </si>
  <si>
    <t>Nota: América Central incluye a Cuba, Haití y República Dominicana</t>
  </si>
  <si>
    <t>Note: Central America includes Cuba, Domincan Republic and Haiti</t>
  </si>
  <si>
    <t>ENVÍO 28 DE AGOSTO</t>
  </si>
  <si>
    <t>Octubre</t>
  </si>
  <si>
    <t>octubre</t>
  </si>
  <si>
    <t>Cierre</t>
  </si>
  <si>
    <t>poner acá el dato trim?</t>
  </si>
  <si>
    <t xml:space="preserve">revisar la fórmula según trim disponible </t>
  </si>
  <si>
    <t>y revisar tb que se aplica la dinámica del año</t>
  </si>
  <si>
    <t>Arimax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</si>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</sst>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  <numFmt numFmtId="167" formatCode="#,##0.00##_);[Red]\(#,##0.00##\)"/>
    <numFmt numFmtId="168" formatCode="&quot;$&quot;#,##0;\-&quot;$&quot;#,##0"/>
    <numFmt numFmtId="169" formatCode="_-[$€-2]\ * #,##0.00_-;\-[$€-2]\ * #,##0.00_-;_-[$€-2]\ * &quot;-&quot;??_-"/>
    <numFmt numFmtId="170" formatCode="_-[$€-2]* #,##0.00_-;\-[$€-2]* #,##0.00_-;_-[$€-2]* &quot;-&quot;??_-"/>
    <numFmt numFmtId="171" formatCode="#,##0.000"/>
    <numFmt numFmtId="172" formatCode="&quot;$&quot;#,##0\ ;\(&quot;$&quot;#,##0\)"/>
    <numFmt numFmtId="173" formatCode="mmm\.yyyy"/>
    <numFmt numFmtId="174" formatCode="0.0%"/>
    <numFmt numFmtId="175" formatCode="0.000"/>
    <numFmt numFmtId="176" formatCode="0.0000%"/>
    <numFmt numFmtId="177" formatCode="_-* #,##0.000000000000_-;\-* #,##0.000000000000_-;_-* &quot;-&quot;??_-;_-@_-"/>
    <numFmt numFmtId="178" formatCode="_(&quot;$&quot;\ * #,##0.00_);_(&quot;$&quot;\ * \(#,##0.00\);_(&quot;$&quot;\ * &quot;-&quot;??_);_(@_)"/>
    <numFmt numFmtId="179" formatCode="_ * #,##0.00_ ;_ * \-#,##0.00_ ;_ * &quot;-&quot;??_ ;_ @_ "/>
    <numFmt numFmtId="180" formatCode="_-* #,##0.00\ _€_-;\-* #,##0.00\ _€_-;_-* &quot;-&quot;??\ _€_-;_-@_-"/>
    <numFmt numFmtId="181" formatCode="_-* #,##0.00\ &quot;€&quot;_-;\-* #,##0.00\ &quot;€&quot;_-;_-* &quot;-&quot;??\ &quot;€&quot;_-;_-@_-"/>
  </numFmts>
  <fonts count="7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 tint="-0.249977111117893"/>
      <name val="Calibri"/>
      <family val="2"/>
      <scheme val="minor"/>
    </font>
    <font>
      <sz val="9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11"/>
      <color theme="1"/>
      <name val="Symbol"/>
      <family val="1"/>
      <charset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u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Comic Sans MS"/>
      <family val="4"/>
    </font>
    <font>
      <sz val="8"/>
      <name val="Arial"/>
      <family val="2"/>
    </font>
    <font>
      <sz val="11"/>
      <color indexed="20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ourier New"/>
      <family val="3"/>
    </font>
    <font>
      <b/>
      <i/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theme="1"/>
      <name val="Courier New"/>
      <family val="3"/>
    </font>
    <font>
      <sz val="9"/>
      <color theme="0" tint="-0.14999847407452621"/>
      <name val="Courier New"/>
      <family val="3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249977111117893"/>
      <name val="Calibri"/>
      <family val="2"/>
      <scheme val="minor"/>
    </font>
    <font>
      <sz val="12"/>
      <name val="Helv"/>
    </font>
    <font>
      <sz val="11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59">
    <xf numFmtId="0" fontId="0" fillId="0" borderId="0"/>
    <xf numFmtId="166" fontId="3" fillId="0" borderId="0" applyFill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1" fillId="0" borderId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4" fillId="32" borderId="13" applyNumberFormat="0" applyAlignment="0" applyProtection="0"/>
    <xf numFmtId="0" fontId="14" fillId="32" borderId="13" applyNumberFormat="0" applyAlignment="0" applyProtection="0"/>
    <xf numFmtId="0" fontId="14" fillId="32" borderId="13" applyNumberFormat="0" applyAlignment="0" applyProtection="0"/>
    <xf numFmtId="0" fontId="14" fillId="32" borderId="13" applyNumberFormat="0" applyAlignment="0" applyProtection="0"/>
    <xf numFmtId="0" fontId="15" fillId="33" borderId="14" applyNumberFormat="0" applyAlignment="0" applyProtection="0"/>
    <xf numFmtId="0" fontId="15" fillId="33" borderId="14" applyNumberFormat="0" applyAlignment="0" applyProtection="0"/>
    <xf numFmtId="0" fontId="15" fillId="33" borderId="14" applyNumberFormat="0" applyAlignment="0" applyProtection="0"/>
    <xf numFmtId="0" fontId="15" fillId="33" borderId="14" applyNumberFormat="0" applyAlignment="0" applyProtection="0"/>
    <xf numFmtId="0" fontId="16" fillId="0" borderId="15" applyNumberFormat="0" applyFill="0" applyAlignment="0" applyProtection="0"/>
    <xf numFmtId="0" fontId="16" fillId="0" borderId="15" applyNumberFormat="0" applyFill="0" applyAlignment="0" applyProtection="0"/>
    <xf numFmtId="0" fontId="16" fillId="0" borderId="15" applyNumberFormat="0" applyFill="0" applyAlignment="0" applyProtection="0"/>
    <xf numFmtId="0" fontId="16" fillId="0" borderId="15" applyNumberFormat="0" applyFill="0" applyAlignment="0" applyProtection="0"/>
    <xf numFmtId="1" fontId="17" fillId="0" borderId="0" applyFill="0" applyBorder="0">
      <alignment horizontal="center"/>
    </xf>
    <xf numFmtId="43" fontId="3" fillId="0" borderId="0" applyFont="0" applyFill="0" applyBorder="0" applyAlignment="0" applyProtection="0">
      <alignment wrapText="1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19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 applyFont="0" applyFill="0" applyAlignment="0" applyProtection="0"/>
    <xf numFmtId="0" fontId="20" fillId="0" borderId="0" applyFill="0" applyBorder="0" applyAlignment="0" applyProtection="0"/>
    <xf numFmtId="0" fontId="2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23" fillId="23" borderId="13" applyNumberFormat="0" applyAlignment="0" applyProtection="0"/>
    <xf numFmtId="0" fontId="23" fillId="23" borderId="13" applyNumberFormat="0" applyAlignment="0" applyProtection="0"/>
    <xf numFmtId="0" fontId="23" fillId="23" borderId="13" applyNumberFormat="0" applyAlignment="0" applyProtection="0"/>
    <xf numFmtId="0" fontId="23" fillId="23" borderId="13" applyNumberFormat="0" applyAlignment="0" applyProtection="0"/>
    <xf numFmtId="169" fontId="3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4" fontId="20" fillId="0" borderId="0" applyFill="0" applyBorder="0" applyAlignment="0" applyProtection="0"/>
    <xf numFmtId="2" fontId="20" fillId="0" borderId="0" applyFont="0" applyFill="0" applyAlignment="0" applyProtection="0"/>
    <xf numFmtId="0" fontId="21" fillId="0" borderId="0" applyNumberFormat="0" applyFont="0" applyFill="0" applyAlignment="0" applyProtection="0"/>
    <xf numFmtId="0" fontId="25" fillId="0" borderId="0" applyNumberFormat="0" applyFont="0" applyFill="0" applyAlignment="0" applyProtection="0"/>
    <xf numFmtId="0" fontId="21" fillId="0" borderId="0" applyNumberFormat="0" applyFont="0" applyFill="0" applyAlignment="0" applyProtection="0"/>
    <xf numFmtId="0" fontId="19" fillId="0" borderId="0" applyNumberFormat="0" applyFont="0" applyFill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28" fillId="38" borderId="0" applyNumberFormat="0" applyBorder="0" applyAlignment="0" applyProtection="0"/>
    <xf numFmtId="0" fontId="2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2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3" fillId="0" borderId="0"/>
    <xf numFmtId="0" fontId="27" fillId="0" borderId="0"/>
    <xf numFmtId="0" fontId="27" fillId="0" borderId="0"/>
    <xf numFmtId="0" fontId="2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9" borderId="16" applyNumberFormat="0" applyFont="0" applyAlignment="0" applyProtection="0"/>
    <xf numFmtId="0" fontId="3" fillId="39" borderId="16" applyNumberFormat="0" applyFont="0" applyAlignment="0" applyProtection="0"/>
    <xf numFmtId="0" fontId="3" fillId="39" borderId="16" applyNumberFormat="0" applyFont="0" applyAlignment="0" applyProtection="0"/>
    <xf numFmtId="0" fontId="3" fillId="39" borderId="16" applyNumberFormat="0" applyFont="0" applyAlignment="0" applyProtection="0"/>
    <xf numFmtId="0" fontId="10" fillId="5" borderId="12" applyNumberFormat="0" applyFont="0" applyAlignment="0" applyProtection="0"/>
    <xf numFmtId="0" fontId="10" fillId="5" borderId="12" applyNumberFormat="0" applyFont="0" applyAlignment="0" applyProtection="0"/>
    <xf numFmtId="0" fontId="10" fillId="5" borderId="12" applyNumberFormat="0" applyFont="0" applyAlignment="0" applyProtection="0"/>
    <xf numFmtId="9" fontId="3" fillId="0" borderId="0" applyFont="0" applyFill="0" applyBorder="0" applyAlignmen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0" fontId="31" fillId="32" borderId="17" applyNumberFormat="0" applyAlignment="0" applyProtection="0"/>
    <xf numFmtId="0" fontId="31" fillId="32" borderId="17" applyNumberFormat="0" applyAlignment="0" applyProtection="0"/>
    <xf numFmtId="0" fontId="31" fillId="32" borderId="17" applyNumberFormat="0" applyAlignment="0" applyProtection="0"/>
    <xf numFmtId="0" fontId="31" fillId="32" borderId="17" applyNumberFormat="0" applyAlignment="0" applyProtection="0"/>
    <xf numFmtId="0" fontId="3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" fontId="37" fillId="0" borderId="0" applyFill="0" applyBorder="0" applyAlignment="0"/>
    <xf numFmtId="0" fontId="38" fillId="0" borderId="21" applyNumberFormat="0" applyFill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38" applyNumberFormat="0" applyFill="0" applyAlignment="0" applyProtection="0"/>
    <xf numFmtId="0" fontId="50" fillId="0" borderId="39" applyNumberFormat="0" applyFill="0" applyAlignment="0" applyProtection="0"/>
    <xf numFmtId="0" fontId="51" fillId="0" borderId="40" applyNumberFormat="0" applyFill="0" applyAlignment="0" applyProtection="0"/>
    <xf numFmtId="0" fontId="51" fillId="0" borderId="0" applyNumberFormat="0" applyFill="0" applyBorder="0" applyAlignment="0" applyProtection="0"/>
    <xf numFmtId="0" fontId="52" fillId="45" borderId="0" applyNumberFormat="0" applyBorder="0" applyAlignment="0" applyProtection="0"/>
    <xf numFmtId="0" fontId="53" fillId="46" borderId="0" applyNumberFormat="0" applyBorder="0" applyAlignment="0" applyProtection="0"/>
    <xf numFmtId="0" fontId="54" fillId="47" borderId="0" applyNumberFormat="0" applyBorder="0" applyAlignment="0" applyProtection="0"/>
    <xf numFmtId="0" fontId="55" fillId="48" borderId="41" applyNumberFormat="0" applyAlignment="0" applyProtection="0"/>
    <xf numFmtId="0" fontId="56" fillId="49" borderId="42" applyNumberFormat="0" applyAlignment="0" applyProtection="0"/>
    <xf numFmtId="0" fontId="57" fillId="49" borderId="41" applyNumberFormat="0" applyAlignment="0" applyProtection="0"/>
    <xf numFmtId="0" fontId="58" fillId="0" borderId="43" applyNumberFormat="0" applyFill="0" applyAlignment="0" applyProtection="0"/>
    <xf numFmtId="0" fontId="59" fillId="50" borderId="44" applyNumberFormat="0" applyAlignment="0" applyProtection="0"/>
    <xf numFmtId="0" fontId="60" fillId="0" borderId="0" applyNumberFormat="0" applyFill="0" applyBorder="0" applyAlignment="0" applyProtection="0"/>
    <xf numFmtId="0" fontId="2" fillId="5" borderId="12" applyNumberFormat="0" applyFont="0" applyAlignment="0" applyProtection="0"/>
    <xf numFmtId="0" fontId="61" fillId="0" borderId="0" applyNumberFormat="0" applyFill="0" applyBorder="0" applyAlignment="0" applyProtection="0"/>
    <xf numFmtId="0" fontId="1" fillId="0" borderId="45" applyNumberFormat="0" applyFill="0" applyAlignment="0" applyProtection="0"/>
    <xf numFmtId="0" fontId="44" fillId="51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44" fillId="52" borderId="0" applyNumberFormat="0" applyBorder="0" applyAlignment="0" applyProtection="0"/>
    <xf numFmtId="0" fontId="44" fillId="5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44" fillId="54" borderId="0" applyNumberFormat="0" applyBorder="0" applyAlignment="0" applyProtection="0"/>
    <xf numFmtId="0" fontId="44" fillId="55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44" fillId="56" borderId="0" applyNumberFormat="0" applyBorder="0" applyAlignment="0" applyProtection="0"/>
    <xf numFmtId="0" fontId="44" fillId="57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44" fillId="58" borderId="0" applyNumberFormat="0" applyBorder="0" applyAlignment="0" applyProtection="0"/>
    <xf numFmtId="0" fontId="44" fillId="59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44" fillId="60" borderId="0" applyNumberFormat="0" applyBorder="0" applyAlignment="0" applyProtection="0"/>
    <xf numFmtId="0" fontId="44" fillId="61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44" fillId="62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43" fontId="11" fillId="0" borderId="0" applyFont="0" applyFill="0" applyBorder="0" applyAlignment="0" applyProtection="0"/>
    <xf numFmtId="0" fontId="66" fillId="0" borderId="0"/>
    <xf numFmtId="0" fontId="64" fillId="0" borderId="0" applyNumberFormat="0" applyFill="0" applyBorder="0" applyAlignment="0" applyProtection="0"/>
    <xf numFmtId="0" fontId="65" fillId="47" borderId="0" applyNumberFormat="0" applyBorder="0" applyAlignment="0" applyProtection="0"/>
    <xf numFmtId="0" fontId="2" fillId="52" borderId="0" applyNumberFormat="0" applyBorder="0" applyAlignment="0" applyProtection="0"/>
    <xf numFmtId="0" fontId="2" fillId="54" borderId="0" applyNumberFormat="0" applyBorder="0" applyAlignment="0" applyProtection="0"/>
    <xf numFmtId="0" fontId="2" fillId="56" borderId="0" applyNumberFormat="0" applyBorder="0" applyAlignment="0" applyProtection="0"/>
    <xf numFmtId="0" fontId="2" fillId="58" borderId="0" applyNumberFormat="0" applyBorder="0" applyAlignment="0" applyProtection="0"/>
    <xf numFmtId="0" fontId="2" fillId="60" borderId="0" applyNumberFormat="0" applyBorder="0" applyAlignment="0" applyProtection="0"/>
    <xf numFmtId="0" fontId="2" fillId="62" borderId="0" applyNumberFormat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37" fontId="70" fillId="0" borderId="0"/>
    <xf numFmtId="178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0" fontId="2" fillId="0" borderId="0" applyFont="0" applyFill="0" applyBorder="0" applyAlignment="0" applyProtection="0"/>
  </cellStyleXfs>
  <cellXfs count="192">
    <xf numFmtId="0" fontId="0" fillId="0" borderId="0" xfId="0"/>
    <xf numFmtId="0" fontId="1" fillId="0" borderId="1" xfId="0" applyFont="1" applyBorder="1" applyAlignment="1">
      <alignment horizontal="center"/>
    </xf>
    <xf numFmtId="165" fontId="0" fillId="0" borderId="2" xfId="0" applyNumberFormat="1" applyBorder="1"/>
    <xf numFmtId="165" fontId="0" fillId="0" borderId="3" xfId="0" applyNumberFormat="1" applyBorder="1"/>
    <xf numFmtId="0" fontId="1" fillId="0" borderId="6" xfId="0" applyFont="1" applyFill="1" applyBorder="1" applyAlignment="1">
      <alignment horizontal="left"/>
    </xf>
    <xf numFmtId="0" fontId="0" fillId="0" borderId="7" xfId="0" applyFont="1" applyBorder="1"/>
    <xf numFmtId="0" fontId="0" fillId="0" borderId="8" xfId="0" applyFont="1" applyBorder="1" applyAlignment="1">
      <alignment horizontal="left" indent="2"/>
    </xf>
    <xf numFmtId="0" fontId="0" fillId="0" borderId="9" xfId="0" applyFont="1" applyBorder="1" applyAlignment="1">
      <alignment horizontal="left" indent="1"/>
    </xf>
    <xf numFmtId="3" fontId="0" fillId="0" borderId="3" xfId="0" applyNumberFormat="1" applyBorder="1"/>
    <xf numFmtId="3" fontId="0" fillId="0" borderId="2" xfId="0" applyNumberFormat="1" applyBorder="1"/>
    <xf numFmtId="0" fontId="0" fillId="0" borderId="10" xfId="0" applyFont="1" applyBorder="1" applyAlignment="1">
      <alignment horizontal="left" indent="1"/>
    </xf>
    <xf numFmtId="0" fontId="0" fillId="0" borderId="10" xfId="0" applyFont="1" applyBorder="1" applyAlignment="1">
      <alignment horizontal="left" indent="2"/>
    </xf>
    <xf numFmtId="166" fontId="1" fillId="0" borderId="0" xfId="1" applyNumberFormat="1" applyFont="1" applyFill="1" applyAlignment="1">
      <alignment horizontal="left"/>
    </xf>
    <xf numFmtId="0" fontId="2" fillId="0" borderId="0" xfId="0" applyFont="1"/>
    <xf numFmtId="166" fontId="2" fillId="0" borderId="0" xfId="1" applyNumberFormat="1" applyFont="1" applyFill="1" applyAlignment="1">
      <alignment horizontal="left"/>
    </xf>
    <xf numFmtId="0" fontId="2" fillId="0" borderId="1" xfId="0" applyFont="1" applyBorder="1"/>
    <xf numFmtId="166" fontId="2" fillId="0" borderId="1" xfId="0" applyNumberFormat="1" applyFont="1" applyBorder="1"/>
    <xf numFmtId="0" fontId="2" fillId="0" borderId="0" xfId="0" applyFont="1" applyBorder="1"/>
    <xf numFmtId="0" fontId="0" fillId="0" borderId="10" xfId="0" applyBorder="1" applyAlignment="1">
      <alignment horizontal="left" indent="3"/>
    </xf>
    <xf numFmtId="0" fontId="4" fillId="0" borderId="0" xfId="0" applyFont="1"/>
    <xf numFmtId="0" fontId="0" fillId="0" borderId="1" xfId="0" applyFill="1" applyBorder="1"/>
    <xf numFmtId="0" fontId="5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0" borderId="2" xfId="0" applyFont="1" applyBorder="1"/>
    <xf numFmtId="165" fontId="1" fillId="2" borderId="1" xfId="0" applyNumberFormat="1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/>
    <xf numFmtId="0" fontId="9" fillId="0" borderId="0" xfId="0" applyFont="1"/>
    <xf numFmtId="166" fontId="0" fillId="0" borderId="0" xfId="0" applyNumberFormat="1"/>
    <xf numFmtId="0" fontId="1" fillId="4" borderId="6" xfId="0" applyFont="1" applyFill="1" applyBorder="1" applyAlignment="1"/>
    <xf numFmtId="0" fontId="1" fillId="4" borderId="4" xfId="0" applyFont="1" applyFill="1" applyBorder="1" applyAlignment="1"/>
    <xf numFmtId="0" fontId="1" fillId="4" borderId="5" xfId="0" applyFont="1" applyFill="1" applyBorder="1" applyAlignment="1"/>
    <xf numFmtId="0" fontId="1" fillId="0" borderId="0" xfId="0" applyFont="1"/>
    <xf numFmtId="174" fontId="0" fillId="0" borderId="0" xfId="292" applyNumberFormat="1" applyFont="1"/>
    <xf numFmtId="0" fontId="0" fillId="0" borderId="1" xfId="0" applyBorder="1"/>
    <xf numFmtId="173" fontId="9" fillId="0" borderId="1" xfId="0" applyNumberFormat="1" applyFont="1" applyBorder="1" applyAlignment="1">
      <alignment wrapText="1"/>
    </xf>
    <xf numFmtId="0" fontId="2" fillId="40" borderId="2" xfId="0" applyFont="1" applyFill="1" applyBorder="1"/>
    <xf numFmtId="166" fontId="0" fillId="40" borderId="1" xfId="0" applyNumberFormat="1" applyFont="1" applyFill="1" applyBorder="1"/>
    <xf numFmtId="0" fontId="39" fillId="0" borderId="0" xfId="0" applyFont="1"/>
    <xf numFmtId="0" fontId="0" fillId="0" borderId="0" xfId="0" applyAlignment="1">
      <alignment horizontal="left" indent="1"/>
    </xf>
    <xf numFmtId="175" fontId="0" fillId="0" borderId="0" xfId="0" applyNumberFormat="1"/>
    <xf numFmtId="166" fontId="1" fillId="0" borderId="0" xfId="0" applyNumberFormat="1" applyFont="1"/>
    <xf numFmtId="0" fontId="0" fillId="0" borderId="0" xfId="0" applyFont="1"/>
    <xf numFmtId="0" fontId="0" fillId="0" borderId="23" xfId="0" applyFont="1" applyFill="1" applyBorder="1"/>
    <xf numFmtId="0" fontId="1" fillId="2" borderId="23" xfId="0" applyFont="1" applyFill="1" applyBorder="1" applyAlignment="1"/>
    <xf numFmtId="0" fontId="1" fillId="2" borderId="24" xfId="0" applyFont="1" applyFill="1" applyBorder="1" applyAlignment="1"/>
    <xf numFmtId="0" fontId="1" fillId="2" borderId="22" xfId="0" applyFont="1" applyFill="1" applyBorder="1"/>
    <xf numFmtId="0" fontId="0" fillId="0" borderId="10" xfId="0" applyBorder="1" applyAlignment="1">
      <alignment horizontal="left" indent="2"/>
    </xf>
    <xf numFmtId="0" fontId="0" fillId="0" borderId="10" xfId="0" applyBorder="1" applyAlignment="1">
      <alignment horizontal="left" indent="1"/>
    </xf>
    <xf numFmtId="0" fontId="0" fillId="0" borderId="10" xfId="0" applyFont="1" applyBorder="1" applyAlignment="1">
      <alignment horizontal="left"/>
    </xf>
    <xf numFmtId="0" fontId="1" fillId="41" borderId="0" xfId="0" applyFont="1" applyFill="1" applyAlignment="1">
      <alignment horizontal="center"/>
    </xf>
    <xf numFmtId="0" fontId="0" fillId="41" borderId="0" xfId="0" applyFont="1" applyFill="1"/>
    <xf numFmtId="0" fontId="7" fillId="41" borderId="0" xfId="0" applyFont="1" applyFill="1" applyAlignment="1">
      <alignment horizontal="center"/>
    </xf>
    <xf numFmtId="0" fontId="0" fillId="41" borderId="1" xfId="0" applyFont="1" applyFill="1" applyBorder="1"/>
    <xf numFmtId="166" fontId="0" fillId="41" borderId="1" xfId="0" applyNumberFormat="1" applyFont="1" applyFill="1" applyBorder="1"/>
    <xf numFmtId="0" fontId="0" fillId="42" borderId="1" xfId="0" applyFont="1" applyFill="1" applyBorder="1"/>
    <xf numFmtId="166" fontId="0" fillId="42" borderId="1" xfId="0" applyNumberFormat="1" applyFont="1" applyFill="1" applyBorder="1"/>
    <xf numFmtId="0" fontId="0" fillId="0" borderId="0" xfId="0" applyFont="1" applyBorder="1"/>
    <xf numFmtId="0" fontId="1" fillId="0" borderId="0" xfId="0" applyFont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165" fontId="0" fillId="0" borderId="0" xfId="0" applyNumberFormat="1"/>
    <xf numFmtId="0" fontId="9" fillId="0" borderId="1" xfId="0" applyFont="1" applyFill="1" applyBorder="1" applyAlignment="1">
      <alignment vertical="top" wrapText="1"/>
    </xf>
    <xf numFmtId="3" fontId="9" fillId="0" borderId="1" xfId="0" applyNumberFormat="1" applyFont="1" applyFill="1" applyBorder="1" applyAlignment="1">
      <alignment vertical="top" wrapText="1"/>
    </xf>
    <xf numFmtId="3" fontId="9" fillId="0" borderId="0" xfId="0" applyNumberFormat="1" applyFont="1" applyFill="1" applyBorder="1" applyAlignment="1">
      <alignment vertical="top" wrapText="1"/>
    </xf>
    <xf numFmtId="165" fontId="9" fillId="0" borderId="1" xfId="0" applyNumberFormat="1" applyFont="1" applyBorder="1"/>
    <xf numFmtId="165" fontId="9" fillId="0" borderId="0" xfId="0" applyNumberFormat="1" applyFont="1" applyBorder="1"/>
    <xf numFmtId="3" fontId="9" fillId="0" borderId="1" xfId="0" applyNumberFormat="1" applyFont="1" applyBorder="1"/>
    <xf numFmtId="4" fontId="9" fillId="0" borderId="1" xfId="0" applyNumberFormat="1" applyFont="1" applyBorder="1"/>
    <xf numFmtId="4" fontId="9" fillId="0" borderId="0" xfId="0" applyNumberFormat="1" applyFont="1" applyBorder="1"/>
    <xf numFmtId="0" fontId="0" fillId="0" borderId="1" xfId="0" applyBorder="1" applyAlignment="1"/>
    <xf numFmtId="0" fontId="0" fillId="0" borderId="1" xfId="0" applyFont="1" applyBorder="1" applyAlignment="1">
      <alignment horizontal="right"/>
    </xf>
    <xf numFmtId="174" fontId="0" fillId="0" borderId="1" xfId="292" applyNumberFormat="1" applyFont="1" applyBorder="1"/>
    <xf numFmtId="174" fontId="0" fillId="0" borderId="1" xfId="0" applyNumberFormat="1" applyBorder="1"/>
    <xf numFmtId="0" fontId="0" fillId="0" borderId="0" xfId="0" applyAlignment="1"/>
    <xf numFmtId="0" fontId="9" fillId="0" borderId="1" xfId="0" applyFont="1" applyBorder="1" applyAlignment="1"/>
    <xf numFmtId="0" fontId="9" fillId="0" borderId="1" xfId="0" applyFont="1" applyFill="1" applyBorder="1" applyAlignment="1">
      <alignment vertical="top"/>
    </xf>
    <xf numFmtId="3" fontId="9" fillId="0" borderId="1" xfId="0" applyNumberFormat="1" applyFont="1" applyFill="1" applyBorder="1" applyAlignment="1">
      <alignment vertical="top"/>
    </xf>
    <xf numFmtId="0" fontId="9" fillId="0" borderId="1" xfId="0" applyFont="1" applyBorder="1"/>
    <xf numFmtId="17" fontId="9" fillId="0" borderId="1" xfId="0" applyNumberFormat="1" applyFont="1" applyBorder="1" applyAlignment="1">
      <alignment wrapText="1"/>
    </xf>
    <xf numFmtId="173" fontId="9" fillId="0" borderId="1" xfId="0" applyNumberFormat="1" applyFont="1" applyFill="1" applyBorder="1" applyAlignment="1">
      <alignment wrapText="1"/>
    </xf>
    <xf numFmtId="0" fontId="9" fillId="0" borderId="1" xfId="0" applyNumberFormat="1" applyFont="1" applyBorder="1"/>
    <xf numFmtId="0" fontId="9" fillId="0" borderId="1" xfId="0" applyNumberFormat="1" applyFont="1" applyFill="1" applyBorder="1"/>
    <xf numFmtId="0" fontId="40" fillId="43" borderId="0" xfId="0" applyFont="1" applyFill="1" applyAlignment="1" applyProtection="1">
      <alignment horizontal="left" indent="2"/>
      <protection locked="0"/>
    </xf>
    <xf numFmtId="0" fontId="0" fillId="43" borderId="0" xfId="0" applyFill="1" applyProtection="1"/>
    <xf numFmtId="0" fontId="41" fillId="43" borderId="25" xfId="0" applyFont="1" applyFill="1" applyBorder="1" applyProtection="1"/>
    <xf numFmtId="0" fontId="41" fillId="43" borderId="25" xfId="0" applyFont="1" applyFill="1" applyBorder="1" applyAlignment="1" applyProtection="1">
      <alignment horizontal="left" vertical="center" indent="2"/>
    </xf>
    <xf numFmtId="0" fontId="41" fillId="43" borderId="25" xfId="0" applyFont="1" applyFill="1" applyBorder="1" applyAlignment="1" applyProtection="1">
      <alignment vertical="center"/>
    </xf>
    <xf numFmtId="174" fontId="41" fillId="43" borderId="25" xfId="292" applyNumberFormat="1" applyFont="1" applyFill="1" applyBorder="1" applyAlignment="1" applyProtection="1">
      <alignment vertical="center"/>
    </xf>
    <xf numFmtId="0" fontId="9" fillId="43" borderId="0" xfId="0" applyFont="1" applyFill="1" applyProtection="1"/>
    <xf numFmtId="0" fontId="1" fillId="0" borderId="28" xfId="0" applyFont="1" applyBorder="1" applyAlignment="1">
      <alignment horizontal="center"/>
    </xf>
    <xf numFmtId="4" fontId="43" fillId="0" borderId="0" xfId="0" applyNumberFormat="1" applyFont="1" applyBorder="1"/>
    <xf numFmtId="3" fontId="43" fillId="0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right"/>
    </xf>
    <xf numFmtId="0" fontId="0" fillId="0" borderId="0" xfId="0" applyFont="1" applyAlignment="1">
      <alignment horizontal="left" indent="1"/>
    </xf>
    <xf numFmtId="0" fontId="0" fillId="0" borderId="33" xfId="0" applyBorder="1"/>
    <xf numFmtId="0" fontId="9" fillId="0" borderId="1" xfId="0" applyFont="1" applyFill="1" applyBorder="1"/>
    <xf numFmtId="0" fontId="0" fillId="0" borderId="0" xfId="0" applyFill="1"/>
    <xf numFmtId="0" fontId="44" fillId="0" borderId="0" xfId="0" applyFont="1"/>
    <xf numFmtId="3" fontId="42" fillId="0" borderId="1" xfId="0" applyNumberFormat="1" applyFont="1" applyFill="1" applyBorder="1" applyAlignment="1">
      <alignment vertical="top" wrapText="1"/>
    </xf>
    <xf numFmtId="3" fontId="42" fillId="0" borderId="1" xfId="0" applyNumberFormat="1" applyFont="1" applyBorder="1"/>
    <xf numFmtId="0" fontId="0" fillId="2" borderId="1" xfId="0" applyFill="1" applyBorder="1" applyAlignment="1"/>
    <xf numFmtId="0" fontId="0" fillId="2" borderId="1" xfId="0" applyFont="1" applyFill="1" applyBorder="1" applyAlignment="1">
      <alignment horizontal="right"/>
    </xf>
    <xf numFmtId="165" fontId="43" fillId="0" borderId="1" xfId="0" applyNumberFormat="1" applyFont="1" applyBorder="1"/>
    <xf numFmtId="4" fontId="43" fillId="0" borderId="1" xfId="0" applyNumberFormat="1" applyFont="1" applyBorder="1"/>
    <xf numFmtId="3" fontId="43" fillId="0" borderId="1" xfId="0" applyNumberFormat="1" applyFont="1" applyBorder="1"/>
    <xf numFmtId="17" fontId="43" fillId="0" borderId="1" xfId="0" applyNumberFormat="1" applyFont="1" applyBorder="1" applyAlignment="1">
      <alignment wrapText="1"/>
    </xf>
    <xf numFmtId="166" fontId="1" fillId="2" borderId="34" xfId="0" applyNumberFormat="1" applyFont="1" applyFill="1" applyBorder="1" applyAlignment="1">
      <alignment horizontal="center"/>
    </xf>
    <xf numFmtId="166" fontId="0" fillId="0" borderId="35" xfId="0" applyNumberFormat="1" applyFont="1" applyFill="1" applyBorder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9" fontId="0" fillId="0" borderId="0" xfId="292" applyFont="1"/>
    <xf numFmtId="10" fontId="0" fillId="0" borderId="1" xfId="292" applyNumberFormat="1" applyFont="1" applyBorder="1"/>
    <xf numFmtId="177" fontId="45" fillId="43" borderId="0" xfId="293" applyNumberFormat="1" applyFont="1" applyFill="1" applyProtection="1"/>
    <xf numFmtId="174" fontId="0" fillId="0" borderId="0" xfId="0" applyNumberFormat="1"/>
    <xf numFmtId="0" fontId="1" fillId="2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37" xfId="0" applyBorder="1"/>
    <xf numFmtId="0" fontId="0" fillId="0" borderId="10" xfId="0" applyBorder="1" applyAlignment="1">
      <alignment horizontal="left"/>
    </xf>
    <xf numFmtId="166" fontId="46" fillId="0" borderId="0" xfId="0" applyNumberFormat="1" applyFont="1" applyFill="1" applyBorder="1" applyAlignment="1">
      <alignment horizontal="center"/>
    </xf>
    <xf numFmtId="4" fontId="8" fillId="2" borderId="0" xfId="0" applyNumberFormat="1" applyFont="1" applyFill="1" applyBorder="1"/>
    <xf numFmtId="0" fontId="43" fillId="0" borderId="1" xfId="0" applyNumberFormat="1" applyFont="1" applyFill="1" applyBorder="1"/>
    <xf numFmtId="0" fontId="9" fillId="44" borderId="1" xfId="0" applyFont="1" applyFill="1" applyBorder="1"/>
    <xf numFmtId="173" fontId="9" fillId="44" borderId="1" xfId="0" applyNumberFormat="1" applyFont="1" applyFill="1" applyBorder="1" applyAlignment="1">
      <alignment wrapText="1"/>
    </xf>
    <xf numFmtId="0" fontId="9" fillId="44" borderId="1" xfId="0" applyNumberFormat="1" applyFont="1" applyFill="1" applyBorder="1"/>
    <xf numFmtId="0" fontId="0" fillId="0" borderId="1" xfId="0" applyBorder="1" applyAlignment="1">
      <alignment horizontal="left" indent="1"/>
    </xf>
    <xf numFmtId="176" fontId="0" fillId="0" borderId="1" xfId="292" applyNumberFormat="1" applyFont="1" applyBorder="1"/>
    <xf numFmtId="176" fontId="1" fillId="40" borderId="0" xfId="292" applyNumberFormat="1" applyFont="1" applyFill="1"/>
    <xf numFmtId="0" fontId="0" fillId="40" borderId="0" xfId="0" applyFill="1"/>
    <xf numFmtId="0" fontId="47" fillId="43" borderId="25" xfId="0" applyFont="1" applyFill="1" applyBorder="1" applyProtection="1"/>
    <xf numFmtId="0" fontId="47" fillId="43" borderId="25" xfId="0" applyFont="1" applyFill="1" applyBorder="1" applyAlignment="1" applyProtection="1">
      <alignment vertical="center"/>
    </xf>
    <xf numFmtId="0" fontId="47" fillId="43" borderId="25" xfId="0" applyFont="1" applyFill="1" applyBorder="1" applyAlignment="1" applyProtection="1">
      <alignment horizontal="left" vertical="center" indent="2"/>
    </xf>
    <xf numFmtId="174" fontId="47" fillId="43" borderId="25" xfId="292" applyNumberFormat="1" applyFont="1" applyFill="1" applyBorder="1" applyAlignment="1" applyProtection="1">
      <alignment vertical="center"/>
    </xf>
    <xf numFmtId="166" fontId="62" fillId="0" borderId="0" xfId="0" applyNumberFormat="1" applyFont="1" applyFill="1" applyBorder="1" applyAlignment="1">
      <alignment horizontal="center"/>
    </xf>
    <xf numFmtId="0" fontId="0" fillId="0" borderId="0" xfId="0"/>
    <xf numFmtId="166" fontId="2" fillId="0" borderId="0" xfId="292" applyNumberFormat="1" applyFont="1" applyBorder="1"/>
    <xf numFmtId="166" fontId="2" fillId="0" borderId="1" xfId="0" applyNumberFormat="1" applyFont="1" applyFill="1" applyBorder="1"/>
    <xf numFmtId="0" fontId="0" fillId="0" borderId="0" xfId="0" applyFill="1" applyAlignment="1">
      <alignment horizontal="left" indent="1"/>
    </xf>
    <xf numFmtId="0" fontId="41" fillId="43" borderId="26" xfId="0" applyFont="1" applyFill="1" applyBorder="1" applyAlignment="1" applyProtection="1">
      <alignment vertical="center"/>
    </xf>
    <xf numFmtId="0" fontId="0" fillId="43" borderId="0" xfId="0" applyFont="1" applyFill="1" applyProtection="1"/>
    <xf numFmtId="0" fontId="47" fillId="43" borderId="26" xfId="0" applyFont="1" applyFill="1" applyBorder="1" applyAlignment="1" applyProtection="1">
      <alignment vertical="center"/>
    </xf>
    <xf numFmtId="0" fontId="2" fillId="40" borderId="1" xfId="0" applyFont="1" applyFill="1" applyBorder="1"/>
    <xf numFmtId="10" fontId="2" fillId="0" borderId="0" xfId="292" applyNumberFormat="1" applyFont="1" applyBorder="1"/>
    <xf numFmtId="0" fontId="62" fillId="0" borderId="1" xfId="0" applyFont="1" applyBorder="1"/>
    <xf numFmtId="0" fontId="63" fillId="0" borderId="0" xfId="0" applyFont="1"/>
    <xf numFmtId="0" fontId="1" fillId="0" borderId="1" xfId="0" applyFont="1" applyBorder="1"/>
    <xf numFmtId="3" fontId="2" fillId="0" borderId="1" xfId="0" applyNumberFormat="1" applyFont="1" applyFill="1" applyBorder="1"/>
    <xf numFmtId="0" fontId="0" fillId="0" borderId="1" xfId="0" applyFont="1" applyFill="1" applyBorder="1"/>
    <xf numFmtId="166" fontId="0" fillId="0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1" fillId="0" borderId="1" xfId="0" applyFont="1" applyFill="1" applyBorder="1" applyAlignment="1">
      <alignment horizontal="left"/>
    </xf>
    <xf numFmtId="3" fontId="0" fillId="0" borderId="0" xfId="0" applyNumberFormat="1"/>
    <xf numFmtId="0" fontId="0" fillId="63" borderId="1" xfId="0" applyFill="1" applyBorder="1"/>
    <xf numFmtId="173" fontId="9" fillId="63" borderId="1" xfId="0" applyNumberFormat="1" applyFont="1" applyFill="1" applyBorder="1" applyAlignment="1">
      <alignment wrapText="1"/>
    </xf>
    <xf numFmtId="3" fontId="9" fillId="63" borderId="1" xfId="0" applyNumberFormat="1" applyFont="1" applyFill="1" applyBorder="1"/>
    <xf numFmtId="176" fontId="1" fillId="2" borderId="0" xfId="292" applyNumberFormat="1" applyFont="1" applyFill="1"/>
    <xf numFmtId="0" fontId="0" fillId="0" borderId="0" xfId="293" applyNumberFormat="1" applyFont="1"/>
    <xf numFmtId="166" fontId="0" fillId="0" borderId="1" xfId="0" applyNumberFormat="1" applyBorder="1"/>
    <xf numFmtId="166" fontId="0" fillId="0" borderId="0" xfId="0" applyNumberFormat="1" applyFont="1"/>
    <xf numFmtId="166" fontId="0" fillId="2" borderId="1" xfId="0" applyNumberFormat="1" applyFill="1" applyBorder="1"/>
    <xf numFmtId="0" fontId="0" fillId="0" borderId="0" xfId="0"/>
    <xf numFmtId="166" fontId="0" fillId="64" borderId="0" xfId="0" applyNumberFormat="1" applyFill="1"/>
    <xf numFmtId="0" fontId="1" fillId="0" borderId="3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166" fontId="1" fillId="2" borderId="48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0" fillId="0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166" fontId="0" fillId="0" borderId="34" xfId="0" applyNumberFormat="1" applyFont="1" applyFill="1" applyBorder="1" applyAlignment="1">
      <alignment horizontal="center"/>
    </xf>
    <xf numFmtId="166" fontId="0" fillId="0" borderId="36" xfId="0" applyNumberFormat="1" applyFont="1" applyFill="1" applyBorder="1" applyAlignment="1">
      <alignment horizontal="center"/>
    </xf>
    <xf numFmtId="0" fontId="1" fillId="0" borderId="4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1" fontId="9" fillId="0" borderId="1" xfId="0" applyNumberFormat="1" applyFont="1" applyFill="1" applyBorder="1"/>
    <xf numFmtId="166" fontId="69" fillId="41" borderId="1" xfId="0" applyNumberFormat="1" applyFont="1" applyFill="1" applyBorder="1"/>
    <xf numFmtId="166" fontId="71" fillId="41" borderId="1" xfId="0" applyNumberFormat="1" applyFont="1" applyFill="1" applyBorder="1"/>
    <xf numFmtId="166" fontId="71" fillId="42" borderId="1" xfId="0" applyNumberFormat="1" applyFont="1" applyFill="1" applyBorder="1"/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1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</cellXfs>
  <cellStyles count="359">
    <cellStyle name="20% - Accent1" xfId="312" builtinId="30" customBuiltin="1"/>
    <cellStyle name="20% - Accent1 2" xfId="2" xr:uid="{00000000-0005-0000-0000-000001000000}"/>
    <cellStyle name="20% - Accent1 2 2" xfId="3" xr:uid="{00000000-0005-0000-0000-000002000000}"/>
    <cellStyle name="20% - Accent1 3" xfId="4" xr:uid="{00000000-0005-0000-0000-000003000000}"/>
    <cellStyle name="20% - Accent2" xfId="316" builtinId="34" customBuiltin="1"/>
    <cellStyle name="20% - Accent2 2" xfId="5" xr:uid="{00000000-0005-0000-0000-000005000000}"/>
    <cellStyle name="20% - Accent2 2 2" xfId="6" xr:uid="{00000000-0005-0000-0000-000006000000}"/>
    <cellStyle name="20% - Accent2 3" xfId="7" xr:uid="{00000000-0005-0000-0000-000007000000}"/>
    <cellStyle name="20% - Accent3" xfId="320" builtinId="38" customBuiltin="1"/>
    <cellStyle name="20% - Accent3 2" xfId="8" xr:uid="{00000000-0005-0000-0000-000009000000}"/>
    <cellStyle name="20% - Accent3 2 2" xfId="9" xr:uid="{00000000-0005-0000-0000-00000A000000}"/>
    <cellStyle name="20% - Accent3 3" xfId="10" xr:uid="{00000000-0005-0000-0000-00000B000000}"/>
    <cellStyle name="20% - Accent4" xfId="324" builtinId="42" customBuiltin="1"/>
    <cellStyle name="20% - Accent4 2" xfId="11" xr:uid="{00000000-0005-0000-0000-00000D000000}"/>
    <cellStyle name="20% - Accent4 2 2" xfId="12" xr:uid="{00000000-0005-0000-0000-00000E000000}"/>
    <cellStyle name="20% - Accent4 3" xfId="13" xr:uid="{00000000-0005-0000-0000-00000F000000}"/>
    <cellStyle name="20% - Accent5" xfId="328" builtinId="46" customBuiltin="1"/>
    <cellStyle name="20% - Accent5 2" xfId="14" xr:uid="{00000000-0005-0000-0000-000011000000}"/>
    <cellStyle name="20% - Accent5 2 2" xfId="15" xr:uid="{00000000-0005-0000-0000-000012000000}"/>
    <cellStyle name="20% - Accent5 3" xfId="16" xr:uid="{00000000-0005-0000-0000-000013000000}"/>
    <cellStyle name="20% - Accent6" xfId="332" builtinId="50" customBuiltin="1"/>
    <cellStyle name="20% - Accent6 2" xfId="17" xr:uid="{00000000-0005-0000-0000-000015000000}"/>
    <cellStyle name="20% - Accent6 2 2" xfId="18" xr:uid="{00000000-0005-0000-0000-000016000000}"/>
    <cellStyle name="20% - Accent6 3" xfId="19" xr:uid="{00000000-0005-0000-0000-000017000000}"/>
    <cellStyle name="20% - Énfasis1 2" xfId="20" xr:uid="{00000000-0005-0000-0000-000018000000}"/>
    <cellStyle name="20% - Énfasis1 3" xfId="21" xr:uid="{00000000-0005-0000-0000-000019000000}"/>
    <cellStyle name="20% - Énfasis1 4" xfId="22" xr:uid="{00000000-0005-0000-0000-00001A000000}"/>
    <cellStyle name="20% - Énfasis1 5" xfId="23" xr:uid="{00000000-0005-0000-0000-00001B000000}"/>
    <cellStyle name="20% - Énfasis2 2" xfId="24" xr:uid="{00000000-0005-0000-0000-00001C000000}"/>
    <cellStyle name="20% - Énfasis2 3" xfId="25" xr:uid="{00000000-0005-0000-0000-00001D000000}"/>
    <cellStyle name="20% - Énfasis2 4" xfId="26" xr:uid="{00000000-0005-0000-0000-00001E000000}"/>
    <cellStyle name="20% - Énfasis2 5" xfId="27" xr:uid="{00000000-0005-0000-0000-00001F000000}"/>
    <cellStyle name="20% - Énfasis3 2" xfId="28" xr:uid="{00000000-0005-0000-0000-000020000000}"/>
    <cellStyle name="20% - Énfasis3 3" xfId="29" xr:uid="{00000000-0005-0000-0000-000021000000}"/>
    <cellStyle name="20% - Énfasis3 4" xfId="30" xr:uid="{00000000-0005-0000-0000-000022000000}"/>
    <cellStyle name="20% - Énfasis3 5" xfId="31" xr:uid="{00000000-0005-0000-0000-000023000000}"/>
    <cellStyle name="20% - Énfasis4 2" xfId="32" xr:uid="{00000000-0005-0000-0000-000024000000}"/>
    <cellStyle name="20% - Énfasis4 3" xfId="33" xr:uid="{00000000-0005-0000-0000-000025000000}"/>
    <cellStyle name="20% - Énfasis4 4" xfId="34" xr:uid="{00000000-0005-0000-0000-000026000000}"/>
    <cellStyle name="20% - Énfasis4 5" xfId="35" xr:uid="{00000000-0005-0000-0000-000027000000}"/>
    <cellStyle name="20% - Énfasis5 2" xfId="36" xr:uid="{00000000-0005-0000-0000-000028000000}"/>
    <cellStyle name="20% - Énfasis5 3" xfId="37" xr:uid="{00000000-0005-0000-0000-000029000000}"/>
    <cellStyle name="20% - Énfasis5 4" xfId="38" xr:uid="{00000000-0005-0000-0000-00002A000000}"/>
    <cellStyle name="20% - Énfasis5 5" xfId="39" xr:uid="{00000000-0005-0000-0000-00002B000000}"/>
    <cellStyle name="20% - Énfasis6 2" xfId="40" xr:uid="{00000000-0005-0000-0000-00002C000000}"/>
    <cellStyle name="20% - Énfasis6 3" xfId="41" xr:uid="{00000000-0005-0000-0000-00002D000000}"/>
    <cellStyle name="20% - Énfasis6 4" xfId="42" xr:uid="{00000000-0005-0000-0000-00002E000000}"/>
    <cellStyle name="20% - Énfasis6 5" xfId="43" xr:uid="{00000000-0005-0000-0000-00002F000000}"/>
    <cellStyle name="40% - Accent1" xfId="313" builtinId="31" customBuiltin="1"/>
    <cellStyle name="40% - Accent1 2" xfId="44" xr:uid="{00000000-0005-0000-0000-000031000000}"/>
    <cellStyle name="40% - Accent1 2 2" xfId="45" xr:uid="{00000000-0005-0000-0000-000032000000}"/>
    <cellStyle name="40% - Accent1 3" xfId="46" xr:uid="{00000000-0005-0000-0000-000033000000}"/>
    <cellStyle name="40% - Accent2" xfId="317" builtinId="35" customBuiltin="1"/>
    <cellStyle name="40% - Accent2 2" xfId="47" xr:uid="{00000000-0005-0000-0000-000035000000}"/>
    <cellStyle name="40% - Accent2 2 2" xfId="48" xr:uid="{00000000-0005-0000-0000-000036000000}"/>
    <cellStyle name="40% - Accent2 3" xfId="49" xr:uid="{00000000-0005-0000-0000-000037000000}"/>
    <cellStyle name="40% - Accent3" xfId="321" builtinId="39" customBuiltin="1"/>
    <cellStyle name="40% - Accent3 2" xfId="50" xr:uid="{00000000-0005-0000-0000-000039000000}"/>
    <cellStyle name="40% - Accent3 2 2" xfId="51" xr:uid="{00000000-0005-0000-0000-00003A000000}"/>
    <cellStyle name="40% - Accent3 3" xfId="52" xr:uid="{00000000-0005-0000-0000-00003B000000}"/>
    <cellStyle name="40% - Accent4" xfId="325" builtinId="43" customBuiltin="1"/>
    <cellStyle name="40% - Accent4 2" xfId="53" xr:uid="{00000000-0005-0000-0000-00003D000000}"/>
    <cellStyle name="40% - Accent4 2 2" xfId="54" xr:uid="{00000000-0005-0000-0000-00003E000000}"/>
    <cellStyle name="40% - Accent4 3" xfId="55" xr:uid="{00000000-0005-0000-0000-00003F000000}"/>
    <cellStyle name="40% - Accent5" xfId="329" builtinId="47" customBuiltin="1"/>
    <cellStyle name="40% - Accent5 2" xfId="56" xr:uid="{00000000-0005-0000-0000-000041000000}"/>
    <cellStyle name="40% - Accent5 2 2" xfId="57" xr:uid="{00000000-0005-0000-0000-000042000000}"/>
    <cellStyle name="40% - Accent5 3" xfId="58" xr:uid="{00000000-0005-0000-0000-000043000000}"/>
    <cellStyle name="40% - Accent6" xfId="333" builtinId="51" customBuiltin="1"/>
    <cellStyle name="40% - Accent6 2" xfId="59" xr:uid="{00000000-0005-0000-0000-000045000000}"/>
    <cellStyle name="40% - Accent6 2 2" xfId="60" xr:uid="{00000000-0005-0000-0000-000046000000}"/>
    <cellStyle name="40% - Accent6 3" xfId="61" xr:uid="{00000000-0005-0000-0000-000047000000}"/>
    <cellStyle name="40% - Énfasis1 2" xfId="62" xr:uid="{00000000-0005-0000-0000-000048000000}"/>
    <cellStyle name="40% - Énfasis1 3" xfId="63" xr:uid="{00000000-0005-0000-0000-000049000000}"/>
    <cellStyle name="40% - Énfasis1 4" xfId="64" xr:uid="{00000000-0005-0000-0000-00004A000000}"/>
    <cellStyle name="40% - Énfasis1 5" xfId="65" xr:uid="{00000000-0005-0000-0000-00004B000000}"/>
    <cellStyle name="40% - Énfasis2 2" xfId="66" xr:uid="{00000000-0005-0000-0000-00004C000000}"/>
    <cellStyle name="40% - Énfasis2 3" xfId="67" xr:uid="{00000000-0005-0000-0000-00004D000000}"/>
    <cellStyle name="40% - Énfasis2 4" xfId="68" xr:uid="{00000000-0005-0000-0000-00004E000000}"/>
    <cellStyle name="40% - Énfasis2 5" xfId="69" xr:uid="{00000000-0005-0000-0000-00004F000000}"/>
    <cellStyle name="40% - Énfasis3 2" xfId="70" xr:uid="{00000000-0005-0000-0000-000050000000}"/>
    <cellStyle name="40% - Énfasis3 3" xfId="71" xr:uid="{00000000-0005-0000-0000-000051000000}"/>
    <cellStyle name="40% - Énfasis3 4" xfId="72" xr:uid="{00000000-0005-0000-0000-000052000000}"/>
    <cellStyle name="40% - Énfasis3 5" xfId="73" xr:uid="{00000000-0005-0000-0000-000053000000}"/>
    <cellStyle name="40% - Énfasis4 2" xfId="74" xr:uid="{00000000-0005-0000-0000-000054000000}"/>
    <cellStyle name="40% - Énfasis4 3" xfId="75" xr:uid="{00000000-0005-0000-0000-000055000000}"/>
    <cellStyle name="40% - Énfasis4 4" xfId="76" xr:uid="{00000000-0005-0000-0000-000056000000}"/>
    <cellStyle name="40% - Énfasis4 5" xfId="77" xr:uid="{00000000-0005-0000-0000-000057000000}"/>
    <cellStyle name="40% - Énfasis5 2" xfId="78" xr:uid="{00000000-0005-0000-0000-000058000000}"/>
    <cellStyle name="40% - Énfasis5 3" xfId="79" xr:uid="{00000000-0005-0000-0000-000059000000}"/>
    <cellStyle name="40% - Énfasis5 4" xfId="80" xr:uid="{00000000-0005-0000-0000-00005A000000}"/>
    <cellStyle name="40% - Énfasis5 5" xfId="81" xr:uid="{00000000-0005-0000-0000-00005B000000}"/>
    <cellStyle name="40% - Énfasis6 2" xfId="82" xr:uid="{00000000-0005-0000-0000-00005C000000}"/>
    <cellStyle name="40% - Énfasis6 3" xfId="83" xr:uid="{00000000-0005-0000-0000-00005D000000}"/>
    <cellStyle name="40% - Énfasis6 4" xfId="84" xr:uid="{00000000-0005-0000-0000-00005E000000}"/>
    <cellStyle name="40% - Énfasis6 5" xfId="85" xr:uid="{00000000-0005-0000-0000-00005F000000}"/>
    <cellStyle name="60% - Accent1" xfId="314" builtinId="32" customBuiltin="1"/>
    <cellStyle name="60% - Accent1 2" xfId="341" xr:uid="{00000000-0005-0000-0000-000055010000}"/>
    <cellStyle name="60% - Accent2" xfId="318" builtinId="36" customBuiltin="1"/>
    <cellStyle name="60% - Accent2 2" xfId="342" xr:uid="{00000000-0005-0000-0000-000056010000}"/>
    <cellStyle name="60% - Accent3" xfId="322" builtinId="40" customBuiltin="1"/>
    <cellStyle name="60% - Accent3 2" xfId="343" xr:uid="{00000000-0005-0000-0000-000057010000}"/>
    <cellStyle name="60% - Accent4" xfId="326" builtinId="44" customBuiltin="1"/>
    <cellStyle name="60% - Accent4 2" xfId="344" xr:uid="{00000000-0005-0000-0000-000058010000}"/>
    <cellStyle name="60% - Accent5" xfId="330" builtinId="48" customBuiltin="1"/>
    <cellStyle name="60% - Accent5 2" xfId="345" xr:uid="{00000000-0005-0000-0000-000059010000}"/>
    <cellStyle name="60% - Accent6" xfId="334" builtinId="52" customBuiltin="1"/>
    <cellStyle name="60% - Accent6 2" xfId="346" xr:uid="{00000000-0005-0000-0000-00005A010000}"/>
    <cellStyle name="60% - Énfasis1 2" xfId="86" xr:uid="{00000000-0005-0000-0000-000066000000}"/>
    <cellStyle name="60% - Énfasis1 3" xfId="87" xr:uid="{00000000-0005-0000-0000-000067000000}"/>
    <cellStyle name="60% - Énfasis1 4" xfId="88" xr:uid="{00000000-0005-0000-0000-000068000000}"/>
    <cellStyle name="60% - Énfasis1 5" xfId="89" xr:uid="{00000000-0005-0000-0000-000069000000}"/>
    <cellStyle name="60% - Énfasis2 2" xfId="90" xr:uid="{00000000-0005-0000-0000-00006A000000}"/>
    <cellStyle name="60% - Énfasis2 3" xfId="91" xr:uid="{00000000-0005-0000-0000-00006B000000}"/>
    <cellStyle name="60% - Énfasis2 4" xfId="92" xr:uid="{00000000-0005-0000-0000-00006C000000}"/>
    <cellStyle name="60% - Énfasis2 5" xfId="93" xr:uid="{00000000-0005-0000-0000-00006D000000}"/>
    <cellStyle name="60% - Énfasis3 2" xfId="94" xr:uid="{00000000-0005-0000-0000-00006E000000}"/>
    <cellStyle name="60% - Énfasis3 3" xfId="95" xr:uid="{00000000-0005-0000-0000-00006F000000}"/>
    <cellStyle name="60% - Énfasis3 4" xfId="96" xr:uid="{00000000-0005-0000-0000-000070000000}"/>
    <cellStyle name="60% - Énfasis3 5" xfId="97" xr:uid="{00000000-0005-0000-0000-000071000000}"/>
    <cellStyle name="60% - Énfasis4 2" xfId="98" xr:uid="{00000000-0005-0000-0000-000072000000}"/>
    <cellStyle name="60% - Énfasis4 3" xfId="99" xr:uid="{00000000-0005-0000-0000-000073000000}"/>
    <cellStyle name="60% - Énfasis4 4" xfId="100" xr:uid="{00000000-0005-0000-0000-000074000000}"/>
    <cellStyle name="60% - Énfasis4 5" xfId="101" xr:uid="{00000000-0005-0000-0000-000075000000}"/>
    <cellStyle name="60% - Énfasis5 2" xfId="102" xr:uid="{00000000-0005-0000-0000-000076000000}"/>
    <cellStyle name="60% - Énfasis5 3" xfId="103" xr:uid="{00000000-0005-0000-0000-000077000000}"/>
    <cellStyle name="60% - Énfasis5 4" xfId="104" xr:uid="{00000000-0005-0000-0000-000078000000}"/>
    <cellStyle name="60% - Énfasis5 5" xfId="105" xr:uid="{00000000-0005-0000-0000-000079000000}"/>
    <cellStyle name="60% - Énfasis6 2" xfId="106" xr:uid="{00000000-0005-0000-0000-00007A000000}"/>
    <cellStyle name="60% - Énfasis6 3" xfId="107" xr:uid="{00000000-0005-0000-0000-00007B000000}"/>
    <cellStyle name="60% - Énfasis6 4" xfId="108" xr:uid="{00000000-0005-0000-0000-00007C000000}"/>
    <cellStyle name="60% - Énfasis6 5" xfId="109" xr:uid="{00000000-0005-0000-0000-00007D000000}"/>
    <cellStyle name="Accent1" xfId="311" builtinId="29" customBuiltin="1"/>
    <cellStyle name="Accent2" xfId="315" builtinId="33" customBuiltin="1"/>
    <cellStyle name="Accent3" xfId="319" builtinId="37" customBuiltin="1"/>
    <cellStyle name="Accent4" xfId="323" builtinId="41" customBuiltin="1"/>
    <cellStyle name="Accent5" xfId="327" builtinId="45" customBuiltin="1"/>
    <cellStyle name="Accent6" xfId="331" builtinId="49" customBuiltin="1"/>
    <cellStyle name="ANCLAS,REZONES Y SUS PARTES,DE FUNDICION,DE HIERRO O DE ACERO" xfId="335" xr:uid="{00000000-0005-0000-0000-000084000000}"/>
    <cellStyle name="Bad" xfId="300" builtinId="27" customBuiltin="1"/>
    <cellStyle name="blp_amount" xfId="110" xr:uid="{00000000-0005-0000-0000-000086000000}"/>
    <cellStyle name="Buena 2" xfId="111" xr:uid="{00000000-0005-0000-0000-000087000000}"/>
    <cellStyle name="Buena 3" xfId="112" xr:uid="{00000000-0005-0000-0000-000088000000}"/>
    <cellStyle name="Buena 4" xfId="113" xr:uid="{00000000-0005-0000-0000-000089000000}"/>
    <cellStyle name="Buena 5" xfId="114" xr:uid="{00000000-0005-0000-0000-00008A000000}"/>
    <cellStyle name="Calculation" xfId="304" builtinId="22" customBuiltin="1"/>
    <cellStyle name="Cálculo 2" xfId="115" xr:uid="{00000000-0005-0000-0000-00008C000000}"/>
    <cellStyle name="Cálculo 3" xfId="116" xr:uid="{00000000-0005-0000-0000-00008D000000}"/>
    <cellStyle name="Cálculo 4" xfId="117" xr:uid="{00000000-0005-0000-0000-00008E000000}"/>
    <cellStyle name="Cálculo 5" xfId="118" xr:uid="{00000000-0005-0000-0000-00008F000000}"/>
    <cellStyle name="Celda de comprobación 2" xfId="119" xr:uid="{00000000-0005-0000-0000-000090000000}"/>
    <cellStyle name="Celda de comprobación 3" xfId="120" xr:uid="{00000000-0005-0000-0000-000091000000}"/>
    <cellStyle name="Celda de comprobación 4" xfId="121" xr:uid="{00000000-0005-0000-0000-000092000000}"/>
    <cellStyle name="Celda de comprobación 5" xfId="122" xr:uid="{00000000-0005-0000-0000-000093000000}"/>
    <cellStyle name="Celda vinculada 2" xfId="123" xr:uid="{00000000-0005-0000-0000-000094000000}"/>
    <cellStyle name="Celda vinculada 3" xfId="124" xr:uid="{00000000-0005-0000-0000-000095000000}"/>
    <cellStyle name="Celda vinculada 4" xfId="125" xr:uid="{00000000-0005-0000-0000-000096000000}"/>
    <cellStyle name="Celda vinculada 5" xfId="126" xr:uid="{00000000-0005-0000-0000-000097000000}"/>
    <cellStyle name="Check Cell" xfId="306" builtinId="23" customBuiltin="1"/>
    <cellStyle name="Column Heads" xfId="127" xr:uid="{00000000-0005-0000-0000-000099000000}"/>
    <cellStyle name="Comma" xfId="293" builtinId="3"/>
    <cellStyle name="Comma 2" xfId="128" xr:uid="{00000000-0005-0000-0000-00009B000000}"/>
    <cellStyle name="Comma 3" xfId="129" xr:uid="{00000000-0005-0000-0000-00009C000000}"/>
    <cellStyle name="Comma 4" xfId="130" xr:uid="{00000000-0005-0000-0000-00009D000000}"/>
    <cellStyle name="Comma 5" xfId="131" xr:uid="{00000000-0005-0000-0000-00009E000000}"/>
    <cellStyle name="Comma 6" xfId="132" xr:uid="{00000000-0005-0000-0000-00009F000000}"/>
    <cellStyle name="Comma0" xfId="133" xr:uid="{00000000-0005-0000-0000-0000A0000000}"/>
    <cellStyle name="Currency0" xfId="134" xr:uid="{00000000-0005-0000-0000-0000A1000000}"/>
    <cellStyle name="Date" xfId="135" xr:uid="{00000000-0005-0000-0000-0000A2000000}"/>
    <cellStyle name="DIA" xfId="136" xr:uid="{00000000-0005-0000-0000-0000A3000000}"/>
    <cellStyle name="Diseño" xfId="336" xr:uid="{00000000-0005-0000-0000-0000A4000000}"/>
    <cellStyle name="ENCABEZ1" xfId="137" xr:uid="{00000000-0005-0000-0000-0000A5000000}"/>
    <cellStyle name="ENCABEZ2" xfId="138" xr:uid="{00000000-0005-0000-0000-0000A6000000}"/>
    <cellStyle name="Encabezado 1" xfId="139" xr:uid="{00000000-0005-0000-0000-0000A7000000}"/>
    <cellStyle name="Encabezado 2" xfId="140" xr:uid="{00000000-0005-0000-0000-0000A8000000}"/>
    <cellStyle name="Encabezado 4 2" xfId="141" xr:uid="{00000000-0005-0000-0000-0000A9000000}"/>
    <cellStyle name="Encabezado 4 3" xfId="142" xr:uid="{00000000-0005-0000-0000-0000AA000000}"/>
    <cellStyle name="Encabezado 4 4" xfId="143" xr:uid="{00000000-0005-0000-0000-0000AB000000}"/>
    <cellStyle name="Encabezado 4 5" xfId="144" xr:uid="{00000000-0005-0000-0000-0000AC000000}"/>
    <cellStyle name="Énfasis1 2" xfId="145" xr:uid="{00000000-0005-0000-0000-0000AD000000}"/>
    <cellStyle name="Énfasis1 3" xfId="146" xr:uid="{00000000-0005-0000-0000-0000AE000000}"/>
    <cellStyle name="Énfasis1 4" xfId="147" xr:uid="{00000000-0005-0000-0000-0000AF000000}"/>
    <cellStyle name="Énfasis1 5" xfId="148" xr:uid="{00000000-0005-0000-0000-0000B0000000}"/>
    <cellStyle name="Énfasis2 2" xfId="149" xr:uid="{00000000-0005-0000-0000-0000B1000000}"/>
    <cellStyle name="Énfasis2 3" xfId="150" xr:uid="{00000000-0005-0000-0000-0000B2000000}"/>
    <cellStyle name="Énfasis2 4" xfId="151" xr:uid="{00000000-0005-0000-0000-0000B3000000}"/>
    <cellStyle name="Énfasis2 5" xfId="152" xr:uid="{00000000-0005-0000-0000-0000B4000000}"/>
    <cellStyle name="Énfasis3 2" xfId="153" xr:uid="{00000000-0005-0000-0000-0000B5000000}"/>
    <cellStyle name="Énfasis3 3" xfId="154" xr:uid="{00000000-0005-0000-0000-0000B6000000}"/>
    <cellStyle name="Énfasis3 4" xfId="155" xr:uid="{00000000-0005-0000-0000-0000B7000000}"/>
    <cellStyle name="Énfasis3 5" xfId="156" xr:uid="{00000000-0005-0000-0000-0000B8000000}"/>
    <cellStyle name="Énfasis4 2" xfId="157" xr:uid="{00000000-0005-0000-0000-0000B9000000}"/>
    <cellStyle name="Énfasis4 3" xfId="158" xr:uid="{00000000-0005-0000-0000-0000BA000000}"/>
    <cellStyle name="Énfasis4 4" xfId="159" xr:uid="{00000000-0005-0000-0000-0000BB000000}"/>
    <cellStyle name="Énfasis4 5" xfId="160" xr:uid="{00000000-0005-0000-0000-0000BC000000}"/>
    <cellStyle name="Énfasis5 2" xfId="161" xr:uid="{00000000-0005-0000-0000-0000BD000000}"/>
    <cellStyle name="Énfasis5 3" xfId="162" xr:uid="{00000000-0005-0000-0000-0000BE000000}"/>
    <cellStyle name="Énfasis5 4" xfId="163" xr:uid="{00000000-0005-0000-0000-0000BF000000}"/>
    <cellStyle name="Énfasis5 5" xfId="164" xr:uid="{00000000-0005-0000-0000-0000C0000000}"/>
    <cellStyle name="Énfasis6 2" xfId="165" xr:uid="{00000000-0005-0000-0000-0000C1000000}"/>
    <cellStyle name="Énfasis6 3" xfId="166" xr:uid="{00000000-0005-0000-0000-0000C2000000}"/>
    <cellStyle name="Énfasis6 4" xfId="167" xr:uid="{00000000-0005-0000-0000-0000C3000000}"/>
    <cellStyle name="Énfasis6 5" xfId="168" xr:uid="{00000000-0005-0000-0000-0000C4000000}"/>
    <cellStyle name="Entrada 2" xfId="169" xr:uid="{00000000-0005-0000-0000-0000C5000000}"/>
    <cellStyle name="Entrada 3" xfId="170" xr:uid="{00000000-0005-0000-0000-0000C6000000}"/>
    <cellStyle name="Entrada 4" xfId="171" xr:uid="{00000000-0005-0000-0000-0000C7000000}"/>
    <cellStyle name="Entrada 5" xfId="172" xr:uid="{00000000-0005-0000-0000-0000C8000000}"/>
    <cellStyle name="Euro" xfId="173" xr:uid="{00000000-0005-0000-0000-0000C9000000}"/>
    <cellStyle name="Euro 2" xfId="174" xr:uid="{00000000-0005-0000-0000-0000CA000000}"/>
    <cellStyle name="Explanatory Text" xfId="309" builtinId="53" customBuiltin="1"/>
    <cellStyle name="Fecha" xfId="175" xr:uid="{00000000-0005-0000-0000-0000CC000000}"/>
    <cellStyle name="Fijo" xfId="176" xr:uid="{00000000-0005-0000-0000-0000CD000000}"/>
    <cellStyle name="FINANCIERO" xfId="177" xr:uid="{00000000-0005-0000-0000-0000CE000000}"/>
    <cellStyle name="Fixed" xfId="178" xr:uid="{00000000-0005-0000-0000-0000CF000000}"/>
    <cellStyle name="Good" xfId="299" builtinId="26" customBuiltin="1"/>
    <cellStyle name="Heading 1" xfId="295" builtinId="16" customBuiltin="1"/>
    <cellStyle name="Heading 1 2" xfId="179" xr:uid="{00000000-0005-0000-0000-0000D2000000}"/>
    <cellStyle name="Heading 2" xfId="296" builtinId="17" customBuiltin="1"/>
    <cellStyle name="Heading 2 2" xfId="180" xr:uid="{00000000-0005-0000-0000-0000D4000000}"/>
    <cellStyle name="Heading 3" xfId="297" builtinId="18" customBuiltin="1"/>
    <cellStyle name="Heading 4" xfId="298" builtinId="19" customBuiltin="1"/>
    <cellStyle name="HEADING1" xfId="181" xr:uid="{00000000-0005-0000-0000-0000D7000000}"/>
    <cellStyle name="HEADING2" xfId="182" xr:uid="{00000000-0005-0000-0000-0000D8000000}"/>
    <cellStyle name="Incorrecto 2" xfId="183" xr:uid="{00000000-0005-0000-0000-0000D9000000}"/>
    <cellStyle name="Incorrecto 3" xfId="184" xr:uid="{00000000-0005-0000-0000-0000DA000000}"/>
    <cellStyle name="Incorrecto 4" xfId="185" xr:uid="{00000000-0005-0000-0000-0000DB000000}"/>
    <cellStyle name="Incorrecto 5" xfId="186" xr:uid="{00000000-0005-0000-0000-0000DC000000}"/>
    <cellStyle name="Input" xfId="302" builtinId="20" customBuiltin="1"/>
    <cellStyle name="Linked Cell" xfId="305" builtinId="24" customBuiltin="1"/>
    <cellStyle name="Millares 10" xfId="187" xr:uid="{00000000-0005-0000-0000-0000DF000000}"/>
    <cellStyle name="Millares 11" xfId="188" xr:uid="{00000000-0005-0000-0000-0000E0000000}"/>
    <cellStyle name="Millares 12" xfId="189" xr:uid="{00000000-0005-0000-0000-0000E1000000}"/>
    <cellStyle name="Millares 13" xfId="190" xr:uid="{00000000-0005-0000-0000-0000E2000000}"/>
    <cellStyle name="Millares 14" xfId="191" xr:uid="{00000000-0005-0000-0000-0000E3000000}"/>
    <cellStyle name="Millares 15" xfId="192" xr:uid="{00000000-0005-0000-0000-0000E4000000}"/>
    <cellStyle name="Millares 2" xfId="193" xr:uid="{00000000-0005-0000-0000-0000E5000000}"/>
    <cellStyle name="Millares 2 2" xfId="337" xr:uid="{00000000-0005-0000-0000-0000E6000000}"/>
    <cellStyle name="Millares 2 2 2" xfId="356" xr:uid="{00000000-0005-0000-0000-000024000000}"/>
    <cellStyle name="Millares 2 3" xfId="353" xr:uid="{00000000-0005-0000-0000-000025000000}"/>
    <cellStyle name="Millares 2 4" xfId="347" xr:uid="{00000000-0005-0000-0000-000023000000}"/>
    <cellStyle name="Millares 2 52" xfId="355" xr:uid="{00000000-0005-0000-0000-000026000000}"/>
    <cellStyle name="Millares 2 53" xfId="358" xr:uid="{00000000-0005-0000-0000-000027000000}"/>
    <cellStyle name="Millares 3" xfId="194" xr:uid="{00000000-0005-0000-0000-0000E7000000}"/>
    <cellStyle name="Millares 3 2" xfId="195" xr:uid="{00000000-0005-0000-0000-0000E8000000}"/>
    <cellStyle name="Millares 3 3" xfId="196" xr:uid="{00000000-0005-0000-0000-0000E9000000}"/>
    <cellStyle name="Millares 3 4" xfId="197" xr:uid="{00000000-0005-0000-0000-0000EA000000}"/>
    <cellStyle name="Millares 3 5" xfId="354" xr:uid="{00000000-0005-0000-0000-000028000000}"/>
    <cellStyle name="Millares 4" xfId="198" xr:uid="{00000000-0005-0000-0000-0000EB000000}"/>
    <cellStyle name="Millares 5" xfId="199" xr:uid="{00000000-0005-0000-0000-0000EC000000}"/>
    <cellStyle name="Millares 6" xfId="200" xr:uid="{00000000-0005-0000-0000-0000ED000000}"/>
    <cellStyle name="Millares 7" xfId="201" xr:uid="{00000000-0005-0000-0000-0000EE000000}"/>
    <cellStyle name="Millares 8" xfId="202" xr:uid="{00000000-0005-0000-0000-0000EF000000}"/>
    <cellStyle name="Millares 8 2" xfId="352" xr:uid="{00000000-0005-0000-0000-000029000000}"/>
    <cellStyle name="Millares 9" xfId="203" xr:uid="{00000000-0005-0000-0000-0000F0000000}"/>
    <cellStyle name="Moneda 2" xfId="204" xr:uid="{00000000-0005-0000-0000-0000F1000000}"/>
    <cellStyle name="Moneda 2 2" xfId="357" xr:uid="{00000000-0005-0000-0000-00002A000000}"/>
    <cellStyle name="Moneda 3" xfId="205" xr:uid="{00000000-0005-0000-0000-0000F2000000}"/>
    <cellStyle name="Moneda 3 2" xfId="350" xr:uid="{00000000-0005-0000-0000-00002B000000}"/>
    <cellStyle name="Monetario0" xfId="206" xr:uid="{00000000-0005-0000-0000-0000F3000000}"/>
    <cellStyle name="Neutral" xfId="301" builtinId="28" customBuiltin="1"/>
    <cellStyle name="Neutral 2" xfId="207" xr:uid="{00000000-0005-0000-0000-0000F5000000}"/>
    <cellStyle name="Neutral 3" xfId="340" xr:uid="{00000000-0005-0000-0000-00005B010000}"/>
    <cellStyle name="No-definido" xfId="208" xr:uid="{00000000-0005-0000-0000-0000F6000000}"/>
    <cellStyle name="Normal" xfId="0" builtinId="0"/>
    <cellStyle name="Normal 10" xfId="209" xr:uid="{00000000-0005-0000-0000-0000F8000000}"/>
    <cellStyle name="Normal 11" xfId="210" xr:uid="{00000000-0005-0000-0000-0000F9000000}"/>
    <cellStyle name="Normal 12" xfId="211" xr:uid="{00000000-0005-0000-0000-0000FA000000}"/>
    <cellStyle name="Normal 13" xfId="212" xr:uid="{00000000-0005-0000-0000-0000FB000000}"/>
    <cellStyle name="Normal 13 2" xfId="348" xr:uid="{00000000-0005-0000-0000-00002E000000}"/>
    <cellStyle name="Normal 14" xfId="213" xr:uid="{00000000-0005-0000-0000-0000FC000000}"/>
    <cellStyle name="Normal 15" xfId="214" xr:uid="{00000000-0005-0000-0000-0000FD000000}"/>
    <cellStyle name="Normal 16" xfId="215" xr:uid="{00000000-0005-0000-0000-0000FE000000}"/>
    <cellStyle name="Normal 17" xfId="216" xr:uid="{00000000-0005-0000-0000-0000FF000000}"/>
    <cellStyle name="Normal 18" xfId="217" xr:uid="{00000000-0005-0000-0000-000000010000}"/>
    <cellStyle name="Normal 19" xfId="218" xr:uid="{00000000-0005-0000-0000-000001010000}"/>
    <cellStyle name="Normal 2" xfId="219" xr:uid="{00000000-0005-0000-0000-000002010000}"/>
    <cellStyle name="Normal 2 2" xfId="220" xr:uid="{00000000-0005-0000-0000-000003010000}"/>
    <cellStyle name="Normal 2 2 2" xfId="351" xr:uid="{00000000-0005-0000-0000-000030000000}"/>
    <cellStyle name="Normal 20" xfId="221" xr:uid="{00000000-0005-0000-0000-000004010000}"/>
    <cellStyle name="Normal 21" xfId="222" xr:uid="{00000000-0005-0000-0000-000005010000}"/>
    <cellStyle name="Normal 22" xfId="223" xr:uid="{00000000-0005-0000-0000-000006010000}"/>
    <cellStyle name="Normal 23" xfId="224" xr:uid="{00000000-0005-0000-0000-000007010000}"/>
    <cellStyle name="Normal 24" xfId="225" xr:uid="{00000000-0005-0000-0000-000008010000}"/>
    <cellStyle name="Normal 25" xfId="226" xr:uid="{00000000-0005-0000-0000-000009010000}"/>
    <cellStyle name="Normal 26" xfId="227" xr:uid="{00000000-0005-0000-0000-00000A010000}"/>
    <cellStyle name="Normal 27" xfId="228" xr:uid="{00000000-0005-0000-0000-00000B010000}"/>
    <cellStyle name="Normal 28" xfId="229" xr:uid="{00000000-0005-0000-0000-00000C010000}"/>
    <cellStyle name="Normal 29" xfId="230" xr:uid="{00000000-0005-0000-0000-00000D010000}"/>
    <cellStyle name="Normal 3" xfId="231" xr:uid="{00000000-0005-0000-0000-00000E010000}"/>
    <cellStyle name="Normal 3 2" xfId="232" xr:uid="{00000000-0005-0000-0000-00000F010000}"/>
    <cellStyle name="Normal 3 3" xfId="233" xr:uid="{00000000-0005-0000-0000-000010010000}"/>
    <cellStyle name="Normal 3 4" xfId="234" xr:uid="{00000000-0005-0000-0000-000011010000}"/>
    <cellStyle name="Normal 3 5" xfId="235" xr:uid="{00000000-0005-0000-0000-000012010000}"/>
    <cellStyle name="Normal 3 6" xfId="349" xr:uid="{00000000-0005-0000-0000-000031000000}"/>
    <cellStyle name="Normal 30" xfId="236" xr:uid="{00000000-0005-0000-0000-000013010000}"/>
    <cellStyle name="Normal 31" xfId="237" xr:uid="{00000000-0005-0000-0000-000014010000}"/>
    <cellStyle name="Normal 32" xfId="238" xr:uid="{00000000-0005-0000-0000-000015010000}"/>
    <cellStyle name="Normal 33" xfId="239" xr:uid="{00000000-0005-0000-0000-000016010000}"/>
    <cellStyle name="Normal 34" xfId="338" xr:uid="{00000000-0005-0000-0000-00005C010000}"/>
    <cellStyle name="Normal 4" xfId="240" xr:uid="{00000000-0005-0000-0000-000017010000}"/>
    <cellStyle name="Normal 4 2" xfId="241" xr:uid="{00000000-0005-0000-0000-000018010000}"/>
    <cellStyle name="Normal 5" xfId="242" xr:uid="{00000000-0005-0000-0000-000019010000}"/>
    <cellStyle name="Normal 5 2" xfId="243" xr:uid="{00000000-0005-0000-0000-00001A010000}"/>
    <cellStyle name="Normal 5 3" xfId="244" xr:uid="{00000000-0005-0000-0000-00001B010000}"/>
    <cellStyle name="Normal 5 4" xfId="245" xr:uid="{00000000-0005-0000-0000-00001C010000}"/>
    <cellStyle name="Normal 6" xfId="246" xr:uid="{00000000-0005-0000-0000-00001D010000}"/>
    <cellStyle name="Normal 7" xfId="247" xr:uid="{00000000-0005-0000-0000-00001E010000}"/>
    <cellStyle name="Normal 8" xfId="248" xr:uid="{00000000-0005-0000-0000-00001F010000}"/>
    <cellStyle name="Normal 9" xfId="249" xr:uid="{00000000-0005-0000-0000-000020010000}"/>
    <cellStyle name="normal_AMRAINnueva metodologia 24 de mayo" xfId="1" xr:uid="{00000000-0005-0000-0000-000021010000}"/>
    <cellStyle name="Notas 2" xfId="250" xr:uid="{00000000-0005-0000-0000-000022010000}"/>
    <cellStyle name="Notas 3" xfId="251" xr:uid="{00000000-0005-0000-0000-000023010000}"/>
    <cellStyle name="Notas 4" xfId="252" xr:uid="{00000000-0005-0000-0000-000024010000}"/>
    <cellStyle name="Notas 5" xfId="253" xr:uid="{00000000-0005-0000-0000-000025010000}"/>
    <cellStyle name="Note" xfId="308" builtinId="10" customBuiltin="1"/>
    <cellStyle name="Note 2" xfId="254" xr:uid="{00000000-0005-0000-0000-000027010000}"/>
    <cellStyle name="Note 2 2" xfId="255" xr:uid="{00000000-0005-0000-0000-000028010000}"/>
    <cellStyle name="Note 3" xfId="256" xr:uid="{00000000-0005-0000-0000-000029010000}"/>
    <cellStyle name="Output" xfId="303" builtinId="21" customBuiltin="1"/>
    <cellStyle name="Percent" xfId="292" builtinId="5"/>
    <cellStyle name="Percent 2" xfId="257" xr:uid="{00000000-0005-0000-0000-00002C010000}"/>
    <cellStyle name="Porcentual 2" xfId="258" xr:uid="{00000000-0005-0000-0000-00002D010000}"/>
    <cellStyle name="Porcentual 3" xfId="259" xr:uid="{00000000-0005-0000-0000-00002E010000}"/>
    <cellStyle name="Punto0" xfId="260" xr:uid="{00000000-0005-0000-0000-00002F010000}"/>
    <cellStyle name="Salida 2" xfId="261" xr:uid="{00000000-0005-0000-0000-000030010000}"/>
    <cellStyle name="Salida 3" xfId="262" xr:uid="{00000000-0005-0000-0000-000031010000}"/>
    <cellStyle name="Salida 4" xfId="263" xr:uid="{00000000-0005-0000-0000-000032010000}"/>
    <cellStyle name="Salida 5" xfId="264" xr:uid="{00000000-0005-0000-0000-000033010000}"/>
    <cellStyle name="Style 1" xfId="265" xr:uid="{00000000-0005-0000-0000-000034010000}"/>
    <cellStyle name="Texto de advertencia 2" xfId="266" xr:uid="{00000000-0005-0000-0000-000035010000}"/>
    <cellStyle name="Texto de advertencia 3" xfId="267" xr:uid="{00000000-0005-0000-0000-000036010000}"/>
    <cellStyle name="Texto de advertencia 4" xfId="268" xr:uid="{00000000-0005-0000-0000-000037010000}"/>
    <cellStyle name="Texto de advertencia 5" xfId="269" xr:uid="{00000000-0005-0000-0000-000038010000}"/>
    <cellStyle name="Texto explicativo 2" xfId="270" xr:uid="{00000000-0005-0000-0000-000039010000}"/>
    <cellStyle name="Texto explicativo 3" xfId="271" xr:uid="{00000000-0005-0000-0000-00003A010000}"/>
    <cellStyle name="Texto explicativo 4" xfId="272" xr:uid="{00000000-0005-0000-0000-00003B010000}"/>
    <cellStyle name="Texto explicativo 5" xfId="273" xr:uid="{00000000-0005-0000-0000-00003C010000}"/>
    <cellStyle name="Title" xfId="294" builtinId="15" customBuiltin="1"/>
    <cellStyle name="Title 2" xfId="339" xr:uid="{00000000-0005-0000-0000-00005D010000}"/>
    <cellStyle name="Título 1 2" xfId="274" xr:uid="{00000000-0005-0000-0000-00003E010000}"/>
    <cellStyle name="Título 1 3" xfId="275" xr:uid="{00000000-0005-0000-0000-00003F010000}"/>
    <cellStyle name="Título 1 4" xfId="276" xr:uid="{00000000-0005-0000-0000-000040010000}"/>
    <cellStyle name="Título 1 5" xfId="277" xr:uid="{00000000-0005-0000-0000-000041010000}"/>
    <cellStyle name="Título 2 2" xfId="278" xr:uid="{00000000-0005-0000-0000-000042010000}"/>
    <cellStyle name="Título 2 3" xfId="279" xr:uid="{00000000-0005-0000-0000-000043010000}"/>
    <cellStyle name="Título 2 4" xfId="280" xr:uid="{00000000-0005-0000-0000-000044010000}"/>
    <cellStyle name="Título 2 5" xfId="281" xr:uid="{00000000-0005-0000-0000-000045010000}"/>
    <cellStyle name="Título 3 2" xfId="282" xr:uid="{00000000-0005-0000-0000-000046010000}"/>
    <cellStyle name="Título 3 3" xfId="283" xr:uid="{00000000-0005-0000-0000-000047010000}"/>
    <cellStyle name="Título 3 4" xfId="284" xr:uid="{00000000-0005-0000-0000-000048010000}"/>
    <cellStyle name="Título 3 5" xfId="285" xr:uid="{00000000-0005-0000-0000-000049010000}"/>
    <cellStyle name="Título 4" xfId="286" xr:uid="{00000000-0005-0000-0000-00004A010000}"/>
    <cellStyle name="Título 5" xfId="287" xr:uid="{00000000-0005-0000-0000-00004B010000}"/>
    <cellStyle name="Título 6" xfId="288" xr:uid="{00000000-0005-0000-0000-00004C010000}"/>
    <cellStyle name="Título 7" xfId="289" xr:uid="{00000000-0005-0000-0000-00004D010000}"/>
    <cellStyle name="Top Column Head" xfId="290" xr:uid="{00000000-0005-0000-0000-00004E010000}"/>
    <cellStyle name="Total" xfId="310" builtinId="25" customBuiltin="1"/>
    <cellStyle name="Total 2" xfId="291" xr:uid="{00000000-0005-0000-0000-000050010000}"/>
    <cellStyle name="Warning Text" xfId="307" builtinId="11" customBuiltin="1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EAF2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125333698650611E-2"/>
          <c:y val="0.101499343832021"/>
          <c:w val="0.96887466630135965"/>
          <c:h val="0.78558234908132651"/>
        </c:manualLayout>
      </c:layout>
      <c:lineChart>
        <c:grouping val="standard"/>
        <c:varyColors val="0"/>
        <c:ser>
          <c:idx val="0"/>
          <c:order val="0"/>
          <c:tx>
            <c:strRef>
              <c:f>Datos1!$R$3</c:f>
              <c:strCache>
                <c:ptCount val="1"/>
                <c:pt idx="0">
                  <c:v>Crec.Trim.</c:v>
                </c:pt>
              </c:strCache>
            </c:strRef>
          </c:tx>
          <c:spPr>
            <a:ln w="50800">
              <a:solidFill>
                <a:srgbClr val="1A476F"/>
              </a:solidFill>
            </a:ln>
          </c:spPr>
          <c:marker>
            <c:symbol val="none"/>
          </c:marker>
          <c:dLbls>
            <c:dLbl>
              <c:idx val="13"/>
              <c:layout>
                <c:manualLayout>
                  <c:x val="0"/>
                  <c:y val="3.7037037037037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E6-49D0-8EA1-FC0BC3CE4DC8}"/>
                </c:ext>
              </c:extLst>
            </c:dLbl>
            <c:dLbl>
              <c:idx val="14"/>
              <c:layout>
                <c:manualLayout>
                  <c:x val="0"/>
                  <c:y val="3.9351851851851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E6-49D0-8EA1-FC0BC3CE4DC8}"/>
                </c:ext>
              </c:extLst>
            </c:dLbl>
            <c:dLbl>
              <c:idx val="15"/>
              <c:layout>
                <c:manualLayout>
                  <c:x val="-2.0689655172414657E-2"/>
                  <c:y val="-3.47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E6-49D0-8EA1-FC0BC3CE4DC8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Datos1!$Q$4:$Q$19</c:f>
              <c:numCache>
                <c:formatCode>mmm\-yy</c:formatCode>
                <c:ptCount val="16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  <c:pt idx="8">
                  <c:v>43160</c:v>
                </c:pt>
                <c:pt idx="9">
                  <c:v>43252</c:v>
                </c:pt>
                <c:pt idx="10">
                  <c:v>43344</c:v>
                </c:pt>
                <c:pt idx="11">
                  <c:v>43435</c:v>
                </c:pt>
                <c:pt idx="12">
                  <c:v>43525</c:v>
                </c:pt>
                <c:pt idx="13">
                  <c:v>43617</c:v>
                </c:pt>
                <c:pt idx="14">
                  <c:v>43709</c:v>
                </c:pt>
                <c:pt idx="15">
                  <c:v>43800</c:v>
                </c:pt>
              </c:numCache>
            </c:numRef>
          </c:cat>
          <c:val>
            <c:numRef>
              <c:f>Datos1!$R$4:$R$19</c:f>
              <c:numCache>
                <c:formatCode>#,##0.00</c:formatCode>
                <c:ptCount val="16"/>
                <c:pt idx="0">
                  <c:v>0.4841776461523839</c:v>
                </c:pt>
                <c:pt idx="1">
                  <c:v>-0.56326460968191272</c:v>
                </c:pt>
                <c:pt idx="2">
                  <c:v>0.34412118572177963</c:v>
                </c:pt>
                <c:pt idx="3">
                  <c:v>0.22826812790051054</c:v>
                </c:pt>
                <c:pt idx="4">
                  <c:v>-0.5224441177080541</c:v>
                </c:pt>
                <c:pt idx="5">
                  <c:v>0.8198140321287628</c:v>
                </c:pt>
                <c:pt idx="6">
                  <c:v>2.3604885884476401</c:v>
                </c:pt>
                <c:pt idx="7">
                  <c:v>0.65412378089442225</c:v>
                </c:pt>
                <c:pt idx="8">
                  <c:v>1.2083745911895871</c:v>
                </c:pt>
                <c:pt idx="9">
                  <c:v>0.68931995911192256</c:v>
                </c:pt>
                <c:pt idx="10">
                  <c:v>0.33372868632177699</c:v>
                </c:pt>
                <c:pt idx="11">
                  <c:v>0.33372868632177699</c:v>
                </c:pt>
                <c:pt idx="12">
                  <c:v>1.0690798331483231</c:v>
                </c:pt>
                <c:pt idx="13">
                  <c:v>1.0690798331483231</c:v>
                </c:pt>
                <c:pt idx="14">
                  <c:v>1.0690798331483231</c:v>
                </c:pt>
                <c:pt idx="15">
                  <c:v>1.0690798331483231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E6-49D0-8EA1-FC0BC3CE4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828352"/>
        <c:axId val="215829888"/>
      </c:lineChart>
      <c:dateAx>
        <c:axId val="21582835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20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15829888"/>
        <c:crosses val="autoZero"/>
        <c:auto val="1"/>
        <c:lblOffset val="100"/>
        <c:baseTimeUnit val="months"/>
        <c:majorUnit val="3"/>
        <c:majorTimeUnit val="months"/>
      </c:dateAx>
      <c:valAx>
        <c:axId val="215829888"/>
        <c:scaling>
          <c:orientation val="minMax"/>
        </c:scaling>
        <c:delete val="0"/>
        <c:axPos val="l"/>
        <c:majorGridlines>
          <c:spPr>
            <a:ln w="25400">
              <a:solidFill>
                <a:srgbClr val="EAF2F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solidFill>
              <a:srgbClr val="EAF2F3"/>
            </a:solidFill>
          </a:ln>
        </c:spPr>
        <c:txPr>
          <a:bodyPr/>
          <a:lstStyle/>
          <a:p>
            <a:pPr>
              <a:defRPr sz="120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15828352"/>
        <c:crosses val="autoZero"/>
        <c:crossBetween val="between"/>
      </c:valAx>
    </c:plotArea>
    <c:plotVisOnly val="1"/>
    <c:dispBlanksAs val="gap"/>
    <c:showDLblsOverMax val="0"/>
  </c:chart>
  <c:spPr>
    <a:solidFill>
      <a:srgbClr val="EAF2F3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</xdr:colOff>
      <xdr:row>6</xdr:row>
      <xdr:rowOff>101600</xdr:rowOff>
    </xdr:from>
    <xdr:to>
      <xdr:col>8</xdr:col>
      <xdr:colOff>495300</xdr:colOff>
      <xdr:row>35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0.20646</cdr:x>
      <cdr:y>0.00741</cdr:y>
    </cdr:from>
    <cdr:to>
      <cdr:x>0.79655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4523" y="40654"/>
          <a:ext cx="4614519" cy="5689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ctr"/>
          <a:r>
            <a:rPr lang="en-US" sz="1600" b="1">
              <a:latin typeface="Arial" pitchFamily="34" charset="0"/>
              <a:cs typeface="Arial" pitchFamily="34" charset="0"/>
            </a:rPr>
            <a:t>Tasa de crecimiento trimestral del PIB</a:t>
          </a:r>
        </a:p>
        <a:p xmlns:a="http://schemas.openxmlformats.org/drawingml/2006/main">
          <a:pPr algn="ctr"/>
          <a:r>
            <a:rPr lang="en-US" sz="1200" b="1">
              <a:latin typeface="Arial" pitchFamily="34" charset="0"/>
              <a:cs typeface="Arial" pitchFamily="34" charset="0"/>
            </a:rPr>
            <a:t>(últimos 16 trimestres)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517447</xdr:colOff>
      <xdr:row>39</xdr:row>
      <xdr:rowOff>46112</xdr:rowOff>
    </xdr:from>
    <xdr:to>
      <xdr:col>57</xdr:col>
      <xdr:colOff>292554</xdr:colOff>
      <xdr:row>69</xdr:row>
      <xdr:rowOff>136071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17DD9E-11F8-4F84-9014-84282F44692E}"/>
            </a:ext>
          </a:extLst>
        </xdr:cNvPr>
        <xdr:cNvSpPr txBox="1"/>
      </xdr:nvSpPr>
      <xdr:spPr>
        <a:xfrm>
          <a:off x="34263161" y="7475612"/>
          <a:ext cx="7122964" cy="580495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317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1200" b="1">
              <a:latin typeface="Lucida Console" panose="020B0609040504020204" pitchFamily="49" charset="0"/>
              <a:cs typeface="Courier New" panose="02070309020205020404" pitchFamily="49" charset="0"/>
            </a:rPr>
            <a:t>MEMO</a:t>
          </a:r>
        </a:p>
        <a:p>
          <a:endParaRPr lang="es-CL" sz="1200" b="0">
            <a:latin typeface="Lucida Console" panose="020B0609040504020204" pitchFamily="49" charset="0"/>
            <a:cs typeface="Courier New" panose="02070309020205020404" pitchFamily="49" charset="0"/>
          </a:endParaRPr>
        </a:p>
        <a:p>
          <a:r>
            <a:rPr lang="es-CL" sz="1200" b="0">
              <a:latin typeface="Lucida Console" panose="020B0609040504020204" pitchFamily="49" charset="0"/>
              <a:cs typeface="Courier New" panose="02070309020205020404" pitchFamily="49" charset="0"/>
            </a:rPr>
            <a:t>- Cuadro</a:t>
          </a:r>
          <a:r>
            <a:rPr lang="es-CL" sz="1200" b="0" baseline="0">
              <a:latin typeface="Lucida Console" panose="020B0609040504020204" pitchFamily="49" charset="0"/>
              <a:cs typeface="Courier New" panose="02070309020205020404" pitchFamily="49" charset="0"/>
            </a:rPr>
            <a:t> actualizado con la entrega de DE del día 2 de julio.</a:t>
          </a:r>
        </a:p>
        <a:p>
          <a:endParaRPr lang="es-CL" sz="1200" b="0" baseline="0">
            <a:latin typeface="Lucida Console" panose="020B0609040504020204" pitchFamily="49" charset="0"/>
            <a:cs typeface="Courier New" panose="02070309020205020404" pitchFamily="49" charset="0"/>
          </a:endParaRPr>
        </a:p>
        <a:p>
          <a:r>
            <a:rPr lang="es-CL" sz="1200" b="0">
              <a:latin typeface="Lucida Console" panose="020B0609040504020204" pitchFamily="49" charset="0"/>
              <a:cs typeface="Courier New" panose="02070309020205020404" pitchFamily="49" charset="0"/>
            </a:rPr>
            <a:t>- Las cifras del Caribe se corrigieron con lo que DE</a:t>
          </a:r>
          <a:r>
            <a:rPr lang="es-CL" sz="1200" b="0" baseline="0">
              <a:latin typeface="Lucida Console" panose="020B0609040504020204" pitchFamily="49" charset="0"/>
              <a:cs typeface="Courier New" panose="02070309020205020404" pitchFamily="49" charset="0"/>
            </a:rPr>
            <a:t> envió el día 11 de julio.</a:t>
          </a:r>
        </a:p>
        <a:p>
          <a:endParaRPr lang="es-CL" sz="1200" b="0" baseline="0">
            <a:latin typeface="Lucida Console" panose="020B0609040504020204" pitchFamily="49" charset="0"/>
            <a:cs typeface="Courier New" panose="02070309020205020404" pitchFamily="49" charset="0"/>
          </a:endParaRPr>
        </a:p>
        <a:p>
          <a:r>
            <a:rPr lang="es-CL" sz="1200" b="0" baseline="0">
              <a:latin typeface="Lucida Console" panose="020B0609040504020204" pitchFamily="49" charset="0"/>
              <a:cs typeface="Courier New" panose="02070309020205020404" pitchFamily="49" charset="0"/>
            </a:rPr>
            <a:t>- Además, se cotejó internamente con las cifras oficiales de cada país. Luego, pedimos a PoS que revise las discrepancias y estuvieron de acuerdo en corregir según nuestra propuesta. </a:t>
          </a:r>
        </a:p>
        <a:p>
          <a:endParaRPr lang="es-CL" sz="1200" b="0" baseline="0">
            <a:latin typeface="Lucida Console" panose="020B0609040504020204" pitchFamily="49" charset="0"/>
            <a:cs typeface="Courier New" panose="02070309020205020404" pitchFamily="49" charset="0"/>
          </a:endParaRPr>
        </a:p>
        <a:p>
          <a:r>
            <a:rPr lang="es-CL" sz="1200" b="0" baseline="0">
              <a:latin typeface="Lucida Console" panose="020B0609040504020204" pitchFamily="49" charset="0"/>
              <a:cs typeface="Courier New" panose="02070309020205020404" pitchFamily="49" charset="0"/>
            </a:rPr>
            <a:t>- Queda pendiente al 13-jul que DE explique la discrepancia en GUY entre 2010-17 y en SUR en 2011-12. Las cifras de SUR fueron igualmente corregidas, atendiendo a que desde PoS nos señalan que efectivamente son las que encontramos nosotros.</a:t>
          </a:r>
        </a:p>
        <a:p>
          <a:endParaRPr lang="es-CL" sz="1200" b="0" baseline="0">
            <a:latin typeface="Lucida Console" panose="020B0609040504020204" pitchFamily="49" charset="0"/>
            <a:cs typeface="Courier New" panose="02070309020205020404" pitchFamily="49" charset="0"/>
          </a:endParaRPr>
        </a:p>
        <a:p>
          <a:r>
            <a:rPr lang="es-CL" sz="1200" b="0" baseline="0">
              <a:latin typeface="Lucida Console" panose="020B0609040504020204" pitchFamily="49" charset="0"/>
              <a:cs typeface="Courier New" panose="02070309020205020404" pitchFamily="49" charset="0"/>
            </a:rPr>
            <a:t>- También está pendiente, por parte de DE, la revisión de la cifra de CUB 2017.</a:t>
          </a:r>
        </a:p>
        <a:p>
          <a:endParaRPr lang="es-CL" sz="1200" b="0" baseline="0">
            <a:latin typeface="Lucida Console" panose="020B0609040504020204" pitchFamily="49" charset="0"/>
            <a:cs typeface="Courier New" panose="02070309020205020404" pitchFamily="49" charset="0"/>
          </a:endParaRPr>
        </a:p>
        <a:p>
          <a:r>
            <a:rPr lang="es-CL" sz="1200" b="0" baseline="0">
              <a:latin typeface="Lucida Console" panose="020B0609040504020204" pitchFamily="49" charset="0"/>
              <a:cs typeface="Courier New" panose="02070309020205020404" pitchFamily="49" charset="0"/>
            </a:rPr>
            <a:t>- EL 17 de julio hacemos una nueva actualización con envío de DE del 16/jul. Resuleven las discrepancias y queda pendiente revisar GUY 2017, de 2,9 a 2,2.</a:t>
          </a:r>
        </a:p>
        <a:p>
          <a:endParaRPr lang="es-CL" sz="1200" b="0" baseline="0">
            <a:latin typeface="Lucida Console" panose="020B0609040504020204" pitchFamily="49" charset="0"/>
            <a:cs typeface="Courier New" panose="02070309020205020404" pitchFamily="49" charset="0"/>
          </a:endParaRPr>
        </a:p>
        <a:p>
          <a:r>
            <a:rPr lang="es-CL" sz="1200" b="0" baseline="0">
              <a:latin typeface="Lucida Console" panose="020B0609040504020204" pitchFamily="49" charset="0"/>
              <a:cs typeface="Courier New" panose="02070309020205020404" pitchFamily="49" charset="0"/>
            </a:rPr>
            <a:t>- Conversé con Giannina y quedó en corregir.</a:t>
          </a:r>
        </a:p>
        <a:p>
          <a:endParaRPr lang="es-CL" sz="1200" b="0" baseline="0">
            <a:latin typeface="Lucida Console" panose="020B0609040504020204" pitchFamily="49" charset="0"/>
            <a:cs typeface="Courier New" panose="02070309020205020404" pitchFamily="49" charset="0"/>
          </a:endParaRPr>
        </a:p>
        <a:p>
          <a:r>
            <a:rPr lang="es-CL" sz="1200" b="0" baseline="0">
              <a:latin typeface="Lucida Console" panose="020B0609040504020204" pitchFamily="49" charset="0"/>
              <a:cs typeface="Courier New" panose="02070309020205020404" pitchFamily="49" charset="0"/>
            </a:rPr>
            <a:t>- 17 de julio en la tarde, Patricia M. envía una nueva actualización ya sin diferencias.</a:t>
          </a:r>
        </a:p>
        <a:p>
          <a:endParaRPr lang="es-CL" sz="1200" b="0" baseline="0">
            <a:latin typeface="Lucida Console" panose="020B0609040504020204" pitchFamily="49" charset="0"/>
            <a:cs typeface="Courier New" panose="02070309020205020404" pitchFamily="49" charset="0"/>
          </a:endParaRPr>
        </a:p>
        <a:p>
          <a:r>
            <a:rPr lang="es-CL" sz="1200" b="0" baseline="0">
              <a:latin typeface="Lucida Console" panose="020B0609040504020204" pitchFamily="49" charset="0"/>
              <a:cs typeface="Courier New" panose="02070309020205020404" pitchFamily="49" charset="0"/>
            </a:rPr>
            <a:t>- Al 1 de agosto, desde CEPAL MEX nos confirman el 1.6% para CUB en 2017.</a:t>
          </a:r>
        </a:p>
        <a:p>
          <a:endParaRPr lang="es-CL" sz="1200" b="0" baseline="0">
            <a:latin typeface="Lucida Console" panose="020B0609040504020204" pitchFamily="49" charset="0"/>
            <a:cs typeface="Courier New" panose="02070309020205020404" pitchFamily="49" charset="0"/>
          </a:endParaRPr>
        </a:p>
        <a:p>
          <a:r>
            <a:rPr lang="es-CL" sz="1200" b="0" baseline="0">
              <a:latin typeface="Lucida Console" panose="020B0609040504020204" pitchFamily="49" charset="0"/>
              <a:cs typeface="Courier New" panose="02070309020205020404" pitchFamily="49" charset="0"/>
            </a:rPr>
            <a:t>- El 28 de agosto, Giannina y Patricia me llaman para decirme que la serie de PRY del EE está mal entre 2009 y 2016. Efectivamente, está con el año base anterior. También me indican que en 2015, la cifra de 2,6% en MEX que aparece en el EE está incorrecta. Es muy raro, porque en el envío de ellas del 17 de julio sale 3,3%. Se corregirá el anexo.</a:t>
          </a:r>
        </a:p>
        <a:p>
          <a:endParaRPr lang="es-CL" sz="1200" b="0" baseline="0">
            <a:latin typeface="Lucida Console" panose="020B0609040504020204" pitchFamily="49" charset="0"/>
            <a:cs typeface="Courier New" panose="02070309020205020404" pitchFamily="49" charset="0"/>
          </a:endParaRPr>
        </a:p>
        <a:p>
          <a:pPr algn="r"/>
          <a:r>
            <a:rPr lang="es-CL" sz="1200" b="0" baseline="0">
              <a:latin typeface="Lucida Console" panose="020B0609040504020204" pitchFamily="49" charset="0"/>
              <a:cs typeface="Courier New" panose="02070309020205020404" pitchFamily="49" charset="0"/>
            </a:rPr>
            <a:t>(PC, 28-ago)</a:t>
          </a:r>
          <a:endParaRPr lang="es-CL" sz="1200" b="0">
            <a:latin typeface="Lucida Console" panose="020B0609040504020204" pitchFamily="49" charset="0"/>
            <a:cs typeface="Courier New" panose="02070309020205020404" pitchFamily="49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Users\Administrator\Desktop\Other%20users%20-no%20borrar\CECILIA%20VERA_favor%20no%20borrar\2015\Commodity%20price%20forecasts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ts"/>
      <sheetName val="Energy"/>
      <sheetName val="Agriculture"/>
      <sheetName val="Metals"/>
      <sheetName val="Analyst -Firm list"/>
      <sheetName val="Help"/>
    </sheetNames>
    <sheetDataSet>
      <sheetData sheetId="0">
        <row r="9">
          <cell r="I9" t="str">
            <v>ICE Gasoil</v>
          </cell>
        </row>
        <row r="43">
          <cell r="A43" t="str">
            <v>Q2 15</v>
          </cell>
        </row>
        <row r="44">
          <cell r="A44">
            <v>2015</v>
          </cell>
        </row>
        <row r="51">
          <cell r="A51" t="str">
            <v>Composite</v>
          </cell>
        </row>
        <row r="52">
          <cell r="A52" t="str">
            <v>Hans Van Cleef-ABN AMRO Bank NV</v>
          </cell>
          <cell r="D52" t="str">
            <v>Y</v>
          </cell>
        </row>
        <row r="53">
          <cell r="A53" t="str">
            <v>Casper Burgering-ABN AMRO Bank NV</v>
          </cell>
          <cell r="D53" t="str">
            <v>Q1</v>
          </cell>
        </row>
        <row r="54">
          <cell r="A54" t="str">
            <v>Georgette Boele-ABN AMRO Bank NV</v>
          </cell>
          <cell r="D54" t="str">
            <v>Q2</v>
          </cell>
        </row>
        <row r="55">
          <cell r="A55" t="str">
            <v>Frank Rijkers-ABN AMRO Bank NV</v>
          </cell>
          <cell r="D55" t="str">
            <v>Q3</v>
          </cell>
        </row>
        <row r="56">
          <cell r="A56" t="str">
            <v>L. Bruce Lanni-AG Edwards &amp; Sons LLC</v>
          </cell>
          <cell r="D56" t="str">
            <v>Q4</v>
          </cell>
        </row>
        <row r="57">
          <cell r="A57" t="str">
            <v>Tom Covington-AG Edwards &amp; Sons LLC</v>
          </cell>
        </row>
        <row r="58">
          <cell r="A58" t="str">
            <v>Pierre Crucifix-Ageas</v>
          </cell>
        </row>
        <row r="59">
          <cell r="A59" t="str">
            <v>Katrin Fuhrmann-Ageas</v>
          </cell>
        </row>
        <row r="60">
          <cell r="A60" t="str">
            <v>Phil Flynn-Alaron Trading Corp</v>
          </cell>
        </row>
        <row r="61">
          <cell r="A61" t="str">
            <v>Andrew Harrington-Australia &amp; New Zealand Banking Group Ltd</v>
          </cell>
        </row>
        <row r="62">
          <cell r="A62" t="str">
            <v>Daniel Hynes-Australia &amp; New Zealand Banking Group Ltd/Melbourne</v>
          </cell>
        </row>
        <row r="63">
          <cell r="A63" t="str">
            <v>Mark Pervan-Australia &amp; New Zealand Banking Group Ltd/Melbourne</v>
          </cell>
        </row>
        <row r="64">
          <cell r="A64" t="str">
            <v>Garrett Nelson-BB&amp;T Capital Markets</v>
          </cell>
        </row>
        <row r="65">
          <cell r="A65" t="str">
            <v>Jessica Fung-BMO Capital Markets Corp/Toronto</v>
          </cell>
        </row>
        <row r="66">
          <cell r="A66" t="str">
            <v>Randy J Ollenberger-BMO Capital Markets Corp/Toronto</v>
          </cell>
        </row>
        <row r="67">
          <cell r="A67" t="str">
            <v>Eoin O'Callaghan-BNP Paribas SA</v>
          </cell>
        </row>
        <row r="68">
          <cell r="A68" t="str">
            <v>Teri Viswanath-BNP Paribas SA</v>
          </cell>
        </row>
        <row r="69">
          <cell r="A69" t="str">
            <v>Stephen Briggs-BNP Paribas SA</v>
          </cell>
        </row>
        <row r="70">
          <cell r="A70" t="str">
            <v>Anne-Laure Tremblay-BNP Paribas SA</v>
          </cell>
        </row>
        <row r="71">
          <cell r="A71" t="str">
            <v>Harry Tchilinguirian-BNP Paribas SA</v>
          </cell>
        </row>
        <row r="72">
          <cell r="A72" t="str">
            <v>David Thurtell-BNP Paribas SA</v>
          </cell>
        </row>
        <row r="73">
          <cell r="A73" t="str">
            <v>Robert Morris-Banc of America Securities LLC</v>
          </cell>
        </row>
        <row r="74">
          <cell r="A74" t="str">
            <v>Daniel Barcelo-Banc of America Securities LLC</v>
          </cell>
        </row>
        <row r="75">
          <cell r="A75" t="str">
            <v>Pedro Moreno Alonso-Banco Bilbao Vizcaya Argentaria SA</v>
          </cell>
        </row>
        <row r="76">
          <cell r="A76" t="str">
            <v>Michael Widmer-Bank of America Merrill Lynch</v>
          </cell>
        </row>
        <row r="77">
          <cell r="A77" t="str">
            <v>Sabine Schels-Bank of America Merrill Lynch</v>
          </cell>
        </row>
        <row r="78">
          <cell r="A78" t="str">
            <v>Francisco Blanch-Bank of America Merrill Lynch</v>
          </cell>
        </row>
        <row r="79">
          <cell r="A79" t="str">
            <v>Doug Leggate-Bank of America Merrill Lynch</v>
          </cell>
        </row>
        <row r="80">
          <cell r="A80" t="str">
            <v>Trevor Sikorski-Barclays PLC</v>
          </cell>
        </row>
        <row r="81">
          <cell r="A81" t="str">
            <v>Michael Zenker-Barclays PLC</v>
          </cell>
        </row>
        <row r="82">
          <cell r="A82" t="str">
            <v>Shiyang Wang-Barclays PLC</v>
          </cell>
        </row>
        <row r="83">
          <cell r="A83" t="str">
            <v>Suki Cooper-Barclays PLC</v>
          </cell>
        </row>
        <row r="84">
          <cell r="A84" t="str">
            <v>Sudakshina Unnikrishnan-Barclays PLC</v>
          </cell>
        </row>
        <row r="85">
          <cell r="A85" t="str">
            <v>Michael Cohen-Barclays PLC</v>
          </cell>
        </row>
        <row r="86">
          <cell r="A86" t="str">
            <v>Amrita Sen-Barclays PLC</v>
          </cell>
        </row>
        <row r="87">
          <cell r="A87" t="str">
            <v>Kevin Norrish-Barclays PLC</v>
          </cell>
        </row>
        <row r="88">
          <cell r="A88" t="str">
            <v>Gregor Elze-Bayerische Landesbank</v>
          </cell>
        </row>
        <row r="89">
          <cell r="A89" t="str">
            <v>Andreas Speer-Bayerische Landesbank</v>
          </cell>
        </row>
        <row r="90">
          <cell r="A90" t="str">
            <v>Ellen Hannan-Bear Stearns &amp; Co Inc</v>
          </cell>
        </row>
        <row r="91">
          <cell r="A91" t="str">
            <v>Nicole Decker-Bear Stearns &amp; Co Inc</v>
          </cell>
        </row>
        <row r="92">
          <cell r="A92" t="str">
            <v>Lucas Pipes-Brean Capital LLC</v>
          </cell>
        </row>
        <row r="93">
          <cell r="A93" t="str">
            <v>David Snowdon-Business Monitor International Ltd</v>
          </cell>
        </row>
        <row r="94">
          <cell r="A94" t="str">
            <v>Jeffrey Rubin-CIBC</v>
          </cell>
        </row>
        <row r="95">
          <cell r="A95" t="str">
            <v>Katherine Spector-CIBC World Markets Corp</v>
          </cell>
        </row>
        <row r="96">
          <cell r="A96" t="str">
            <v>Peter Buchanan-CIBC World Markets Inc</v>
          </cell>
        </row>
        <row r="97">
          <cell r="A97" t="str">
            <v>Ivy Ng-CIMB Group Holdings Bhd</v>
          </cell>
        </row>
        <row r="98">
          <cell r="A98" t="str">
            <v>Jean-Francois Cauvet-COER2 Commodities C2C</v>
          </cell>
        </row>
        <row r="99">
          <cell r="A99" t="str">
            <v>Rohit Savant-CPM Group</v>
          </cell>
        </row>
        <row r="100">
          <cell r="A100" t="str">
            <v>Peter Beutel-Cameron Hanover Inc</v>
          </cell>
        </row>
        <row r="101">
          <cell r="A101" t="str">
            <v>Rob Chang-Cantor Fitzgerald LP</v>
          </cell>
        </row>
        <row r="102">
          <cell r="A102" t="str">
            <v>Thomas Pugh-Capital Economics Ltd</v>
          </cell>
        </row>
        <row r="103">
          <cell r="A103" t="str">
            <v>Ross Strachan-Capital Economics Ltd</v>
          </cell>
        </row>
        <row r="104">
          <cell r="A104" t="str">
            <v>Julian Jessop-Capital Economics Ltd</v>
          </cell>
        </row>
        <row r="105">
          <cell r="A105" t="str">
            <v>Caroline Bain-Capital Economics Ltd</v>
          </cell>
        </row>
        <row r="106">
          <cell r="A106" t="str">
            <v>Leonidas Drollas-Centre For Global Engy Studi</v>
          </cell>
        </row>
        <row r="107">
          <cell r="A107" t="str">
            <v>Janet Kong-China International Capital Corp Hong Kong Ltd</v>
          </cell>
        </row>
        <row r="108">
          <cell r="A108" t="str">
            <v>James Luke-China International Capital Corp Hong Kong Ltd</v>
          </cell>
        </row>
        <row r="109">
          <cell r="A109" t="str">
            <v>David Wilson-Citigroup Inc</v>
          </cell>
        </row>
        <row r="110">
          <cell r="A110" t="str">
            <v>Seth Kleinman-Citigroup Inc</v>
          </cell>
        </row>
        <row r="111">
          <cell r="A111" t="str">
            <v>Edward Morse-Citigroup Inc</v>
          </cell>
        </row>
        <row r="112">
          <cell r="A112" t="str">
            <v>James Neale-Citigroup Inc</v>
          </cell>
        </row>
        <row r="113">
          <cell r="A113" t="str">
            <v>Alan Heap-Citigroup Inc</v>
          </cell>
        </row>
        <row r="114">
          <cell r="A114" t="str">
            <v>John Hill-Citigroup Inc</v>
          </cell>
        </row>
        <row r="115">
          <cell r="A115" t="str">
            <v>Johann Steyn-Citigroup Inc</v>
          </cell>
        </row>
        <row r="116">
          <cell r="A116" t="str">
            <v>Ivan Szpakowski-Citigroup Inc</v>
          </cell>
        </row>
        <row r="117">
          <cell r="A117" t="str">
            <v>Aakash Doshi-Citigroup Inc</v>
          </cell>
        </row>
        <row r="118">
          <cell r="A118" t="str">
            <v>Anthony Yuen-Citigroup Inc</v>
          </cell>
        </row>
        <row r="119">
          <cell r="A119" t="str">
            <v>Eugen Weinberg-Commerzbank AG</v>
          </cell>
        </row>
        <row r="120">
          <cell r="A120" t="str">
            <v>Barbara Lambrecht-Commerzbank AG</v>
          </cell>
        </row>
        <row r="121">
          <cell r="A121" t="str">
            <v>Tobin Gorey-Commonwealth Bank of Australia</v>
          </cell>
        </row>
        <row r="122">
          <cell r="A122" t="str">
            <v>Christophe Barret-Credit Agricole Corporate and Investment Bank/London</v>
          </cell>
        </row>
        <row r="123">
          <cell r="A123" t="str">
            <v>Jan Stuart-Credit Suisse Group AG</v>
          </cell>
        </row>
        <row r="124">
          <cell r="A124" t="str">
            <v>Tom Kendall-Credit Suisse Group AG</v>
          </cell>
        </row>
        <row r="125">
          <cell r="A125" t="str">
            <v>Ralph Profiti-Credit Suisse Group AG</v>
          </cell>
        </row>
        <row r="126">
          <cell r="A126" t="str">
            <v>Andrew Shaw-Credit Suisse Group AG</v>
          </cell>
        </row>
        <row r="127">
          <cell r="A127" t="str">
            <v>Jonathan Wolff-Credit Suisse Group AG</v>
          </cell>
        </row>
        <row r="128">
          <cell r="A128" t="str">
            <v>Joachim Azria-Credit Suisse Group AG</v>
          </cell>
        </row>
        <row r="129">
          <cell r="A129" t="str">
            <v>Tobias Merath-Credit Suisse Group AG</v>
          </cell>
        </row>
        <row r="130">
          <cell r="A130" t="str">
            <v>Ric Deverell-Credit Suisse Group AG</v>
          </cell>
        </row>
        <row r="131">
          <cell r="A131" t="str">
            <v>Stefan Revielle-Credit Suisse Group AG</v>
          </cell>
        </row>
        <row r="132">
          <cell r="A132" t="str">
            <v>Mark Flannery-Credit Suisse Group AG</v>
          </cell>
        </row>
        <row r="133">
          <cell r="A133" t="str">
            <v>Ben Santoso-DBS Vickers Securities Indonesia PT</v>
          </cell>
        </row>
        <row r="134">
          <cell r="A134" t="str">
            <v>Torbj?rn Kjus-DNB ASA</v>
          </cell>
        </row>
        <row r="135">
          <cell r="A135" t="str">
            <v>Axel Herlinghaus-DZ Bank AG Deutsche Zentral-Genossenschaftsbank</v>
          </cell>
        </row>
        <row r="136">
          <cell r="A136" t="str">
            <v>Gabor Vogel-DZ Bank AG Deutsche Zentral-Genossenschaftsbank</v>
          </cell>
        </row>
        <row r="137">
          <cell r="A137" t="str">
            <v>Adrian Loh-Daiwa Capital Markets Singapore Ltd</v>
          </cell>
        </row>
        <row r="138">
          <cell r="A138" t="str">
            <v>Christin Tuxen-Danske Bank A/S</v>
          </cell>
        </row>
        <row r="139">
          <cell r="A139" t="str">
            <v>Arne Lohmann Rasmussen-Danske Bank A/S</v>
          </cell>
        </row>
        <row r="140">
          <cell r="A140" t="str">
            <v>Jens Naervig Pederson-Danske Bank A/S</v>
          </cell>
        </row>
        <row r="141">
          <cell r="A141" t="str">
            <v>Timothy Hayes-Davenport &amp; Co LLC</v>
          </cell>
        </row>
        <row r="142">
          <cell r="A142" t="str">
            <v>Michael Hsueh-Deutsche Bank AG</v>
          </cell>
        </row>
        <row r="143">
          <cell r="A143" t="str">
            <v>Mark C Lewis-Deutsche Bank AG</v>
          </cell>
        </row>
        <row r="144">
          <cell r="A144" t="str">
            <v>Grant Sporre-Deutsche Bank AG</v>
          </cell>
        </row>
        <row r="145">
          <cell r="A145" t="str">
            <v>Michael Lewis-Deutsche Bank AG</v>
          </cell>
        </row>
        <row r="146">
          <cell r="A146" t="str">
            <v>Christina McGlone-Hahn-Deutsche Bank AG</v>
          </cell>
        </row>
        <row r="147">
          <cell r="A147" t="str">
            <v>Adam Sieminski-Deutsche Bank AG</v>
          </cell>
        </row>
        <row r="148">
          <cell r="A148" t="str">
            <v>Tim Clark-Deutsche Bank AG</v>
          </cell>
        </row>
        <row r="149">
          <cell r="A149" t="str">
            <v>Joel Crane-Deutsche Bank AG</v>
          </cell>
        </row>
        <row r="150">
          <cell r="A150" t="str">
            <v>Daniel Brebner-Deutsche Bank AG</v>
          </cell>
        </row>
        <row r="151">
          <cell r="A151" t="str">
            <v>Soozhana Choi-Deutsche Bank AG</v>
          </cell>
        </row>
        <row r="152">
          <cell r="A152" t="str">
            <v>Carsten Schmitt-Dexia Carbon Advisory Services Ltd</v>
          </cell>
        </row>
        <row r="153">
          <cell r="A153" t="str">
            <v>Ajay Patel-Dresdner Kleinwort/London</v>
          </cell>
        </row>
        <row r="154">
          <cell r="A154" t="str">
            <v>Mark Hewlett-Ebury Partners UK Ltd</v>
          </cell>
        </row>
        <row r="155">
          <cell r="A155" t="str">
            <v>Alec Gordon-Economist Intelligence Unit</v>
          </cell>
        </row>
        <row r="156">
          <cell r="A156" t="str">
            <v>Kona Haque-Economist Intelligence Unit</v>
          </cell>
        </row>
        <row r="157">
          <cell r="A157" t="str">
            <v>James Hanks-EnergyQuote JHA</v>
          </cell>
        </row>
        <row r="158">
          <cell r="A158" t="str">
            <v>John C Beghin-Food &amp; Agricultural Policy Research Institute</v>
          </cell>
        </row>
        <row r="159">
          <cell r="A159" t="str">
            <v>Kris Voorspools-Fortis Bank</v>
          </cell>
        </row>
        <row r="160">
          <cell r="A160" t="str">
            <v>Helios Padilla-Fortis Bank</v>
          </cell>
        </row>
        <row r="161">
          <cell r="A161" t="str">
            <v>David Gornall-GF Financial Markets UK Ltd</v>
          </cell>
        </row>
        <row r="162">
          <cell r="A162" t="str">
            <v>Jim Boland-GF Financial Markets UK Ltd</v>
          </cell>
        </row>
        <row r="163">
          <cell r="A163" t="str">
            <v>Jeffrey Currie-Goldman Sachs Group Inc/The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B1:AC94"/>
  <sheetViews>
    <sheetView zoomScaleNormal="100" workbookViewId="0">
      <selection activeCell="B1" sqref="B1"/>
    </sheetView>
  </sheetViews>
  <sheetFormatPr defaultColWidth="0" defaultRowHeight="15" zeroHeight="1" x14ac:dyDescent="0.25"/>
  <cols>
    <col min="1" max="1" width="28.5703125" style="85" customWidth="1"/>
    <col min="2" max="2" width="28.7109375" style="85" customWidth="1"/>
    <col min="3" max="5" width="9.140625" style="85" customWidth="1"/>
    <col min="6" max="6" width="35" style="85" customWidth="1"/>
    <col min="7" max="12" width="9.140625" style="85" customWidth="1"/>
    <col min="13" max="13" width="13.7109375" style="85" customWidth="1"/>
    <col min="14" max="17" width="0" style="85" hidden="1" customWidth="1"/>
    <col min="18" max="29" width="9.140625" style="85" hidden="1" customWidth="1"/>
    <col min="30" max="16384" width="0" style="85" hidden="1"/>
  </cols>
  <sheetData>
    <row r="1" spans="2:11" ht="23.25" x14ac:dyDescent="0.35">
      <c r="B1" s="84" t="s">
        <v>4</v>
      </c>
    </row>
    <row r="2" spans="2:11" ht="15.75" thickBot="1" x14ac:dyDescent="0.3"/>
    <row r="3" spans="2:11" ht="15.75" thickBot="1" x14ac:dyDescent="0.3">
      <c r="B3" s="86"/>
      <c r="C3" s="139">
        <f>Datos1!U22</f>
        <v>2018</v>
      </c>
      <c r="D3" s="88">
        <f>Datos1!U23</f>
        <v>2019</v>
      </c>
      <c r="F3" s="130" t="s">
        <v>154</v>
      </c>
      <c r="G3" s="141">
        <f>C3</f>
        <v>2018</v>
      </c>
      <c r="H3" s="131">
        <f>D3</f>
        <v>2019</v>
      </c>
    </row>
    <row r="4" spans="2:11" ht="15.75" thickBot="1" x14ac:dyDescent="0.3">
      <c r="B4" s="87" t="s">
        <v>57</v>
      </c>
      <c r="C4" s="89">
        <f ca="1">Datos1!U34</f>
        <v>3.640699007639836E-2</v>
      </c>
      <c r="D4" s="89">
        <f ca="1">Datos1!V34</f>
        <v>5.8993838555374545E-3</v>
      </c>
      <c r="F4" s="132" t="s">
        <v>152</v>
      </c>
      <c r="G4" s="133">
        <v>0</v>
      </c>
      <c r="H4" s="133">
        <v>0</v>
      </c>
      <c r="K4" s="114"/>
    </row>
    <row r="5" spans="2:11" ht="15.75" thickBot="1" x14ac:dyDescent="0.3">
      <c r="B5" s="87" t="s">
        <v>67</v>
      </c>
      <c r="C5" s="89">
        <f>Datos1!U35</f>
        <v>3.9E-2</v>
      </c>
      <c r="D5" s="89">
        <f>Datos1!V35</f>
        <v>3.3000000000000002E-2</v>
      </c>
      <c r="F5" s="132" t="s">
        <v>153</v>
      </c>
      <c r="G5" s="133">
        <f ca="1">Datos1!U38</f>
        <v>3.640699007639836E-2</v>
      </c>
      <c r="H5" s="133">
        <f ca="1">Datos1!V38</f>
        <v>5.8993838555374545E-3</v>
      </c>
    </row>
    <row r="6" spans="2:11" ht="15.75" thickBot="1" x14ac:dyDescent="0.3">
      <c r="B6" s="87" t="s">
        <v>78</v>
      </c>
      <c r="C6" s="89">
        <f ca="1">Datos1!U36</f>
        <v>3.3372868632177699E-3</v>
      </c>
      <c r="D6" s="89">
        <f ca="1">Datos1!V36</f>
        <v>1.0690798331483231E-2</v>
      </c>
    </row>
    <row r="7" spans="2:11" x14ac:dyDescent="0.25">
      <c r="C7" s="140"/>
    </row>
    <row r="8" spans="2:11" x14ac:dyDescent="0.25"/>
    <row r="9" spans="2:11" x14ac:dyDescent="0.25"/>
    <row r="10" spans="2:11" x14ac:dyDescent="0.25"/>
    <row r="11" spans="2:11" x14ac:dyDescent="0.25"/>
    <row r="12" spans="2:11" x14ac:dyDescent="0.25"/>
    <row r="13" spans="2:11" x14ac:dyDescent="0.25"/>
    <row r="14" spans="2:11" x14ac:dyDescent="0.25"/>
    <row r="15" spans="2:11" x14ac:dyDescent="0.25"/>
    <row r="16" spans="2:11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spans="5:5" hidden="1" x14ac:dyDescent="0.25"/>
    <row r="50" spans="5:5" hidden="1" x14ac:dyDescent="0.25"/>
    <row r="51" spans="5:5" hidden="1" x14ac:dyDescent="0.25"/>
    <row r="52" spans="5:5" hidden="1" x14ac:dyDescent="0.25"/>
    <row r="53" spans="5:5" hidden="1" x14ac:dyDescent="0.25"/>
    <row r="54" spans="5:5" hidden="1" x14ac:dyDescent="0.25"/>
    <row r="55" spans="5:5" hidden="1" x14ac:dyDescent="0.25"/>
    <row r="56" spans="5:5" hidden="1" x14ac:dyDescent="0.25"/>
    <row r="57" spans="5:5" hidden="1" x14ac:dyDescent="0.25"/>
    <row r="58" spans="5:5" hidden="1" x14ac:dyDescent="0.25"/>
    <row r="59" spans="5:5" hidden="1" x14ac:dyDescent="0.25"/>
    <row r="60" spans="5:5" hidden="1" x14ac:dyDescent="0.25"/>
    <row r="61" spans="5:5" hidden="1" x14ac:dyDescent="0.25">
      <c r="E61" s="90" t="s">
        <v>0</v>
      </c>
    </row>
    <row r="62" spans="5:5" hidden="1" x14ac:dyDescent="0.25">
      <c r="E62" s="90" t="s">
        <v>9</v>
      </c>
    </row>
    <row r="63" spans="5:5" hidden="1" x14ac:dyDescent="0.25">
      <c r="E63" s="90" t="s">
        <v>2</v>
      </c>
    </row>
    <row r="64" spans="5:5" hidden="1" x14ac:dyDescent="0.25">
      <c r="E64" s="90" t="s">
        <v>4</v>
      </c>
    </row>
    <row r="65" spans="5:5" hidden="1" x14ac:dyDescent="0.25">
      <c r="E65" s="90" t="s">
        <v>6</v>
      </c>
    </row>
    <row r="66" spans="5:5" hidden="1" x14ac:dyDescent="0.25">
      <c r="E66" s="90" t="s">
        <v>10</v>
      </c>
    </row>
    <row r="67" spans="5:5" hidden="1" x14ac:dyDescent="0.25">
      <c r="E67" s="90" t="s">
        <v>13</v>
      </c>
    </row>
    <row r="68" spans="5:5" hidden="1" x14ac:dyDescent="0.25">
      <c r="E68" s="90" t="s">
        <v>15</v>
      </c>
    </row>
    <row r="69" spans="5:5" hidden="1" x14ac:dyDescent="0.25">
      <c r="E69" s="90" t="s">
        <v>17</v>
      </c>
    </row>
    <row r="70" spans="5:5" hidden="1" x14ac:dyDescent="0.25">
      <c r="E70" s="90" t="s">
        <v>32</v>
      </c>
    </row>
    <row r="71" spans="5:5" hidden="1" x14ac:dyDescent="0.25">
      <c r="E71" s="90" t="s">
        <v>8</v>
      </c>
    </row>
    <row r="72" spans="5:5" hidden="1" x14ac:dyDescent="0.25">
      <c r="E72" s="90" t="s">
        <v>11</v>
      </c>
    </row>
    <row r="73" spans="5:5" hidden="1" x14ac:dyDescent="0.25">
      <c r="E73" s="90" t="s">
        <v>14</v>
      </c>
    </row>
    <row r="74" spans="5:5" hidden="1" x14ac:dyDescent="0.25">
      <c r="E74" s="90" t="s">
        <v>16</v>
      </c>
    </row>
    <row r="75" spans="5:5" hidden="1" x14ac:dyDescent="0.25">
      <c r="E75" s="90" t="s">
        <v>18</v>
      </c>
    </row>
    <row r="76" spans="5:5" hidden="1" x14ac:dyDescent="0.25">
      <c r="E76" s="90" t="s">
        <v>19</v>
      </c>
    </row>
    <row r="77" spans="5:5" hidden="1" x14ac:dyDescent="0.25">
      <c r="E77" s="90" t="s">
        <v>12</v>
      </c>
    </row>
    <row r="78" spans="5:5" hidden="1" x14ac:dyDescent="0.25">
      <c r="E78" s="90" t="s">
        <v>21</v>
      </c>
    </row>
    <row r="79" spans="5:5" hidden="1" x14ac:dyDescent="0.25">
      <c r="E79" s="90" t="s">
        <v>22</v>
      </c>
    </row>
    <row r="80" spans="5:5" hidden="1" x14ac:dyDescent="0.25">
      <c r="E80" s="90" t="s">
        <v>25</v>
      </c>
    </row>
    <row r="81" spans="5:5" hidden="1" x14ac:dyDescent="0.25">
      <c r="E81" s="90" t="s">
        <v>1</v>
      </c>
    </row>
    <row r="82" spans="5:5" hidden="1" x14ac:dyDescent="0.25">
      <c r="E82" s="90" t="s">
        <v>3</v>
      </c>
    </row>
    <row r="83" spans="5:5" hidden="1" x14ac:dyDescent="0.25">
      <c r="E83" s="90" t="s">
        <v>5</v>
      </c>
    </row>
    <row r="84" spans="5:5" hidden="1" x14ac:dyDescent="0.25">
      <c r="E84" s="90" t="s">
        <v>7</v>
      </c>
    </row>
    <row r="85" spans="5:5" hidden="1" x14ac:dyDescent="0.25">
      <c r="E85" s="90" t="s">
        <v>20</v>
      </c>
    </row>
    <row r="86" spans="5:5" hidden="1" x14ac:dyDescent="0.25">
      <c r="E86" s="90" t="s">
        <v>23</v>
      </c>
    </row>
    <row r="87" spans="5:5" hidden="1" x14ac:dyDescent="0.25">
      <c r="E87" s="90" t="s">
        <v>24</v>
      </c>
    </row>
    <row r="88" spans="5:5" hidden="1" x14ac:dyDescent="0.25">
      <c r="E88" s="90" t="s">
        <v>26</v>
      </c>
    </row>
    <row r="89" spans="5:5" hidden="1" x14ac:dyDescent="0.25">
      <c r="E89" s="90" t="s">
        <v>27</v>
      </c>
    </row>
    <row r="90" spans="5:5" hidden="1" x14ac:dyDescent="0.25">
      <c r="E90" s="90" t="s">
        <v>28</v>
      </c>
    </row>
    <row r="91" spans="5:5" hidden="1" x14ac:dyDescent="0.25">
      <c r="E91" s="90" t="s">
        <v>29</v>
      </c>
    </row>
    <row r="92" spans="5:5" hidden="1" x14ac:dyDescent="0.25">
      <c r="E92" s="90" t="s">
        <v>30</v>
      </c>
    </row>
    <row r="93" spans="5:5" hidden="1" x14ac:dyDescent="0.25">
      <c r="E93" s="90" t="s">
        <v>31</v>
      </c>
    </row>
    <row r="94" spans="5:5" hidden="1" x14ac:dyDescent="0.25">
      <c r="E94" s="90"/>
    </row>
  </sheetData>
  <sheetProtection selectLockedCells="1" selectUnlockedCells="1"/>
  <dataValidations count="1">
    <dataValidation type="list" showInputMessage="1" showErrorMessage="1" sqref="B1" xr:uid="{00000000-0002-0000-0000-000000000000}">
      <formula1>$E$61:$E$94</formula1>
    </dataValidation>
  </dataValidations>
  <printOptions horizontalCentered="1"/>
  <pageMargins left="0.62992125984251968" right="0.35433070866141736" top="0.74803149606299213" bottom="0.74803149606299213" header="0.31496062992125984" footer="0.31496062992125984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51"/>
  <sheetViews>
    <sheetView tabSelected="1" topLeftCell="A4" zoomScale="80" zoomScaleNormal="80" workbookViewId="0">
      <selection activeCell="Y31" sqref="Y31"/>
    </sheetView>
  </sheetViews>
  <sheetFormatPr defaultRowHeight="15" x14ac:dyDescent="0.25"/>
  <cols>
    <col min="1" max="1" width="44.7109375" style="44" customWidth="1"/>
    <col min="2" max="5" width="11.7109375" style="44" customWidth="1"/>
    <col min="6" max="6" width="5.5703125" style="59" bestFit="1" customWidth="1"/>
    <col min="7" max="7" width="7" style="59" customWidth="1"/>
    <col min="8" max="8" width="22.140625" style="59" bestFit="1" customWidth="1"/>
    <col min="9" max="10" width="7" style="59" customWidth="1"/>
    <col min="11" max="11" width="39.28515625" style="44" bestFit="1" customWidth="1"/>
    <col min="12" max="20" width="9.140625" style="44"/>
    <col min="21" max="25" width="9.85546875" style="44" customWidth="1"/>
    <col min="26" max="31" width="9.140625" style="44"/>
    <col min="32" max="32" width="15.85546875" style="44" bestFit="1" customWidth="1"/>
    <col min="33" max="16384" width="9.140625" style="44"/>
  </cols>
  <sheetData>
    <row r="1" spans="1:25" ht="15.75" thickBot="1" x14ac:dyDescent="0.3">
      <c r="A1" s="181" t="s">
        <v>53</v>
      </c>
      <c r="B1" s="186" t="s">
        <v>49</v>
      </c>
      <c r="C1" s="187"/>
      <c r="D1" s="187"/>
      <c r="E1" s="188"/>
    </row>
    <row r="2" spans="1:25" ht="15.75" thickBot="1" x14ac:dyDescent="0.3">
      <c r="A2" s="182"/>
      <c r="B2" s="165">
        <v>2017</v>
      </c>
      <c r="C2" s="184">
        <v>2018</v>
      </c>
      <c r="D2" s="185"/>
      <c r="E2" s="91">
        <v>2019</v>
      </c>
      <c r="K2" s="116" t="s">
        <v>109</v>
      </c>
      <c r="L2" s="117"/>
    </row>
    <row r="3" spans="1:25" ht="15.75" thickBot="1" x14ac:dyDescent="0.3">
      <c r="A3" s="183"/>
      <c r="B3" s="172" t="s">
        <v>169</v>
      </c>
      <c r="C3" s="165" t="s">
        <v>160</v>
      </c>
      <c r="D3" s="165" t="s">
        <v>167</v>
      </c>
      <c r="E3" s="164" t="s">
        <v>167</v>
      </c>
      <c r="F3" s="60">
        <v>2018</v>
      </c>
      <c r="G3" s="60"/>
      <c r="H3" s="173" t="s">
        <v>170</v>
      </c>
      <c r="I3" s="60"/>
      <c r="J3" s="60"/>
      <c r="O3" s="189" t="s">
        <v>173</v>
      </c>
      <c r="P3" s="189"/>
      <c r="Q3" s="189"/>
      <c r="R3" s="189"/>
      <c r="S3" s="189"/>
      <c r="U3" s="189" t="s">
        <v>174</v>
      </c>
      <c r="V3" s="189"/>
      <c r="W3" s="189"/>
      <c r="X3" s="189"/>
      <c r="Y3" s="189"/>
    </row>
    <row r="4" spans="1:25" x14ac:dyDescent="0.25">
      <c r="A4" s="48" t="s">
        <v>33</v>
      </c>
      <c r="B4" s="108">
        <f>ROUND(INDEX(insumos!$AF$3:$XFD$50,MATCH($A4,insumos!$AF$3:$AF$50,0),MATCH(B$2,insumos!$AF$3:$XFD$3,0)),2)</f>
        <v>1.22</v>
      </c>
      <c r="C4" s="108">
        <v>1.5</v>
      </c>
      <c r="D4" s="108">
        <f>ROUND(INDEX(insumos!$AF$3:$XFD$50,MATCH($A4,insumos!$AF$3:$AF$50,0),MATCH(C$2,insumos!$AF$3:$XFD$3,0)),2)</f>
        <v>1.33</v>
      </c>
      <c r="E4" s="166">
        <f>ROUND(INDEX(insumos!$AF$3:$XFD$50,MATCH($A4,insumos!$AF$3:$AF$50,0),MATCH(E$2,insumos!$AF$3:$XFD$3,0)),2)</f>
        <v>2.12</v>
      </c>
      <c r="F4" s="170" t="str">
        <f>IF(ROUND(D4,1)&gt;ROUND(C4,1),"↑",IF(ROUND(D4,1)&lt;ROUND(C4,1),"↓","→"))</f>
        <v>↓</v>
      </c>
      <c r="G4" s="61"/>
      <c r="H4" s="61"/>
      <c r="I4" s="61"/>
      <c r="J4" s="61"/>
    </row>
    <row r="5" spans="1:25" x14ac:dyDescent="0.25">
      <c r="A5" s="48" t="s">
        <v>114</v>
      </c>
      <c r="B5" s="110">
        <f>ROUND(INDEX(insumos!$AF$3:$XFD$50,MATCH($A5,insumos!$AF$3:$AF$50,0),MATCH(B$2,insumos!$AF$3:$XFD$3,0)),2)</f>
        <v>1.39</v>
      </c>
      <c r="C5" s="110">
        <v>1.54</v>
      </c>
      <c r="D5" s="110">
        <f>ROUND(INDEX(insumos!$AF$3:$XFD$50,MATCH($A5,insumos!$AF$3:$AF$50,0),MATCH(C$2,insumos!$AF$3:$XFD$3,0)),2)</f>
        <v>1.29</v>
      </c>
      <c r="E5" s="167">
        <f>ROUND(INDEX(insumos!$AF$3:$XFD$50,MATCH($A5,insumos!$AF$3:$AF$50,0),MATCH(E$2,insumos!$AF$3:$XFD$3,0)),2)</f>
        <v>1.93</v>
      </c>
      <c r="F5" s="109" t="str">
        <f t="shared" ref="F5:F48" si="0">IF(ROUND(D5,1)&gt;ROUND(C5,1),"↑",IF(ROUND(D5,1)&lt;ROUND(C5,1),"↓","→"))</f>
        <v>↓</v>
      </c>
      <c r="G5" s="61"/>
      <c r="H5" s="61"/>
      <c r="I5" s="61"/>
      <c r="J5" s="61"/>
      <c r="K5" s="52" t="s">
        <v>51</v>
      </c>
      <c r="L5" s="53"/>
      <c r="M5" s="53"/>
      <c r="O5" s="178" t="s">
        <v>162</v>
      </c>
      <c r="P5" s="179"/>
      <c r="Q5" s="180"/>
      <c r="R5" s="178" t="s">
        <v>162</v>
      </c>
      <c r="S5" s="180"/>
      <c r="U5" s="178" t="s">
        <v>162</v>
      </c>
      <c r="V5" s="179"/>
      <c r="W5" s="180"/>
      <c r="X5" s="178" t="s">
        <v>162</v>
      </c>
      <c r="Y5" s="180"/>
    </row>
    <row r="6" spans="1:25" x14ac:dyDescent="0.25">
      <c r="A6" s="48" t="s">
        <v>65</v>
      </c>
      <c r="B6" s="110">
        <f>ROUND(INDEX(insumos!$AF$3:$XFD$50,MATCH($A6,insumos!$AF$3:$AF$50,0),MATCH(B$2,insumos!$AF$3:$XFD$3,0)),2)</f>
        <v>1.75</v>
      </c>
      <c r="C6" s="110">
        <v>2</v>
      </c>
      <c r="D6" s="110">
        <f>ROUND(INDEX(insumos!$AF$3:$XFD$50,MATCH($A6,insumos!$AF$3:$AF$50,0),MATCH(C$2,insumos!$AF$3:$XFD$3,0)),2)</f>
        <v>1.76</v>
      </c>
      <c r="E6" s="167">
        <f>ROUND(INDEX(insumos!$AF$3:$XFD$50,MATCH($A6,insumos!$AF$3:$AF$50,0),MATCH(E$2,insumos!$AF$3:$XFD$3,0)),2)</f>
        <v>2.4300000000000002</v>
      </c>
      <c r="F6" s="109" t="str">
        <f>IF(ROUND(D6,1)&gt;ROUND(C6,1),"↑",IF(ROUND(D6,1)&lt;ROUND(C6,1),"↓","→"))</f>
        <v>↓</v>
      </c>
      <c r="G6" s="61"/>
      <c r="H6" s="61"/>
      <c r="I6" s="61"/>
      <c r="J6" s="61"/>
      <c r="K6" s="54" t="s">
        <v>52</v>
      </c>
      <c r="L6" s="53"/>
      <c r="M6" s="53"/>
      <c r="O6" s="178">
        <v>2018</v>
      </c>
      <c r="P6" s="179"/>
      <c r="Q6" s="180"/>
      <c r="R6" s="178">
        <v>2019</v>
      </c>
      <c r="S6" s="180"/>
      <c r="U6" s="178">
        <v>2018</v>
      </c>
      <c r="V6" s="179"/>
      <c r="W6" s="180"/>
      <c r="X6" s="178">
        <v>2019</v>
      </c>
      <c r="Y6" s="180"/>
    </row>
    <row r="7" spans="1:25" x14ac:dyDescent="0.25">
      <c r="A7" s="45" t="s">
        <v>0</v>
      </c>
      <c r="B7" s="109">
        <f>ROUND(INDEX(insumos!$AF$3:$XFD$50,MATCH($A7,insumos!$AF$3:$AF$50,0),MATCH(B$2,insumos!$AF$3:$XFD$3,0)),2)</f>
        <v>2.85</v>
      </c>
      <c r="C7" s="109">
        <v>-0.3</v>
      </c>
      <c r="D7" s="109">
        <f>ROUND(INDEX(insumos!$AF$3:$XFD$50,MATCH($A7,insumos!$AF$3:$AF$50,0),MATCH(C$2,insumos!$AF$3:$XFD$3,0)),2)</f>
        <v>-2.2999999999999998</v>
      </c>
      <c r="E7" s="168">
        <f>ROUND(INDEX(insumos!$AF$3:$XFD$50,MATCH($A7,insumos!$AF$3:$AF$50,0),MATCH(E$2,insumos!$AF$3:$XFD$3,0)),2)</f>
        <v>0.6</v>
      </c>
      <c r="F7" s="109" t="str">
        <f t="shared" si="0"/>
        <v>↓</v>
      </c>
      <c r="G7" s="61"/>
      <c r="H7" s="61"/>
      <c r="I7" s="61"/>
      <c r="J7" s="61"/>
      <c r="K7" s="55"/>
      <c r="L7" s="55">
        <v>2018</v>
      </c>
      <c r="M7" s="55">
        <v>2019</v>
      </c>
      <c r="O7" s="150" t="s">
        <v>163</v>
      </c>
      <c r="P7" s="150" t="s">
        <v>160</v>
      </c>
      <c r="Q7" s="150" t="s">
        <v>168</v>
      </c>
      <c r="R7" s="150" t="s">
        <v>160</v>
      </c>
      <c r="S7" s="150" t="s">
        <v>168</v>
      </c>
      <c r="U7" s="150" t="s">
        <v>163</v>
      </c>
      <c r="V7" s="150" t="s">
        <v>160</v>
      </c>
      <c r="W7" s="150" t="s">
        <v>168</v>
      </c>
      <c r="X7" s="150" t="s">
        <v>160</v>
      </c>
      <c r="Y7" s="150" t="s">
        <v>168</v>
      </c>
    </row>
    <row r="8" spans="1:25" x14ac:dyDescent="0.25">
      <c r="A8" s="45" t="s">
        <v>9</v>
      </c>
      <c r="B8" s="109">
        <f>ROUND(INDEX(insumos!$AF$3:$XFD$50,MATCH($A8,insumos!$AF$3:$AF$50,0),MATCH(B$2,insumos!$AF$3:$XFD$3,0)),2)</f>
        <v>4.2</v>
      </c>
      <c r="C8" s="109">
        <v>4.3</v>
      </c>
      <c r="D8" s="109">
        <f>ROUND(INDEX(insumos!$AF$3:$XFD$50,MATCH($A8,insumos!$AF$3:$AF$50,0),MATCH(C$2,insumos!$AF$3:$XFD$3,0)),2)</f>
        <v>4.3</v>
      </c>
      <c r="E8" s="168">
        <f>ROUND(INDEX(insumos!$AF$3:$XFD$50,MATCH($A8,insumos!$AF$3:$AF$50,0),MATCH(E$2,insumos!$AF$3:$XFD$3,0)),2)</f>
        <v>4.4000000000000004</v>
      </c>
      <c r="F8" s="109" t="str">
        <f t="shared" si="0"/>
        <v>→</v>
      </c>
      <c r="G8" s="61"/>
      <c r="H8" s="61"/>
      <c r="I8" s="61"/>
      <c r="J8" s="120" t="s">
        <v>117</v>
      </c>
      <c r="K8" s="55" t="s">
        <v>1</v>
      </c>
      <c r="L8" s="175">
        <v>4.2</v>
      </c>
      <c r="M8" s="56"/>
      <c r="N8" s="160"/>
      <c r="O8" s="148"/>
      <c r="P8" s="149"/>
      <c r="Q8" s="149"/>
      <c r="R8" s="149"/>
      <c r="S8" s="148"/>
      <c r="T8" s="160"/>
      <c r="U8" s="148"/>
      <c r="V8" s="149"/>
      <c r="W8" s="149"/>
      <c r="X8" s="149"/>
      <c r="Y8" s="148"/>
    </row>
    <row r="9" spans="1:25" x14ac:dyDescent="0.25">
      <c r="A9" s="45" t="s">
        <v>2</v>
      </c>
      <c r="B9" s="109">
        <f>ROUND(INDEX(insumos!$AF$3:$XFD$50,MATCH($A9,insumos!$AF$3:$AF$50,0),MATCH(B$2,insumos!$AF$3:$XFD$3,0)),2)</f>
        <v>0.99</v>
      </c>
      <c r="C9" s="109">
        <v>1.6</v>
      </c>
      <c r="D9" s="109">
        <f>ROUND(INDEX(insumos!$AF$3:$XFD$50,MATCH($A9,insumos!$AF$3:$AF$50,0),MATCH(C$2,insumos!$AF$3:$XFD$3,0)),2)</f>
        <v>1.4</v>
      </c>
      <c r="E9" s="168">
        <f>ROUND(INDEX(insumos!$AF$3:$XFD$50,MATCH($A9,insumos!$AF$3:$AF$50,0),MATCH(E$2,insumos!$AF$3:$XFD$3,0)),2)</f>
        <v>2.4</v>
      </c>
      <c r="F9" s="109" t="str">
        <f t="shared" si="0"/>
        <v>↓</v>
      </c>
      <c r="G9" s="61"/>
      <c r="H9" s="61"/>
      <c r="I9" s="61"/>
      <c r="J9" s="120" t="s">
        <v>118</v>
      </c>
      <c r="K9" s="57" t="s">
        <v>0</v>
      </c>
      <c r="L9" s="58">
        <v>-2.2999999999999998</v>
      </c>
      <c r="M9" s="58">
        <v>0.6</v>
      </c>
      <c r="N9" s="160"/>
      <c r="O9" s="58">
        <v>3.4</v>
      </c>
      <c r="P9" s="58">
        <v>1.3</v>
      </c>
      <c r="Q9" s="58">
        <v>-2.9</v>
      </c>
      <c r="R9" s="58">
        <v>1.3</v>
      </c>
      <c r="S9" s="58">
        <v>-3.3</v>
      </c>
      <c r="T9" s="160"/>
      <c r="U9" s="58"/>
      <c r="V9" s="58">
        <v>1.9</v>
      </c>
      <c r="W9" s="58">
        <v>-3</v>
      </c>
      <c r="X9" s="58">
        <v>-3.4</v>
      </c>
      <c r="Y9" s="58">
        <v>-6.2</v>
      </c>
    </row>
    <row r="10" spans="1:25" x14ac:dyDescent="0.25">
      <c r="A10" s="45" t="s">
        <v>4</v>
      </c>
      <c r="B10" s="109">
        <f>ROUND(INDEX(insumos!$AF$3:$XFD$50,MATCH($A10,insumos!$AF$3:$AF$50,0),MATCH(B$2,insumos!$AF$3:$XFD$3,0)),2)</f>
        <v>1.49</v>
      </c>
      <c r="C10" s="109">
        <v>3.9</v>
      </c>
      <c r="D10" s="109">
        <f>ROUND(INDEX(insumos!$AF$3:$XFD$50,MATCH($A10,insumos!$AF$3:$AF$50,0),MATCH(C$2,insumos!$AF$3:$XFD$3,0)),2)</f>
        <v>3.9</v>
      </c>
      <c r="E10" s="168">
        <f>ROUND(INDEX(insumos!$AF$3:$XFD$50,MATCH($A10,insumos!$AF$3:$AF$50,0),MATCH(E$2,insumos!$AF$3:$XFD$3,0)),2)</f>
        <v>3.3</v>
      </c>
      <c r="F10" s="109" t="str">
        <f t="shared" si="0"/>
        <v>→</v>
      </c>
      <c r="G10" s="61"/>
      <c r="H10" s="61"/>
      <c r="I10" s="61"/>
      <c r="J10" s="120" t="s">
        <v>147</v>
      </c>
      <c r="K10" s="55" t="s">
        <v>3</v>
      </c>
      <c r="L10" s="175">
        <v>2.5</v>
      </c>
      <c r="M10" s="56"/>
      <c r="N10" s="160"/>
      <c r="O10" s="149"/>
      <c r="P10" s="149"/>
      <c r="Q10" s="149"/>
      <c r="R10" s="149"/>
      <c r="S10" s="149"/>
      <c r="T10" s="160"/>
      <c r="U10" s="149"/>
      <c r="V10" s="149"/>
      <c r="W10" s="149"/>
      <c r="X10" s="149"/>
      <c r="Y10" s="149"/>
    </row>
    <row r="11" spans="1:25" x14ac:dyDescent="0.25">
      <c r="A11" s="45" t="s">
        <v>6</v>
      </c>
      <c r="B11" s="109">
        <f>ROUND(INDEX(insumos!$AF$3:$XFD$50,MATCH($A11,insumos!$AF$3:$AF$50,0),MATCH(B$2,insumos!$AF$3:$XFD$3,0)),2)</f>
        <v>1.79</v>
      </c>
      <c r="C11" s="109">
        <v>2.7</v>
      </c>
      <c r="D11" s="109">
        <f>ROUND(INDEX(insumos!$AF$3:$XFD$50,MATCH($A11,insumos!$AF$3:$AF$50,0),MATCH(C$2,insumos!$AF$3:$XFD$3,0)),2)</f>
        <v>2.7</v>
      </c>
      <c r="E11" s="168">
        <f>ROUND(INDEX(insumos!$AF$3:$XFD$50,MATCH($A11,insumos!$AF$3:$AF$50,0),MATCH(E$2,insumos!$AF$3:$XFD$3,0)),2)</f>
        <v>3.1</v>
      </c>
      <c r="F11" s="109" t="str">
        <f t="shared" si="0"/>
        <v>→</v>
      </c>
      <c r="G11" s="61"/>
      <c r="H11" s="61"/>
      <c r="I11" s="61"/>
      <c r="J11" s="120" t="s">
        <v>137</v>
      </c>
      <c r="K11" s="55" t="s">
        <v>5</v>
      </c>
      <c r="L11" s="175">
        <v>0</v>
      </c>
      <c r="M11" s="56"/>
      <c r="N11" s="160"/>
      <c r="O11" s="149"/>
      <c r="P11" s="149"/>
      <c r="Q11" s="149"/>
      <c r="R11" s="149"/>
      <c r="S11" s="149"/>
      <c r="T11" s="160"/>
      <c r="U11" s="149"/>
      <c r="V11" s="149"/>
      <c r="W11" s="149"/>
      <c r="X11" s="149"/>
      <c r="Y11" s="149"/>
    </row>
    <row r="12" spans="1:25" x14ac:dyDescent="0.25">
      <c r="A12" s="45" t="s">
        <v>10</v>
      </c>
      <c r="B12" s="109">
        <f>ROUND(INDEX(insumos!$AF$3:$XFD$50,MATCH($A12,insumos!$AF$3:$AF$50,0),MATCH(B$2,insumos!$AF$3:$XFD$3,0)),2)</f>
        <v>3</v>
      </c>
      <c r="C12" s="109">
        <v>1.5</v>
      </c>
      <c r="D12" s="109">
        <f>ROUND(INDEX(insumos!$AF$3:$XFD$50,MATCH($A12,insumos!$AF$3:$AF$50,0),MATCH(C$2,insumos!$AF$3:$XFD$3,0)),2)</f>
        <v>1.5</v>
      </c>
      <c r="E12" s="168">
        <f>ROUND(INDEX(insumos!$AF$3:$XFD$50,MATCH($A12,insumos!$AF$3:$AF$50,0),MATCH(E$2,insumos!$AF$3:$XFD$3,0)),2)</f>
        <v>2.4</v>
      </c>
      <c r="F12" s="109" t="str">
        <f t="shared" si="0"/>
        <v>→</v>
      </c>
      <c r="G12" s="61"/>
      <c r="H12" s="61"/>
      <c r="I12" s="61"/>
      <c r="J12" s="120" t="s">
        <v>138</v>
      </c>
      <c r="K12" s="55" t="s">
        <v>7</v>
      </c>
      <c r="L12" s="175">
        <v>2.6</v>
      </c>
      <c r="M12" s="56"/>
      <c r="N12" s="160"/>
      <c r="O12" s="149"/>
      <c r="P12" s="149"/>
      <c r="Q12" s="149"/>
      <c r="R12" s="149"/>
      <c r="S12" s="149"/>
      <c r="T12" s="160"/>
      <c r="U12" s="149"/>
      <c r="V12" s="149"/>
      <c r="W12" s="149"/>
      <c r="X12" s="149"/>
      <c r="Y12" s="149"/>
    </row>
    <row r="13" spans="1:25" x14ac:dyDescent="0.25">
      <c r="A13" s="45" t="s">
        <v>13</v>
      </c>
      <c r="B13" s="109">
        <f>ROUND(INDEX(insumos!$AF$3:$XFD$50,MATCH($A13,insumos!$AF$3:$AF$50,0),MATCH(B$2,insumos!$AF$3:$XFD$3,0)),2)</f>
        <v>4.76</v>
      </c>
      <c r="C13" s="109">
        <v>4.4000000000000004</v>
      </c>
      <c r="D13" s="109">
        <f>ROUND(INDEX(insumos!$AF$3:$XFD$50,MATCH($A13,insumos!$AF$3:$AF$50,0),MATCH(C$2,insumos!$AF$3:$XFD$3,0)),2)</f>
        <v>4.5999999999999996</v>
      </c>
      <c r="E13" s="168">
        <f>ROUND(INDEX(insumos!$AF$3:$XFD$50,MATCH($A13,insumos!$AF$3:$AF$50,0),MATCH(E$2,insumos!$AF$3:$XFD$3,0)),2)</f>
        <v>4.7</v>
      </c>
      <c r="F13" s="109" t="str">
        <f t="shared" si="0"/>
        <v>↑</v>
      </c>
      <c r="G13" s="61"/>
      <c r="H13" s="61"/>
      <c r="I13" s="61"/>
      <c r="J13" s="120" t="s">
        <v>119</v>
      </c>
      <c r="K13" s="57" t="s">
        <v>9</v>
      </c>
      <c r="L13" s="58">
        <v>4.3</v>
      </c>
      <c r="M13" s="58">
        <v>4.4000000000000004</v>
      </c>
      <c r="N13" s="160"/>
      <c r="O13" s="58">
        <v>4.2</v>
      </c>
      <c r="P13" s="58">
        <v>4.4000000000000004</v>
      </c>
      <c r="Q13" s="58"/>
      <c r="R13" s="58">
        <v>4.0999999999999996</v>
      </c>
      <c r="S13" s="58"/>
      <c r="T13" s="160"/>
      <c r="U13" s="58"/>
      <c r="V13" s="58">
        <v>4.9000000000000004</v>
      </c>
      <c r="W13" s="58"/>
      <c r="X13" s="58">
        <v>5</v>
      </c>
      <c r="Y13" s="58"/>
    </row>
    <row r="14" spans="1:25" x14ac:dyDescent="0.25">
      <c r="A14" s="45" t="s">
        <v>15</v>
      </c>
      <c r="B14" s="109">
        <f>ROUND(INDEX(insumos!$AF$3:$XFD$50,MATCH($A14,insumos!$AF$3:$AF$50,0),MATCH(B$2,insumos!$AF$3:$XFD$3,0)),2)</f>
        <v>2.5299999999999998</v>
      </c>
      <c r="C14" s="109">
        <v>3.6</v>
      </c>
      <c r="D14" s="109">
        <f>ROUND(INDEX(insumos!$AF$3:$XFD$50,MATCH($A14,insumos!$AF$3:$AF$50,0),MATCH(C$2,insumos!$AF$3:$XFD$3,0)),2)</f>
        <v>4</v>
      </c>
      <c r="E14" s="168">
        <f>ROUND(INDEX(insumos!$AF$3:$XFD$50,MATCH($A14,insumos!$AF$3:$AF$50,0),MATCH(E$2,insumos!$AF$3:$XFD$3,0)),2)</f>
        <v>3.7</v>
      </c>
      <c r="F14" s="109" t="str">
        <f t="shared" si="0"/>
        <v>↑</v>
      </c>
      <c r="G14" s="61"/>
      <c r="H14" s="61"/>
      <c r="I14" s="61"/>
      <c r="J14" s="120" t="s">
        <v>120</v>
      </c>
      <c r="K14" s="57" t="s">
        <v>2</v>
      </c>
      <c r="L14" s="58">
        <v>1.4</v>
      </c>
      <c r="M14" s="58">
        <v>2.4</v>
      </c>
      <c r="N14" s="160"/>
      <c r="O14" s="58">
        <v>2.2999999999999998</v>
      </c>
      <c r="P14" s="58">
        <v>0.1</v>
      </c>
      <c r="Q14" s="58">
        <v>1</v>
      </c>
      <c r="R14" s="58">
        <v>-1.6</v>
      </c>
      <c r="S14" s="58">
        <v>-0.2</v>
      </c>
      <c r="T14" s="160"/>
      <c r="U14" s="58"/>
      <c r="V14" s="58">
        <v>1.6</v>
      </c>
      <c r="W14" s="58">
        <v>0.7</v>
      </c>
      <c r="X14" s="58">
        <v>2.4</v>
      </c>
      <c r="Y14" s="58">
        <v>0.4</v>
      </c>
    </row>
    <row r="15" spans="1:25" x14ac:dyDescent="0.25">
      <c r="A15" s="45" t="s">
        <v>17</v>
      </c>
      <c r="B15" s="109">
        <f>ROUND(INDEX(insumos!$AF$3:$XFD$50,MATCH($A15,insumos!$AF$3:$AF$50,0),MATCH(B$2,insumos!$AF$3:$XFD$3,0)),2)</f>
        <v>2.66</v>
      </c>
      <c r="C15" s="109">
        <v>2.2999999999999998</v>
      </c>
      <c r="D15" s="109">
        <f>ROUND(INDEX(insumos!$AF$3:$XFD$50,MATCH($A15,insumos!$AF$3:$AF$50,0),MATCH(C$2,insumos!$AF$3:$XFD$3,0)),2)</f>
        <v>2.2999999999999998</v>
      </c>
      <c r="E15" s="168">
        <f>ROUND(INDEX(insumos!$AF$3:$XFD$50,MATCH($A15,insumos!$AF$3:$AF$50,0),MATCH(E$2,insumos!$AF$3:$XFD$3,0)),2)</f>
        <v>1.5</v>
      </c>
      <c r="F15" s="109" t="str">
        <f t="shared" si="0"/>
        <v>→</v>
      </c>
      <c r="G15" s="61"/>
      <c r="H15" s="61"/>
      <c r="I15" s="61"/>
      <c r="J15" s="120" t="s">
        <v>121</v>
      </c>
      <c r="K15" s="57" t="s">
        <v>4</v>
      </c>
      <c r="L15" s="58">
        <v>3.9</v>
      </c>
      <c r="M15" s="58">
        <v>3.3</v>
      </c>
      <c r="N15" s="160"/>
      <c r="O15" s="58">
        <v>2.9</v>
      </c>
      <c r="P15" s="58">
        <v>4.2</v>
      </c>
      <c r="Q15" s="58">
        <v>4.3</v>
      </c>
      <c r="R15" s="58">
        <v>3.4</v>
      </c>
      <c r="S15" s="58">
        <v>2.7</v>
      </c>
      <c r="T15" s="160"/>
      <c r="U15" s="58"/>
      <c r="V15" s="58">
        <v>4.4000000000000004</v>
      </c>
      <c r="W15" s="58">
        <v>4.9000000000000004</v>
      </c>
      <c r="X15" s="58">
        <v>4</v>
      </c>
      <c r="Y15" s="58">
        <v>2.8</v>
      </c>
    </row>
    <row r="16" spans="1:25" x14ac:dyDescent="0.25">
      <c r="A16" s="45" t="s">
        <v>32</v>
      </c>
      <c r="B16" s="109">
        <f>ROUND(INDEX(insumos!$AF$3:$XFD$50,MATCH($A16,insumos!$AF$3:$AF$50,0),MATCH(B$2,insumos!$AF$3:$XFD$3,0)),2)</f>
        <v>-13</v>
      </c>
      <c r="C16" s="109">
        <v>-12</v>
      </c>
      <c r="D16" s="109">
        <f>ROUND(INDEX(insumos!$AF$3:$XFD$50,MATCH($A16,insumos!$AF$3:$AF$50,0),MATCH(C$2,insumos!$AF$3:$XFD$3,0)),2)</f>
        <v>-12</v>
      </c>
      <c r="E16" s="168">
        <f>ROUND(INDEX(insumos!$AF$3:$XFD$50,MATCH($A16,insumos!$AF$3:$AF$50,0),MATCH(E$2,insumos!$AF$3:$XFD$3,0)),2)</f>
        <v>-9.1999999999999993</v>
      </c>
      <c r="F16" s="109" t="str">
        <f t="shared" si="0"/>
        <v>→</v>
      </c>
      <c r="G16" s="61"/>
      <c r="H16" s="61"/>
      <c r="I16" s="61"/>
      <c r="J16" s="120" t="s">
        <v>122</v>
      </c>
      <c r="K16" s="57" t="s">
        <v>6</v>
      </c>
      <c r="L16" s="58">
        <v>2.7</v>
      </c>
      <c r="M16" s="58">
        <v>3.1</v>
      </c>
      <c r="N16" s="160"/>
      <c r="O16" s="58">
        <v>3</v>
      </c>
      <c r="P16" s="58">
        <v>2.6</v>
      </c>
      <c r="Q16" s="58">
        <v>2.6</v>
      </c>
      <c r="R16" s="58">
        <v>1.9</v>
      </c>
      <c r="S16" s="58">
        <v>2.2000000000000002</v>
      </c>
      <c r="T16" s="160"/>
      <c r="U16" s="58"/>
      <c r="V16" s="58">
        <v>2.8</v>
      </c>
      <c r="W16" s="58">
        <v>3</v>
      </c>
      <c r="X16" s="58">
        <v>3.9</v>
      </c>
      <c r="Y16" s="58">
        <v>4.3</v>
      </c>
    </row>
    <row r="17" spans="1:25" x14ac:dyDescent="0.25">
      <c r="A17" s="46" t="s">
        <v>39</v>
      </c>
      <c r="B17" s="110">
        <f>ROUND(INDEX(insumos!$AF$3:$XFD$50,MATCH($A17,insumos!$AF$3:$AF$50,0),MATCH(B$2,insumos!$AF$3:$XFD$3,0)),2)</f>
        <v>0.79</v>
      </c>
      <c r="C17" s="110">
        <v>1.19</v>
      </c>
      <c r="D17" s="110">
        <f>ROUND(INDEX(insumos!$AF$3:$XFD$50,MATCH($A17,insumos!$AF$3:$AF$50,0),MATCH(C$2,insumos!$AF$3:$XFD$3,0)),2)</f>
        <v>0.86</v>
      </c>
      <c r="E17" s="167">
        <f>ROUND(INDEX(insumos!$AF$3:$XFD$50,MATCH($A17,insumos!$AF$3:$AF$50,0),MATCH(E$2,insumos!$AF$3:$XFD$3,0)),2)</f>
        <v>1.97</v>
      </c>
      <c r="F17" s="109" t="str">
        <f t="shared" si="0"/>
        <v>↓</v>
      </c>
      <c r="G17" s="61"/>
      <c r="H17" s="61"/>
      <c r="I17" s="61"/>
      <c r="J17" s="120" t="s">
        <v>129</v>
      </c>
      <c r="K17" s="55" t="s">
        <v>8</v>
      </c>
      <c r="L17" s="176">
        <v>3.2</v>
      </c>
      <c r="M17" s="56">
        <v>3.1</v>
      </c>
      <c r="N17" s="160"/>
      <c r="O17" s="149"/>
      <c r="P17" s="149"/>
      <c r="Q17" s="149"/>
      <c r="R17" s="149"/>
      <c r="S17" s="149"/>
      <c r="T17" s="160"/>
      <c r="U17" s="149"/>
      <c r="V17" s="149"/>
      <c r="W17" s="149"/>
      <c r="X17" s="149"/>
      <c r="Y17" s="149"/>
    </row>
    <row r="18" spans="1:25" x14ac:dyDescent="0.25">
      <c r="A18" s="46" t="s">
        <v>116</v>
      </c>
      <c r="B18" s="110">
        <f>ROUND(INDEX(insumos!$AF$3:$XFD$50,MATCH($A18,insumos!$AF$3:$AF$50,0),MATCH(B$2,insumos!$AF$3:$XFD$3,0)),2)</f>
        <v>0.52</v>
      </c>
      <c r="C18" s="110">
        <v>0.63</v>
      </c>
      <c r="D18" s="110">
        <f>ROUND(INDEX(insumos!$AF$3:$XFD$50,MATCH($A18,insumos!$AF$3:$AF$50,0),MATCH(C$2,insumos!$AF$3:$XFD$3,0)),2)</f>
        <v>0.13</v>
      </c>
      <c r="E18" s="167">
        <f>ROUND(INDEX(insumos!$AF$3:$XFD$50,MATCH($A18,insumos!$AF$3:$AF$50,0),MATCH(E$2,insumos!$AF$3:$XFD$3,0)),2)</f>
        <v>1.38</v>
      </c>
      <c r="F18" s="109" t="str">
        <f t="shared" si="0"/>
        <v>↓</v>
      </c>
      <c r="G18" s="61"/>
      <c r="H18" s="61"/>
      <c r="I18" s="61"/>
      <c r="J18" s="120" t="s">
        <v>149</v>
      </c>
      <c r="K18" s="55" t="s">
        <v>11</v>
      </c>
      <c r="L18" s="176">
        <v>1.5</v>
      </c>
      <c r="M18" s="56">
        <v>1.5</v>
      </c>
      <c r="N18" s="160"/>
      <c r="O18" s="149"/>
      <c r="P18" s="149"/>
      <c r="Q18" s="149"/>
      <c r="R18" s="149"/>
      <c r="S18" s="149"/>
      <c r="T18" s="160"/>
      <c r="U18" s="149"/>
      <c r="V18" s="149"/>
      <c r="W18" s="149"/>
      <c r="X18" s="149"/>
      <c r="Y18" s="149"/>
    </row>
    <row r="19" spans="1:25" x14ac:dyDescent="0.25">
      <c r="A19" s="46" t="s">
        <v>64</v>
      </c>
      <c r="B19" s="110">
        <f>ROUND(INDEX(insumos!$AF$3:$XFD$50,MATCH($A19,insumos!$AF$3:$AF$50,0),MATCH(B$2,insumos!$AF$3:$XFD$3,0)),2)</f>
        <v>1.53</v>
      </c>
      <c r="C19" s="110">
        <v>1.8</v>
      </c>
      <c r="D19" s="110">
        <f>ROUND(INDEX(insumos!$AF$3:$XFD$50,MATCH($A19,insumos!$AF$3:$AF$50,0),MATCH(C$2,insumos!$AF$3:$XFD$3,0)),2)</f>
        <v>1.46</v>
      </c>
      <c r="E19" s="167">
        <f>ROUND(INDEX(insumos!$AF$3:$XFD$50,MATCH($A19,insumos!$AF$3:$AF$50,0),MATCH(E$2,insumos!$AF$3:$XFD$3,0)),2)</f>
        <v>2.42</v>
      </c>
      <c r="F19" s="109" t="str">
        <f t="shared" si="0"/>
        <v>↓</v>
      </c>
      <c r="G19" s="61"/>
      <c r="H19" s="61"/>
      <c r="I19" s="61"/>
      <c r="J19" s="120" t="s">
        <v>139</v>
      </c>
      <c r="K19" s="55" t="s">
        <v>20</v>
      </c>
      <c r="L19" s="175">
        <v>-6.4</v>
      </c>
      <c r="M19" s="56"/>
      <c r="N19" s="160"/>
      <c r="O19" s="149"/>
      <c r="P19" s="149"/>
      <c r="Q19" s="149"/>
      <c r="R19" s="149"/>
      <c r="S19" s="149"/>
      <c r="T19" s="160"/>
      <c r="U19" s="149"/>
      <c r="V19" s="149"/>
      <c r="W19" s="149"/>
      <c r="X19" s="149"/>
      <c r="Y19" s="149"/>
    </row>
    <row r="20" spans="1:25" x14ac:dyDescent="0.25">
      <c r="A20" s="45" t="s">
        <v>8</v>
      </c>
      <c r="B20" s="109">
        <f>ROUND(INDEX(insumos!$AF$3:$XFD$50,MATCH($A20,insumos!$AF$3:$AF$50,0),MATCH(B$2,insumos!$AF$3:$XFD$3,0)),2)</f>
        <v>3.19</v>
      </c>
      <c r="C20" s="109">
        <v>3.3</v>
      </c>
      <c r="D20" s="109">
        <f>ROUND(INDEX(insumos!$AF$3:$XFD$50,MATCH($A20,insumos!$AF$3:$AF$50,0),MATCH(C$2,insumos!$AF$3:$XFD$3,0)),2)</f>
        <v>3.2</v>
      </c>
      <c r="E20" s="168">
        <f>ROUND(INDEX(insumos!$AF$3:$XFD$50,MATCH($A20,insumos!$AF$3:$AF$50,0),MATCH(E$2,insumos!$AF$3:$XFD$3,0)),2)</f>
        <v>3.1</v>
      </c>
      <c r="F20" s="109" t="str">
        <f t="shared" si="0"/>
        <v>↓</v>
      </c>
      <c r="G20" s="61"/>
      <c r="H20" s="61"/>
      <c r="I20" s="61"/>
      <c r="J20" s="120" t="s">
        <v>123</v>
      </c>
      <c r="K20" s="57" t="s">
        <v>10</v>
      </c>
      <c r="L20" s="58">
        <v>1.5</v>
      </c>
      <c r="M20" s="58">
        <v>2.4</v>
      </c>
      <c r="N20" s="160"/>
      <c r="O20" s="58">
        <v>3.5</v>
      </c>
      <c r="P20" s="58">
        <v>1.5</v>
      </c>
      <c r="Q20" s="58">
        <v>1.2</v>
      </c>
      <c r="R20" s="58">
        <v>1.7</v>
      </c>
      <c r="S20" s="58">
        <v>3.2</v>
      </c>
      <c r="T20" s="160"/>
      <c r="U20" s="58"/>
      <c r="V20" s="58">
        <v>1.6</v>
      </c>
      <c r="W20" s="58">
        <v>1.5</v>
      </c>
      <c r="X20" s="58">
        <v>2.7</v>
      </c>
      <c r="Y20" s="58">
        <v>3.7</v>
      </c>
    </row>
    <row r="21" spans="1:25" x14ac:dyDescent="0.25">
      <c r="A21" s="45" t="s">
        <v>11</v>
      </c>
      <c r="B21" s="109">
        <f>ROUND(INDEX(insumos!$AF$3:$XFD$50,MATCH($A21,insumos!$AF$3:$AF$50,0),MATCH(B$2,insumos!$AF$3:$XFD$3,0)),2)</f>
        <v>1.6</v>
      </c>
      <c r="C21" s="109">
        <v>1.5</v>
      </c>
      <c r="D21" s="109">
        <f>ROUND(INDEX(insumos!$AF$3:$XFD$50,MATCH($A21,insumos!$AF$3:$AF$50,0),MATCH(C$2,insumos!$AF$3:$XFD$3,0)),2)</f>
        <v>1.5</v>
      </c>
      <c r="E21" s="168">
        <f>ROUND(INDEX(insumos!$AF$3:$XFD$50,MATCH($A21,insumos!$AF$3:$AF$50,0),MATCH(E$2,insumos!$AF$3:$XFD$3,0)),2)</f>
        <v>1.5</v>
      </c>
      <c r="F21" s="109" t="str">
        <f t="shared" si="0"/>
        <v>→</v>
      </c>
      <c r="G21" s="61"/>
      <c r="H21" s="61"/>
      <c r="I21" s="61"/>
      <c r="J21" s="120" t="s">
        <v>131</v>
      </c>
      <c r="K21" s="55" t="s">
        <v>14</v>
      </c>
      <c r="L21" s="176">
        <v>2.4</v>
      </c>
      <c r="M21" s="56">
        <v>2.4</v>
      </c>
      <c r="N21" s="160"/>
      <c r="O21" s="149"/>
      <c r="P21" s="149"/>
      <c r="Q21" s="149"/>
      <c r="R21" s="149"/>
      <c r="S21" s="149"/>
      <c r="T21" s="160"/>
      <c r="U21" s="149"/>
      <c r="V21" s="149"/>
      <c r="W21" s="149"/>
      <c r="X21" s="149"/>
      <c r="Y21" s="149"/>
    </row>
    <row r="22" spans="1:25" x14ac:dyDescent="0.25">
      <c r="A22" s="45" t="s">
        <v>14</v>
      </c>
      <c r="B22" s="109">
        <f>ROUND(INDEX(insumos!$AF$3:$XFD$50,MATCH($A22,insumos!$AF$3:$AF$50,0),MATCH(B$2,insumos!$AF$3:$XFD$3,0)),2)</f>
        <v>2.3199999999999998</v>
      </c>
      <c r="C22" s="109">
        <v>2.4</v>
      </c>
      <c r="D22" s="109">
        <f>ROUND(INDEX(insumos!$AF$3:$XFD$50,MATCH($A22,insumos!$AF$3:$AF$50,0),MATCH(C$2,insumos!$AF$3:$XFD$3,0)),2)</f>
        <v>2.4</v>
      </c>
      <c r="E22" s="168">
        <f>ROUND(INDEX(insumos!$AF$3:$XFD$50,MATCH($A22,insumos!$AF$3:$AF$50,0),MATCH(E$2,insumos!$AF$3:$XFD$3,0)),2)</f>
        <v>2.4</v>
      </c>
      <c r="F22" s="109" t="str">
        <f t="shared" si="0"/>
        <v>→</v>
      </c>
      <c r="G22" s="61"/>
      <c r="H22" s="61"/>
      <c r="I22" s="61"/>
      <c r="J22" s="120" t="s">
        <v>140</v>
      </c>
      <c r="K22" s="55" t="s">
        <v>23</v>
      </c>
      <c r="L22" s="175">
        <v>3.5</v>
      </c>
      <c r="M22" s="56"/>
      <c r="N22" s="160"/>
      <c r="O22" s="149"/>
      <c r="P22" s="149"/>
      <c r="Q22" s="149"/>
      <c r="R22" s="149"/>
      <c r="S22" s="149"/>
      <c r="T22" s="160"/>
      <c r="U22" s="149"/>
      <c r="V22" s="149"/>
      <c r="W22" s="149"/>
      <c r="X22" s="149"/>
      <c r="Y22" s="149"/>
    </row>
    <row r="23" spans="1:25" x14ac:dyDescent="0.25">
      <c r="A23" s="45" t="s">
        <v>16</v>
      </c>
      <c r="B23" s="109">
        <f>ROUND(INDEX(insumos!$AF$3:$XFD$50,MATCH($A23,insumos!$AF$3:$AF$50,0),MATCH(B$2,insumos!$AF$3:$XFD$3,0)),2)</f>
        <v>2.76</v>
      </c>
      <c r="C23" s="109">
        <v>2.9</v>
      </c>
      <c r="D23" s="109">
        <f>ROUND(INDEX(insumos!$AF$3:$XFD$50,MATCH($A23,insumos!$AF$3:$AF$50,0),MATCH(C$2,insumos!$AF$3:$XFD$3,0)),2)</f>
        <v>2.9</v>
      </c>
      <c r="E23" s="168">
        <f>ROUND(INDEX(insumos!$AF$3:$XFD$50,MATCH($A23,insumos!$AF$3:$AF$50,0),MATCH(E$2,insumos!$AF$3:$XFD$3,0)),2)</f>
        <v>3</v>
      </c>
      <c r="F23" s="109" t="str">
        <f t="shared" si="0"/>
        <v>→</v>
      </c>
      <c r="G23" s="61"/>
      <c r="H23" s="61"/>
      <c r="I23" s="61"/>
      <c r="J23" s="120" t="s">
        <v>132</v>
      </c>
      <c r="K23" s="55" t="s">
        <v>16</v>
      </c>
      <c r="L23" s="176">
        <v>2.9</v>
      </c>
      <c r="M23" s="56">
        <v>3</v>
      </c>
      <c r="N23" s="160"/>
      <c r="O23" s="149"/>
      <c r="P23" s="149"/>
      <c r="Q23" s="149"/>
      <c r="R23" s="149"/>
      <c r="S23" s="149"/>
      <c r="T23" s="160"/>
      <c r="U23" s="149"/>
      <c r="V23" s="149"/>
      <c r="W23" s="149"/>
      <c r="X23" s="149"/>
      <c r="Y23" s="149"/>
    </row>
    <row r="24" spans="1:25" x14ac:dyDescent="0.25">
      <c r="A24" s="45" t="s">
        <v>18</v>
      </c>
      <c r="B24" s="109">
        <f>ROUND(INDEX(insumos!$AF$3:$XFD$50,MATCH($A24,insumos!$AF$3:$AF$50,0),MATCH(B$2,insumos!$AF$3:$XFD$3,0)),2)</f>
        <v>1.17</v>
      </c>
      <c r="C24" s="109">
        <v>1.8</v>
      </c>
      <c r="D24" s="109">
        <f>ROUND(INDEX(insumos!$AF$3:$XFD$50,MATCH($A24,insumos!$AF$3:$AF$50,0),MATCH(C$2,insumos!$AF$3:$XFD$3,0)),2)</f>
        <v>1.8</v>
      </c>
      <c r="E24" s="168">
        <f>ROUND(INDEX(insumos!$AF$3:$XFD$50,MATCH($A24,insumos!$AF$3:$AF$50,0),MATCH(E$2,insumos!$AF$3:$XFD$3,0)),2)</f>
        <v>2</v>
      </c>
      <c r="F24" s="109" t="str">
        <f t="shared" si="0"/>
        <v>→</v>
      </c>
      <c r="G24" s="61"/>
      <c r="H24" s="61"/>
      <c r="I24" s="61"/>
      <c r="J24" s="120" t="s">
        <v>141</v>
      </c>
      <c r="K24" s="55" t="s">
        <v>24</v>
      </c>
      <c r="L24" s="175">
        <v>3</v>
      </c>
      <c r="M24" s="56"/>
      <c r="N24" s="160"/>
      <c r="O24" s="149"/>
      <c r="P24" s="149"/>
      <c r="Q24" s="149"/>
      <c r="R24" s="149"/>
      <c r="S24" s="149"/>
      <c r="T24" s="160"/>
      <c r="U24" s="149"/>
      <c r="V24" s="149"/>
      <c r="W24" s="149"/>
      <c r="X24" s="149"/>
      <c r="Y24" s="149"/>
    </row>
    <row r="25" spans="1:25" x14ac:dyDescent="0.25">
      <c r="A25" s="45" t="s">
        <v>19</v>
      </c>
      <c r="B25" s="109">
        <f>ROUND(INDEX(insumos!$AF$3:$XFD$50,MATCH($A25,insumos!$AF$3:$AF$50,0),MATCH(B$2,insumos!$AF$3:$XFD$3,0)),2)</f>
        <v>4.79</v>
      </c>
      <c r="C25" s="109">
        <v>3.9</v>
      </c>
      <c r="D25" s="109">
        <f>ROUND(INDEX(insumos!$AF$3:$XFD$50,MATCH($A25,insumos!$AF$3:$AF$50,0),MATCH(C$2,insumos!$AF$3:$XFD$3,0)),2)</f>
        <v>3.6</v>
      </c>
      <c r="E25" s="168">
        <f>ROUND(INDEX(insumos!$AF$3:$XFD$50,MATCH($A25,insumos!$AF$3:$AF$50,0),MATCH(E$2,insumos!$AF$3:$XFD$3,0)),2)</f>
        <v>3.7</v>
      </c>
      <c r="F25" s="109" t="str">
        <f t="shared" si="0"/>
        <v>↓</v>
      </c>
      <c r="G25" s="61"/>
      <c r="H25" s="61"/>
      <c r="I25" s="61"/>
      <c r="J25" s="120" t="s">
        <v>133</v>
      </c>
      <c r="K25" s="55" t="s">
        <v>18</v>
      </c>
      <c r="L25" s="176">
        <v>1.8</v>
      </c>
      <c r="M25" s="56">
        <v>2</v>
      </c>
      <c r="N25" s="160"/>
      <c r="O25" s="149"/>
      <c r="P25" s="149"/>
      <c r="Q25" s="149"/>
      <c r="R25" s="149"/>
      <c r="S25" s="149"/>
      <c r="T25" s="160"/>
      <c r="U25" s="149"/>
      <c r="V25" s="149"/>
      <c r="W25" s="149"/>
      <c r="X25" s="149"/>
      <c r="Y25" s="149"/>
    </row>
    <row r="26" spans="1:25" x14ac:dyDescent="0.25">
      <c r="A26" s="45" t="s">
        <v>12</v>
      </c>
      <c r="B26" s="109">
        <f>ROUND(INDEX(insumos!$AF$3:$XFD$50,MATCH($A26,insumos!$AF$3:$AF$50,0),MATCH(B$2,insumos!$AF$3:$XFD$3,0)),2)</f>
        <v>2.04</v>
      </c>
      <c r="C26" s="109">
        <v>2.2000000000000002</v>
      </c>
      <c r="D26" s="109">
        <f>ROUND(INDEX(insumos!$AF$3:$XFD$50,MATCH($A26,insumos!$AF$3:$AF$50,0),MATCH(C$2,insumos!$AF$3:$XFD$3,0)),2)</f>
        <v>2.2000000000000002</v>
      </c>
      <c r="E26" s="168">
        <f>ROUND(INDEX(insumos!$AF$3:$XFD$50,MATCH($A26,insumos!$AF$3:$AF$50,0),MATCH(E$2,insumos!$AF$3:$XFD$3,0)),2)</f>
        <v>2.2999999999999998</v>
      </c>
      <c r="F26" s="109" t="str">
        <f t="shared" si="0"/>
        <v>→</v>
      </c>
      <c r="G26" s="61"/>
      <c r="H26" s="61"/>
      <c r="I26" s="61"/>
      <c r="J26" s="120" t="s">
        <v>134</v>
      </c>
      <c r="K26" s="55" t="s">
        <v>19</v>
      </c>
      <c r="L26" s="176">
        <v>3.6</v>
      </c>
      <c r="M26" s="56">
        <v>3.7</v>
      </c>
      <c r="N26" s="160"/>
      <c r="O26" s="149"/>
      <c r="P26" s="149"/>
      <c r="Q26" s="149"/>
      <c r="R26" s="149"/>
      <c r="S26" s="149"/>
      <c r="T26" s="160"/>
      <c r="U26" s="149"/>
      <c r="V26" s="149"/>
      <c r="W26" s="149"/>
      <c r="X26" s="149"/>
      <c r="Y26" s="149"/>
    </row>
    <row r="27" spans="1:25" x14ac:dyDescent="0.25">
      <c r="A27" s="45" t="s">
        <v>21</v>
      </c>
      <c r="B27" s="109">
        <f>ROUND(INDEX(insumos!$AF$3:$XFD$50,MATCH($A27,insumos!$AF$3:$AF$50,0),MATCH(B$2,insumos!$AF$3:$XFD$3,0)),2)</f>
        <v>4.8600000000000003</v>
      </c>
      <c r="C27" s="109">
        <v>0.5</v>
      </c>
      <c r="D27" s="109">
        <f>ROUND(INDEX(insumos!$AF$3:$XFD$50,MATCH($A27,insumos!$AF$3:$AF$50,0),MATCH(C$2,insumos!$AF$3:$XFD$3,0)),2)</f>
        <v>-1</v>
      </c>
      <c r="E27" s="168">
        <f>ROUND(INDEX(insumos!$AF$3:$XFD$50,MATCH($A27,insumos!$AF$3:$AF$50,0),MATCH(E$2,insumos!$AF$3:$XFD$3,0)),2)</f>
        <v>0</v>
      </c>
      <c r="F27" s="109" t="str">
        <f t="shared" si="0"/>
        <v>↓</v>
      </c>
      <c r="G27" s="61"/>
      <c r="H27" s="61"/>
      <c r="I27" s="61"/>
      <c r="J27" s="120" t="s">
        <v>142</v>
      </c>
      <c r="K27" s="55" t="s">
        <v>26</v>
      </c>
      <c r="L27" s="175">
        <v>1.3</v>
      </c>
      <c r="M27" s="56"/>
      <c r="N27" s="160"/>
      <c r="O27" s="149"/>
      <c r="P27" s="149"/>
      <c r="Q27" s="149"/>
      <c r="R27" s="149"/>
      <c r="S27" s="149"/>
      <c r="T27" s="160"/>
      <c r="U27" s="149"/>
      <c r="V27" s="149"/>
      <c r="W27" s="149"/>
      <c r="X27" s="149"/>
      <c r="Y27" s="149"/>
    </row>
    <row r="28" spans="1:25" x14ac:dyDescent="0.25">
      <c r="A28" s="45" t="s">
        <v>22</v>
      </c>
      <c r="B28" s="109">
        <f>ROUND(INDEX(insumos!$AF$3:$XFD$50,MATCH($A28,insumos!$AF$3:$AF$50,0),MATCH(B$2,insumos!$AF$3:$XFD$3,0)),2)</f>
        <v>5.36</v>
      </c>
      <c r="C28" s="109">
        <v>5.2</v>
      </c>
      <c r="D28" s="109">
        <f>ROUND(INDEX(insumos!$AF$3:$XFD$50,MATCH($A28,insumos!$AF$3:$AF$50,0),MATCH(C$2,insumos!$AF$3:$XFD$3,0)),2)</f>
        <v>4.8</v>
      </c>
      <c r="E28" s="168">
        <f>ROUND(INDEX(insumos!$AF$3:$XFD$50,MATCH($A28,insumos!$AF$3:$AF$50,0),MATCH(E$2,insumos!$AF$3:$XFD$3,0)),2)</f>
        <v>5.3</v>
      </c>
      <c r="F28" s="109" t="str">
        <f t="shared" si="0"/>
        <v>↓</v>
      </c>
      <c r="G28" s="61"/>
      <c r="H28" s="61"/>
      <c r="I28" s="61"/>
      <c r="J28" s="120" t="s">
        <v>124</v>
      </c>
      <c r="K28" s="57" t="s">
        <v>12</v>
      </c>
      <c r="L28" s="177">
        <v>2.2000000000000002</v>
      </c>
      <c r="M28" s="58">
        <v>2.2999999999999998</v>
      </c>
      <c r="N28" s="160"/>
      <c r="O28" s="149"/>
      <c r="P28" s="149"/>
      <c r="Q28" s="149"/>
      <c r="R28" s="149"/>
      <c r="S28" s="149"/>
      <c r="T28" s="160"/>
      <c r="U28" s="149"/>
      <c r="V28" s="149"/>
      <c r="W28" s="149"/>
      <c r="X28" s="149"/>
      <c r="Y28" s="149"/>
    </row>
    <row r="29" spans="1:25" x14ac:dyDescent="0.25">
      <c r="A29" s="45" t="s">
        <v>25</v>
      </c>
      <c r="B29" s="109">
        <f>ROUND(INDEX(insumos!$AF$3:$XFD$50,MATCH($A29,insumos!$AF$3:$AF$50,0),MATCH(B$2,insumos!$AF$3:$XFD$3,0)),2)</f>
        <v>4.55</v>
      </c>
      <c r="C29" s="109">
        <v>5.4</v>
      </c>
      <c r="D29" s="109">
        <f>ROUND(INDEX(insumos!$AF$3:$XFD$50,MATCH($A29,insumos!$AF$3:$AF$50,0),MATCH(C$2,insumos!$AF$3:$XFD$3,0)),2)</f>
        <v>5.6</v>
      </c>
      <c r="E29" s="168">
        <f>ROUND(INDEX(insumos!$AF$3:$XFD$50,MATCH($A29,insumos!$AF$3:$AF$50,0),MATCH(E$2,insumos!$AF$3:$XFD$3,0)),2)</f>
        <v>5.3</v>
      </c>
      <c r="F29" s="109" t="str">
        <f t="shared" si="0"/>
        <v>↑</v>
      </c>
      <c r="G29" s="61"/>
      <c r="H29" s="61"/>
      <c r="I29" s="61"/>
      <c r="J29" s="120" t="s">
        <v>135</v>
      </c>
      <c r="K29" s="55" t="s">
        <v>21</v>
      </c>
      <c r="L29" s="176">
        <v>-1</v>
      </c>
      <c r="M29" s="56"/>
      <c r="N29" s="160"/>
      <c r="O29" s="149"/>
      <c r="P29" s="149"/>
      <c r="Q29" s="149"/>
      <c r="R29" s="149"/>
      <c r="S29" s="149"/>
      <c r="T29" s="160"/>
      <c r="U29" s="149"/>
      <c r="V29" s="149"/>
      <c r="W29" s="149"/>
      <c r="X29" s="149"/>
      <c r="Y29" s="149"/>
    </row>
    <row r="30" spans="1:25" x14ac:dyDescent="0.25">
      <c r="A30" s="46" t="s">
        <v>41</v>
      </c>
      <c r="B30" s="110">
        <f>ROUND(INDEX(insumos!$AF$3:$XFD$50,MATCH($A30,insumos!$AF$3:$AF$50,0),MATCH(B$2,insumos!$AF$3:$XFD$3,0)),2)</f>
        <v>2.34</v>
      </c>
      <c r="C30" s="110">
        <v>2.4700000000000002</v>
      </c>
      <c r="D30" s="110">
        <f>ROUND(INDEX(insumos!$AF$3:$XFD$50,MATCH($A30,insumos!$AF$3:$AF$50,0),MATCH(C$2,insumos!$AF$3:$XFD$3,0)),2)</f>
        <v>2.4500000000000002</v>
      </c>
      <c r="E30" s="167">
        <f>ROUND(INDEX(insumos!$AF$3:$XFD$50,MATCH($A30,insumos!$AF$3:$AF$50,0),MATCH(E$2,insumos!$AF$3:$XFD$3,0)),2)</f>
        <v>2.54</v>
      </c>
      <c r="F30" s="109" t="str">
        <f t="shared" si="0"/>
        <v>→</v>
      </c>
      <c r="G30" s="61"/>
      <c r="H30" s="61"/>
      <c r="I30" s="61"/>
      <c r="J30" s="120" t="s">
        <v>136</v>
      </c>
      <c r="K30" s="55" t="s">
        <v>22</v>
      </c>
      <c r="L30" s="176">
        <v>4.8</v>
      </c>
      <c r="M30" s="56">
        <v>5.3</v>
      </c>
      <c r="N30" s="160"/>
      <c r="O30" s="149"/>
      <c r="P30" s="149"/>
      <c r="Q30" s="149"/>
      <c r="R30" s="149"/>
      <c r="S30" s="149"/>
      <c r="T30" s="160"/>
      <c r="U30" s="149"/>
      <c r="V30" s="149"/>
      <c r="W30" s="149"/>
      <c r="X30" s="149"/>
      <c r="Y30" s="149"/>
    </row>
    <row r="31" spans="1:25" x14ac:dyDescent="0.25">
      <c r="A31" s="46" t="s">
        <v>40</v>
      </c>
      <c r="B31" s="110">
        <f>ROUND(INDEX(insumos!$AF$3:$XFD$50,MATCH($A31,insumos!$AF$3:$AF$50,0),MATCH(B$2,insumos!$AF$3:$XFD$3,0)),2)</f>
        <v>3.4</v>
      </c>
      <c r="C31" s="110">
        <v>3.41</v>
      </c>
      <c r="D31" s="110">
        <f>ROUND(INDEX(insumos!$AF$3:$XFD$50,MATCH($A31,insumos!$AF$3:$AF$50,0),MATCH(C$2,insumos!$AF$3:$XFD$3,0)),2)</f>
        <v>3.32</v>
      </c>
      <c r="E31" s="167">
        <f>ROUND(INDEX(insumos!$AF$3:$XFD$50,MATCH($A31,insumos!$AF$3:$AF$50,0),MATCH(E$2,insumos!$AF$3:$XFD$3,0)),2)</f>
        <v>3.39</v>
      </c>
      <c r="F31" s="109" t="str">
        <f t="shared" si="0"/>
        <v>↓</v>
      </c>
      <c r="G31" s="61"/>
      <c r="H31" s="61"/>
      <c r="I31" s="61"/>
      <c r="J31" s="120" t="s">
        <v>125</v>
      </c>
      <c r="K31" s="57" t="s">
        <v>13</v>
      </c>
      <c r="L31" s="58">
        <v>4.5999999999999996</v>
      </c>
      <c r="M31" s="58">
        <v>4.7</v>
      </c>
      <c r="N31" s="160"/>
      <c r="O31" s="58">
        <v>3.6</v>
      </c>
      <c r="P31" s="58">
        <v>3.9</v>
      </c>
      <c r="Q31" s="58">
        <v>4.5999999999999996</v>
      </c>
      <c r="R31" s="58">
        <v>4</v>
      </c>
      <c r="S31" s="58">
        <v>4.7</v>
      </c>
      <c r="T31" s="160"/>
      <c r="U31" s="58"/>
      <c r="V31" s="58">
        <v>3.6</v>
      </c>
      <c r="W31" s="58">
        <v>5.3</v>
      </c>
      <c r="X31" s="58">
        <v>4.0999999999999996</v>
      </c>
      <c r="Y31" s="58">
        <v>5.7</v>
      </c>
    </row>
    <row r="32" spans="1:25" x14ac:dyDescent="0.25">
      <c r="A32" s="46" t="s">
        <v>34</v>
      </c>
      <c r="B32" s="110">
        <f>ROUND(INDEX(insumos!$AF$3:$XFD$50,MATCH($A32,insumos!$AF$3:$AF$50,0),MATCH(B$2,insumos!$AF$3:$XFD$3,0)),2)</f>
        <v>1.24</v>
      </c>
      <c r="C32" s="110">
        <v>1.5</v>
      </c>
      <c r="D32" s="110">
        <f>ROUND(INDEX(insumos!$AF$3:$XFD$50,MATCH($A32,insumos!$AF$3:$AF$50,0),MATCH(C$2,insumos!$AF$3:$XFD$3,0)),2)</f>
        <v>1.33</v>
      </c>
      <c r="E32" s="167">
        <f>ROUND(INDEX(insumos!$AF$3:$XFD$50,MATCH($A32,insumos!$AF$3:$AF$50,0),MATCH(E$2,insumos!$AF$3:$XFD$3,0)),2)</f>
        <v>2.14</v>
      </c>
      <c r="F32" s="109" t="str">
        <f t="shared" si="0"/>
        <v>↓</v>
      </c>
      <c r="G32" s="61"/>
      <c r="H32" s="61"/>
      <c r="I32" s="61"/>
      <c r="J32" s="120" t="s">
        <v>126</v>
      </c>
      <c r="K32" s="57" t="s">
        <v>15</v>
      </c>
      <c r="L32" s="58">
        <v>4</v>
      </c>
      <c r="M32" s="58">
        <v>3.7</v>
      </c>
      <c r="N32" s="160"/>
      <c r="O32" s="58">
        <v>2.8</v>
      </c>
      <c r="P32" s="58">
        <v>3.5</v>
      </c>
      <c r="Q32" s="58">
        <v>4.2</v>
      </c>
      <c r="R32" s="58">
        <v>2.5</v>
      </c>
      <c r="S32" s="58">
        <v>3.3</v>
      </c>
      <c r="T32" s="160"/>
      <c r="U32" s="58"/>
      <c r="V32" s="58">
        <v>3.6</v>
      </c>
      <c r="W32" s="58">
        <v>5</v>
      </c>
      <c r="X32" s="58">
        <v>3.4</v>
      </c>
      <c r="Y32" s="58">
        <v>3.5</v>
      </c>
    </row>
    <row r="33" spans="1:25" x14ac:dyDescent="0.25">
      <c r="A33" s="46" t="s">
        <v>115</v>
      </c>
      <c r="B33" s="110">
        <f>ROUND(INDEX(insumos!$AF$3:$XFD$50,MATCH($A33,insumos!$AF$3:$AF$50,0),MATCH(B$2,insumos!$AF$3:$XFD$3,0)),2)</f>
        <v>1.41</v>
      </c>
      <c r="C33" s="110">
        <v>1.54</v>
      </c>
      <c r="D33" s="110">
        <f>ROUND(INDEX(insumos!$AF$3:$XFD$50,MATCH($A33,insumos!$AF$3:$AF$50,0),MATCH(C$2,insumos!$AF$3:$XFD$3,0)),2)</f>
        <v>1.28</v>
      </c>
      <c r="E33" s="167">
        <f>ROUND(INDEX(insumos!$AF$3:$XFD$50,MATCH($A33,insumos!$AF$3:$AF$50,0),MATCH(E$2,insumos!$AF$3:$XFD$3,0)),2)</f>
        <v>1.96</v>
      </c>
      <c r="F33" s="109" t="str">
        <f t="shared" si="0"/>
        <v>↓</v>
      </c>
      <c r="G33" s="61"/>
      <c r="H33" s="61"/>
      <c r="I33" s="61"/>
      <c r="J33" s="120" t="s">
        <v>130</v>
      </c>
      <c r="K33" s="55" t="s">
        <v>25</v>
      </c>
      <c r="L33" s="176">
        <v>5.6</v>
      </c>
      <c r="M33" s="56">
        <v>5.3</v>
      </c>
      <c r="N33" s="160"/>
      <c r="O33" s="149"/>
      <c r="P33" s="149"/>
      <c r="Q33" s="149"/>
      <c r="R33" s="149"/>
      <c r="S33" s="149"/>
      <c r="T33" s="160"/>
      <c r="U33" s="149"/>
      <c r="V33" s="149"/>
      <c r="W33" s="149"/>
      <c r="X33" s="149"/>
      <c r="Y33" s="149"/>
    </row>
    <row r="34" spans="1:25" x14ac:dyDescent="0.25">
      <c r="A34" s="46" t="s">
        <v>66</v>
      </c>
      <c r="B34" s="110">
        <f>ROUND(INDEX(insumos!$AF$3:$XFD$50,MATCH($A34,insumos!$AF$3:$AF$50,0),MATCH(B$2,insumos!$AF$3:$XFD$3,0)),2)</f>
        <v>1.78</v>
      </c>
      <c r="C34" s="110">
        <v>2</v>
      </c>
      <c r="D34" s="110">
        <f>ROUND(INDEX(insumos!$AF$3:$XFD$50,MATCH($A34,insumos!$AF$3:$AF$50,0),MATCH(C$2,insumos!$AF$3:$XFD$3,0)),2)</f>
        <v>1.76</v>
      </c>
      <c r="E34" s="167">
        <f>ROUND(INDEX(insumos!$AF$3:$XFD$50,MATCH($A34,insumos!$AF$3:$AF$50,0),MATCH(E$2,insumos!$AF$3:$XFD$3,0)),2)</f>
        <v>2.46</v>
      </c>
      <c r="F34" s="109" t="str">
        <f t="shared" si="0"/>
        <v>↓</v>
      </c>
      <c r="G34" s="61"/>
      <c r="H34" s="61"/>
      <c r="I34" s="61"/>
      <c r="J34" s="120" t="s">
        <v>143</v>
      </c>
      <c r="K34" s="55" t="s">
        <v>27</v>
      </c>
      <c r="L34" s="175">
        <v>2.4</v>
      </c>
      <c r="M34" s="56"/>
      <c r="N34" s="160"/>
      <c r="O34" s="149"/>
      <c r="P34" s="149"/>
      <c r="Q34" s="149"/>
      <c r="R34" s="149"/>
      <c r="S34" s="149"/>
      <c r="T34" s="160"/>
      <c r="U34" s="149"/>
      <c r="V34" s="149"/>
      <c r="W34" s="149"/>
      <c r="X34" s="149"/>
      <c r="Y34" s="149"/>
    </row>
    <row r="35" spans="1:25" x14ac:dyDescent="0.25">
      <c r="A35" s="45" t="s">
        <v>1</v>
      </c>
      <c r="B35" s="109">
        <f>ROUND(INDEX(insumos!$AF$3:$XFD$50,MATCH($A35,insumos!$AF$3:$AF$50,0),MATCH(B$2,insumos!$AF$3:$XFD$3,0)),2)</f>
        <v>3.09</v>
      </c>
      <c r="C35" s="109">
        <v>4.2</v>
      </c>
      <c r="D35" s="109">
        <f>ROUND(INDEX(insumos!$AF$3:$XFD$50,MATCH($A35,insumos!$AF$3:$AF$50,0),MATCH(C$2,insumos!$AF$3:$XFD$3,0)),2)</f>
        <v>4.2</v>
      </c>
      <c r="E35" s="168">
        <f>ROUND(INDEX(insumos!$AF$3:$XFD$50,MATCH($A35,insumos!$AF$3:$AF$50,0),MATCH(E$2,insumos!$AF$3:$XFD$3,0)),2)</f>
        <v>0</v>
      </c>
      <c r="F35" s="109" t="str">
        <f t="shared" si="0"/>
        <v>→</v>
      </c>
      <c r="G35" s="61"/>
      <c r="H35" s="61"/>
      <c r="I35" s="61"/>
      <c r="J35" s="120" t="s">
        <v>145</v>
      </c>
      <c r="K35" s="55" t="s">
        <v>28</v>
      </c>
      <c r="L35" s="175">
        <v>1.3</v>
      </c>
      <c r="M35" s="56"/>
      <c r="N35" s="160"/>
      <c r="O35" s="149"/>
      <c r="P35" s="149"/>
      <c r="Q35" s="149"/>
      <c r="R35" s="149"/>
      <c r="S35" s="149"/>
      <c r="T35" s="160"/>
      <c r="U35" s="149"/>
      <c r="V35" s="149"/>
      <c r="W35" s="149"/>
      <c r="X35" s="149"/>
      <c r="Y35" s="149"/>
    </row>
    <row r="36" spans="1:25" x14ac:dyDescent="0.25">
      <c r="A36" s="45" t="s">
        <v>3</v>
      </c>
      <c r="B36" s="109">
        <f>ROUND(INDEX(insumos!$AF$3:$XFD$50,MATCH($A36,insumos!$AF$3:$AF$50,0),MATCH(B$2,insumos!$AF$3:$XFD$3,0)),2)</f>
        <v>1.44</v>
      </c>
      <c r="C36" s="109">
        <v>2.5</v>
      </c>
      <c r="D36" s="109">
        <f>ROUND(INDEX(insumos!$AF$3:$XFD$50,MATCH($A36,insumos!$AF$3:$AF$50,0),MATCH(C$2,insumos!$AF$3:$XFD$3,0)),2)</f>
        <v>2.5</v>
      </c>
      <c r="E36" s="168">
        <f>ROUND(INDEX(insumos!$AF$3:$XFD$50,MATCH($A36,insumos!$AF$3:$AF$50,0),MATCH(E$2,insumos!$AF$3:$XFD$3,0)),2)</f>
        <v>0</v>
      </c>
      <c r="F36" s="109" t="str">
        <f t="shared" si="0"/>
        <v>→</v>
      </c>
      <c r="G36" s="61"/>
      <c r="H36" s="61"/>
      <c r="I36" s="61"/>
      <c r="J36" s="120" t="s">
        <v>144</v>
      </c>
      <c r="K36" s="55" t="s">
        <v>29</v>
      </c>
      <c r="L36" s="175">
        <v>2.1</v>
      </c>
      <c r="M36" s="56"/>
      <c r="N36" s="160"/>
      <c r="O36" s="149"/>
      <c r="P36" s="149"/>
      <c r="Q36" s="149"/>
      <c r="R36" s="149"/>
      <c r="S36" s="149"/>
      <c r="T36" s="160"/>
      <c r="U36" s="149"/>
      <c r="V36" s="149"/>
      <c r="W36" s="149"/>
      <c r="X36" s="149"/>
      <c r="Y36" s="149"/>
    </row>
    <row r="37" spans="1:25" x14ac:dyDescent="0.25">
      <c r="A37" s="45" t="s">
        <v>5</v>
      </c>
      <c r="B37" s="109">
        <f>ROUND(INDEX(insumos!$AF$3:$XFD$50,MATCH($A37,insumos!$AF$3:$AF$50,0),MATCH(B$2,insumos!$AF$3:$XFD$3,0)),2)</f>
        <v>0.6</v>
      </c>
      <c r="C37" s="109">
        <v>0</v>
      </c>
      <c r="D37" s="109">
        <f>ROUND(INDEX(insumos!$AF$3:$XFD$50,MATCH($A37,insumos!$AF$3:$AF$50,0),MATCH(C$2,insumos!$AF$3:$XFD$3,0)),2)</f>
        <v>0</v>
      </c>
      <c r="E37" s="168">
        <f>ROUND(INDEX(insumos!$AF$3:$XFD$50,MATCH($A37,insumos!$AF$3:$AF$50,0),MATCH(E$2,insumos!$AF$3:$XFD$3,0)),2)</f>
        <v>0</v>
      </c>
      <c r="F37" s="109" t="str">
        <f t="shared" si="0"/>
        <v>→</v>
      </c>
      <c r="G37" s="61"/>
      <c r="H37" s="61"/>
      <c r="I37" s="61"/>
      <c r="J37" s="120" t="s">
        <v>146</v>
      </c>
      <c r="K37" s="55" t="s">
        <v>30</v>
      </c>
      <c r="L37" s="175">
        <v>2.7</v>
      </c>
      <c r="M37" s="56"/>
      <c r="N37" s="160"/>
      <c r="O37" s="149"/>
      <c r="P37" s="149"/>
      <c r="Q37" s="149"/>
      <c r="R37" s="149"/>
      <c r="S37" s="149"/>
      <c r="T37" s="160"/>
      <c r="U37" s="149"/>
      <c r="V37" s="149"/>
      <c r="W37" s="149"/>
      <c r="X37" s="149"/>
      <c r="Y37" s="149"/>
    </row>
    <row r="38" spans="1:25" x14ac:dyDescent="0.25">
      <c r="A38" s="45" t="s">
        <v>7</v>
      </c>
      <c r="B38" s="109">
        <f>ROUND(INDEX(insumos!$AF$3:$XFD$50,MATCH($A38,insumos!$AF$3:$AF$50,0),MATCH(B$2,insumos!$AF$3:$XFD$3,0)),2)</f>
        <v>0.71</v>
      </c>
      <c r="C38" s="109">
        <v>2.6</v>
      </c>
      <c r="D38" s="109">
        <f>ROUND(INDEX(insumos!$AF$3:$XFD$50,MATCH($A38,insumos!$AF$3:$AF$50,0),MATCH(C$2,insumos!$AF$3:$XFD$3,0)),2)</f>
        <v>2.6</v>
      </c>
      <c r="E38" s="168">
        <f>ROUND(INDEX(insumos!$AF$3:$XFD$50,MATCH($A38,insumos!$AF$3:$AF$50,0),MATCH(E$2,insumos!$AF$3:$XFD$3,0)),2)</f>
        <v>0</v>
      </c>
      <c r="F38" s="109" t="str">
        <f t="shared" si="0"/>
        <v>→</v>
      </c>
      <c r="G38" s="61"/>
      <c r="H38" s="61"/>
      <c r="I38" s="61"/>
      <c r="J38" s="120" t="s">
        <v>148</v>
      </c>
      <c r="K38" s="55" t="s">
        <v>31</v>
      </c>
      <c r="L38" s="175">
        <v>1.5</v>
      </c>
      <c r="M38" s="56"/>
      <c r="N38" s="160"/>
      <c r="O38" s="149"/>
      <c r="P38" s="149"/>
      <c r="Q38" s="149"/>
      <c r="R38" s="149"/>
      <c r="S38" s="149"/>
      <c r="T38" s="160"/>
      <c r="U38" s="149"/>
      <c r="V38" s="149"/>
      <c r="W38" s="149"/>
      <c r="X38" s="149"/>
      <c r="Y38" s="149"/>
    </row>
    <row r="39" spans="1:25" x14ac:dyDescent="0.25">
      <c r="A39" s="45" t="s">
        <v>20</v>
      </c>
      <c r="B39" s="109">
        <f>ROUND(INDEX(insumos!$AF$3:$XFD$50,MATCH($A39,insumos!$AF$3:$AF$50,0),MATCH(B$2,insumos!$AF$3:$XFD$3,0)),2)</f>
        <v>-9.5299999999999994</v>
      </c>
      <c r="C39" s="109">
        <v>-6.4</v>
      </c>
      <c r="D39" s="109">
        <f>ROUND(INDEX(insumos!$AF$3:$XFD$50,MATCH($A39,insumos!$AF$3:$AF$50,0),MATCH(C$2,insumos!$AF$3:$XFD$3,0)),2)</f>
        <v>-6.4</v>
      </c>
      <c r="E39" s="168">
        <f>ROUND(INDEX(insumos!$AF$3:$XFD$50,MATCH($A39,insumos!$AF$3:$AF$50,0),MATCH(E$2,insumos!$AF$3:$XFD$3,0)),2)</f>
        <v>0</v>
      </c>
      <c r="F39" s="109" t="str">
        <f t="shared" si="0"/>
        <v>→</v>
      </c>
      <c r="G39" s="61"/>
      <c r="H39" s="61"/>
      <c r="I39" s="61"/>
      <c r="J39" s="120" t="s">
        <v>127</v>
      </c>
      <c r="K39" s="57" t="s">
        <v>17</v>
      </c>
      <c r="L39" s="58">
        <v>2.2999999999999998</v>
      </c>
      <c r="M39" s="58">
        <v>1.5</v>
      </c>
      <c r="N39" s="160"/>
      <c r="O39" s="58">
        <v>1.2</v>
      </c>
      <c r="P39" s="58">
        <v>3</v>
      </c>
      <c r="Q39" s="58">
        <v>2.4</v>
      </c>
      <c r="R39" s="58">
        <v>2.9</v>
      </c>
      <c r="S39" s="58">
        <v>1.5</v>
      </c>
      <c r="T39" s="160"/>
      <c r="U39" s="58"/>
      <c r="V39" s="58">
        <v>3</v>
      </c>
      <c r="W39" s="58">
        <v>3.1</v>
      </c>
      <c r="X39" s="58">
        <v>2.7</v>
      </c>
      <c r="Y39" s="58">
        <v>1.6</v>
      </c>
    </row>
    <row r="40" spans="1:25" x14ac:dyDescent="0.25">
      <c r="A40" s="45" t="s">
        <v>23</v>
      </c>
      <c r="B40" s="109">
        <f>ROUND(INDEX(insumos!$AF$3:$XFD$50,MATCH($A40,insumos!$AF$3:$AF$50,0),MATCH(B$2,insumos!$AF$3:$XFD$3,0)),2)</f>
        <v>5.0599999999999996</v>
      </c>
      <c r="C40" s="109">
        <v>3.5</v>
      </c>
      <c r="D40" s="109">
        <f>ROUND(INDEX(insumos!$AF$3:$XFD$50,MATCH($A40,insumos!$AF$3:$AF$50,0),MATCH(C$2,insumos!$AF$3:$XFD$3,0)),2)</f>
        <v>3.5</v>
      </c>
      <c r="E40" s="168">
        <f>ROUND(INDEX(insumos!$AF$3:$XFD$50,MATCH($A40,insumos!$AF$3:$AF$50,0),MATCH(E$2,insumos!$AF$3:$XFD$3,0)),2)</f>
        <v>0</v>
      </c>
      <c r="F40" s="109" t="str">
        <f t="shared" si="0"/>
        <v>→</v>
      </c>
      <c r="G40" s="61"/>
      <c r="H40" s="61"/>
      <c r="I40" s="61"/>
      <c r="J40" s="120" t="s">
        <v>128</v>
      </c>
      <c r="K40" s="57" t="s">
        <v>32</v>
      </c>
      <c r="L40" s="58">
        <v>-12</v>
      </c>
      <c r="M40" s="58">
        <v>-9.1999999999999993</v>
      </c>
      <c r="N40" s="160"/>
      <c r="O40" s="149"/>
      <c r="P40" s="149"/>
      <c r="Q40" s="149"/>
      <c r="R40" s="149"/>
      <c r="S40" s="149"/>
      <c r="T40" s="160"/>
      <c r="U40" s="149"/>
      <c r="V40" s="149"/>
      <c r="W40" s="149"/>
      <c r="X40" s="149"/>
      <c r="Y40" s="149"/>
    </row>
    <row r="41" spans="1:25" x14ac:dyDescent="0.25">
      <c r="A41" s="45" t="s">
        <v>24</v>
      </c>
      <c r="B41" s="109">
        <f>ROUND(INDEX(insumos!$AF$3:$XFD$50,MATCH($A41,insumos!$AF$3:$AF$50,0),MATCH(B$2,insumos!$AF$3:$XFD$3,0)),2)</f>
        <v>2.17</v>
      </c>
      <c r="C41" s="109">
        <v>3</v>
      </c>
      <c r="D41" s="109">
        <f>ROUND(INDEX(insumos!$AF$3:$XFD$50,MATCH($A41,insumos!$AF$3:$AF$50,0),MATCH(C$2,insumos!$AF$3:$XFD$3,0)),2)</f>
        <v>3</v>
      </c>
      <c r="E41" s="168">
        <f>ROUND(INDEX(insumos!$AF$3:$XFD$50,MATCH($A41,insumos!$AF$3:$AF$50,0),MATCH(E$2,insumos!$AF$3:$XFD$3,0)),2)</f>
        <v>0</v>
      </c>
      <c r="F41" s="109" t="str">
        <f t="shared" si="0"/>
        <v>→</v>
      </c>
      <c r="G41" s="61"/>
      <c r="H41" s="61"/>
      <c r="I41" s="61"/>
      <c r="J41" s="61"/>
    </row>
    <row r="42" spans="1:25" x14ac:dyDescent="0.25">
      <c r="A42" s="45" t="s">
        <v>26</v>
      </c>
      <c r="B42" s="109">
        <f>ROUND(INDEX(insumos!$AF$3:$XFD$50,MATCH($A42,insumos!$AF$3:$AF$50,0),MATCH(B$2,insumos!$AF$3:$XFD$3,0)),2)</f>
        <v>0.5</v>
      </c>
      <c r="C42" s="109">
        <v>1.3</v>
      </c>
      <c r="D42" s="109">
        <f>ROUND(INDEX(insumos!$AF$3:$XFD$50,MATCH($A42,insumos!$AF$3:$AF$50,0),MATCH(C$2,insumos!$AF$3:$XFD$3,0)),2)</f>
        <v>1.3</v>
      </c>
      <c r="E42" s="168">
        <f>ROUND(INDEX(insumos!$AF$3:$XFD$50,MATCH($A42,insumos!$AF$3:$AF$50,0),MATCH(E$2,insumos!$AF$3:$XFD$3,0)),2)</f>
        <v>0</v>
      </c>
      <c r="F42" s="109" t="str">
        <f t="shared" si="0"/>
        <v>→</v>
      </c>
      <c r="G42" s="61"/>
      <c r="H42" s="61"/>
      <c r="I42" s="61"/>
      <c r="J42" s="61"/>
    </row>
    <row r="43" spans="1:25" x14ac:dyDescent="0.25">
      <c r="A43" s="45" t="s">
        <v>27</v>
      </c>
      <c r="B43" s="109">
        <f>ROUND(INDEX(insumos!$AF$3:$XFD$50,MATCH($A43,insumos!$AF$3:$AF$50,0),MATCH(B$2,insumos!$AF$3:$XFD$3,0)),2)</f>
        <v>1.29</v>
      </c>
      <c r="C43" s="109">
        <v>2.4</v>
      </c>
      <c r="D43" s="109">
        <f>ROUND(INDEX(insumos!$AF$3:$XFD$50,MATCH($A43,insumos!$AF$3:$AF$50,0),MATCH(C$2,insumos!$AF$3:$XFD$3,0)),2)</f>
        <v>2.4</v>
      </c>
      <c r="E43" s="168">
        <f>ROUND(INDEX(insumos!$AF$3:$XFD$50,MATCH($A43,insumos!$AF$3:$AF$50,0),MATCH(E$2,insumos!$AF$3:$XFD$3,0)),2)</f>
        <v>0</v>
      </c>
      <c r="F43" s="109" t="str">
        <f t="shared" si="0"/>
        <v>→</v>
      </c>
      <c r="G43" s="61"/>
      <c r="H43" s="61"/>
      <c r="I43" s="61"/>
      <c r="J43" s="61"/>
    </row>
    <row r="44" spans="1:25" x14ac:dyDescent="0.25">
      <c r="A44" s="45" t="s">
        <v>28</v>
      </c>
      <c r="B44" s="109">
        <f>ROUND(INDEX(insumos!$AF$3:$XFD$50,MATCH($A44,insumos!$AF$3:$AF$50,0),MATCH(B$2,insumos!$AF$3:$XFD$3,0)),2)</f>
        <v>0.51</v>
      </c>
      <c r="C44" s="109">
        <v>1.3</v>
      </c>
      <c r="D44" s="109">
        <f>ROUND(INDEX(insumos!$AF$3:$XFD$50,MATCH($A44,insumos!$AF$3:$AF$50,0),MATCH(C$2,insumos!$AF$3:$XFD$3,0)),2)</f>
        <v>1.3</v>
      </c>
      <c r="E44" s="168">
        <f>ROUND(INDEX(insumos!$AF$3:$XFD$50,MATCH($A44,insumos!$AF$3:$AF$50,0),MATCH(E$2,insumos!$AF$3:$XFD$3,0)),2)</f>
        <v>0</v>
      </c>
      <c r="F44" s="109" t="str">
        <f t="shared" si="0"/>
        <v>→</v>
      </c>
      <c r="G44" s="61"/>
      <c r="H44" s="61"/>
      <c r="I44" s="61"/>
      <c r="J44" s="61"/>
    </row>
    <row r="45" spans="1:25" x14ac:dyDescent="0.25">
      <c r="A45" s="45" t="s">
        <v>29</v>
      </c>
      <c r="B45" s="109">
        <f>ROUND(INDEX(insumos!$AF$3:$XFD$50,MATCH($A45,insumos!$AF$3:$AF$50,0),MATCH(B$2,insumos!$AF$3:$XFD$3,0)),2)</f>
        <v>3.82</v>
      </c>
      <c r="C45" s="109">
        <v>2.1</v>
      </c>
      <c r="D45" s="109">
        <f>ROUND(INDEX(insumos!$AF$3:$XFD$50,MATCH($A45,insumos!$AF$3:$AF$50,0),MATCH(C$2,insumos!$AF$3:$XFD$3,0)),2)</f>
        <v>2.1</v>
      </c>
      <c r="E45" s="168">
        <f>ROUND(INDEX(insumos!$AF$3:$XFD$50,MATCH($A45,insumos!$AF$3:$AF$50,0),MATCH(E$2,insumos!$AF$3:$XFD$3,0)),2)</f>
        <v>0</v>
      </c>
      <c r="F45" s="109" t="str">
        <f t="shared" si="0"/>
        <v>→</v>
      </c>
      <c r="G45" s="61"/>
      <c r="H45" s="61"/>
      <c r="I45" s="61"/>
      <c r="J45" s="61"/>
    </row>
    <row r="46" spans="1:25" x14ac:dyDescent="0.25">
      <c r="A46" s="45" t="s">
        <v>30</v>
      </c>
      <c r="B46" s="109">
        <f>ROUND(INDEX(insumos!$AF$3:$XFD$50,MATCH($A46,insumos!$AF$3:$AF$50,0),MATCH(B$2,insumos!$AF$3:$XFD$3,0)),2)</f>
        <v>1.5</v>
      </c>
      <c r="C46" s="109">
        <v>2.7</v>
      </c>
      <c r="D46" s="109">
        <f>ROUND(INDEX(insumos!$AF$3:$XFD$50,MATCH($A46,insumos!$AF$3:$AF$50,0),MATCH(C$2,insumos!$AF$3:$XFD$3,0)),2)</f>
        <v>2.7</v>
      </c>
      <c r="E46" s="168">
        <f>ROUND(INDEX(insumos!$AF$3:$XFD$50,MATCH($A46,insumos!$AF$3:$AF$50,0),MATCH(E$2,insumos!$AF$3:$XFD$3,0)),2)</f>
        <v>0</v>
      </c>
      <c r="F46" s="109" t="str">
        <f t="shared" si="0"/>
        <v>→</v>
      </c>
    </row>
    <row r="47" spans="1:25" x14ac:dyDescent="0.25">
      <c r="A47" s="45" t="s">
        <v>31</v>
      </c>
      <c r="B47" s="109">
        <f>ROUND(INDEX(insumos!$AF$3:$XFD$50,MATCH($A47,insumos!$AF$3:$AF$50,0),MATCH(B$2,insumos!$AF$3:$XFD$3,0)),2)</f>
        <v>-2.34</v>
      </c>
      <c r="C47" s="109">
        <v>1.5</v>
      </c>
      <c r="D47" s="109">
        <f>ROUND(INDEX(insumos!$AF$3:$XFD$50,MATCH($A47,insumos!$AF$3:$AF$50,0),MATCH(C$2,insumos!$AF$3:$XFD$3,0)),2)</f>
        <v>1.5</v>
      </c>
      <c r="E47" s="168">
        <f>ROUND(INDEX(insumos!$AF$3:$XFD$50,MATCH($A47,insumos!$AF$3:$AF$50,0),MATCH(E$2,insumos!$AF$3:$XFD$3,0)),2)</f>
        <v>0</v>
      </c>
      <c r="F47" s="109" t="str">
        <f t="shared" si="0"/>
        <v>→</v>
      </c>
    </row>
    <row r="48" spans="1:25" ht="15.75" thickBot="1" x14ac:dyDescent="0.3">
      <c r="A48" s="47" t="s">
        <v>35</v>
      </c>
      <c r="B48" s="111">
        <f>ROUND(INDEX(insumos!$AF$3:$XFD$50,MATCH($A48,insumos!$AF$3:$AF$50,0),MATCH(B$2,insumos!$AF$3:$XFD$3,0)),2)</f>
        <v>0</v>
      </c>
      <c r="C48" s="111">
        <v>1.74</v>
      </c>
      <c r="D48" s="111">
        <f>ROUND(INDEX(insumos!$AF$3:$XFD$50,MATCH($A48,insumos!$AF$3:$AF$50,0),MATCH(C$2,insumos!$AF$3:$XFD$3,0)),2)</f>
        <v>1.74</v>
      </c>
      <c r="E48" s="169">
        <f>ROUND(INDEX(insumos!$AF$3:$XFD$50,MATCH($A48,insumos!$AF$3:$AF$50,0),MATCH(E$2,insumos!$AF$3:$XFD$3,0)),2)</f>
        <v>0</v>
      </c>
      <c r="F48" s="171" t="str">
        <f t="shared" si="0"/>
        <v>→</v>
      </c>
    </row>
    <row r="50" spans="1:2" x14ac:dyDescent="0.25">
      <c r="A50" s="44" t="s">
        <v>50</v>
      </c>
    </row>
    <row r="51" spans="1:2" x14ac:dyDescent="0.25">
      <c r="A51" s="135" t="s">
        <v>164</v>
      </c>
      <c r="B51" s="162"/>
    </row>
  </sheetData>
  <mergeCells count="13">
    <mergeCell ref="U6:W6"/>
    <mergeCell ref="U5:W5"/>
    <mergeCell ref="X5:Y5"/>
    <mergeCell ref="X6:Y6"/>
    <mergeCell ref="A1:A3"/>
    <mergeCell ref="C2:D2"/>
    <mergeCell ref="B1:E1"/>
    <mergeCell ref="O3:S3"/>
    <mergeCell ref="U3:Y3"/>
    <mergeCell ref="O5:Q5"/>
    <mergeCell ref="R5:S5"/>
    <mergeCell ref="O6:Q6"/>
    <mergeCell ref="R6:S6"/>
  </mergeCells>
  <conditionalFormatting sqref="F4:F48">
    <cfRule type="containsText" dxfId="6" priority="1" operator="containsText" text="↑">
      <formula>NOT(ISERROR(SEARCH("↑",F4)))</formula>
    </cfRule>
    <cfRule type="containsText" dxfId="5" priority="2" operator="containsText" text="→">
      <formula>NOT(ISERROR(SEARCH("→",F4)))</formula>
    </cfRule>
    <cfRule type="containsText" dxfId="4" priority="3" operator="containsText" text="↓">
      <formula>NOT(ISERROR(SEARCH("↓",F4)))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81" orientation="portrait" r:id="rId1"/>
  <headerFooter>
    <oddFooter>&amp;C&amp;D 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44"/>
  <sheetViews>
    <sheetView zoomScale="80" zoomScaleNormal="80" workbookViewId="0">
      <selection activeCell="D25" sqref="D25"/>
    </sheetView>
  </sheetViews>
  <sheetFormatPr defaultRowHeight="15" x14ac:dyDescent="0.25"/>
  <cols>
    <col min="1" max="1" width="9.140625" style="135"/>
    <col min="2" max="2" width="45.28515625" customWidth="1"/>
    <col min="3" max="4" width="13.85546875" customWidth="1"/>
    <col min="7" max="7" width="9.140625" style="135"/>
    <col min="8" max="8" width="45.28515625" customWidth="1"/>
    <col min="9" max="10" width="13.85546875" customWidth="1"/>
  </cols>
  <sheetData>
    <row r="1" spans="1:10" x14ac:dyDescent="0.25">
      <c r="B1" s="190" t="s">
        <v>53</v>
      </c>
      <c r="C1" s="178" t="s">
        <v>49</v>
      </c>
      <c r="D1" s="180"/>
      <c r="H1" s="190" t="s">
        <v>86</v>
      </c>
      <c r="I1" s="178" t="s">
        <v>87</v>
      </c>
      <c r="J1" s="180"/>
    </row>
    <row r="2" spans="1:10" x14ac:dyDescent="0.25">
      <c r="B2" s="191"/>
      <c r="C2" s="1">
        <v>2017</v>
      </c>
      <c r="D2" s="1">
        <v>2018</v>
      </c>
      <c r="H2" s="191"/>
      <c r="I2" s="1">
        <v>2017</v>
      </c>
      <c r="J2" s="1">
        <v>2018</v>
      </c>
    </row>
    <row r="3" spans="1:10" x14ac:dyDescent="0.25">
      <c r="A3" s="145" t="s">
        <v>33</v>
      </c>
      <c r="B3" s="27" t="s">
        <v>33</v>
      </c>
      <c r="C3" s="25">
        <f>ROUND(INDEX(insumos!$AE$3:$XFD$50,MATCH('Tabla final prensa ESP-ENG'!$A3,insumos!$AE$3:$AE$50,0),MATCH('Tabla final prensa ESP-ENG'!C$2,insumos!$AE$3:$XFD$3,0)),2)</f>
        <v>1.22</v>
      </c>
      <c r="D3" s="25">
        <f>ROUND(INDEX(insumos!$AE$3:$XFD$50,MATCH('Tabla final prensa ESP-ENG'!$A3,insumos!$AE$3:$AE$50,0),MATCH('Tabla final prensa ESP-ENG'!D$2,insumos!$AE$3:$XFD$3,0)),2)</f>
        <v>1.33</v>
      </c>
      <c r="G3" s="145" t="s">
        <v>33</v>
      </c>
      <c r="H3" s="27" t="s">
        <v>88</v>
      </c>
      <c r="I3" s="25">
        <f>ROUND(INDEX(insumos!$AE$3:$XFD$50,MATCH('Tabla final prensa ESP-ENG'!$G3,insumos!$AE$3:$AE$50,0),MATCH('Tabla final prensa ESP-ENG'!I$2,insumos!$AE$3:$XFD$3,0)),2)</f>
        <v>1.22</v>
      </c>
      <c r="J3" s="25">
        <f>ROUND(INDEX(insumos!$AE$3:$XFD$50,MATCH('Tabla final prensa ESP-ENG'!$G3,insumos!$AE$3:$AE$50,0),MATCH('Tabla final prensa ESP-ENG'!J$2,insumos!$AE$3:$XFD$3,0)),2)</f>
        <v>1.33</v>
      </c>
    </row>
    <row r="4" spans="1:10" x14ac:dyDescent="0.25">
      <c r="A4" s="145" t="s">
        <v>118</v>
      </c>
      <c r="B4" s="20" t="s">
        <v>0</v>
      </c>
      <c r="C4" s="26">
        <f>ROUND(INDEX(insumos!$AE$3:$XFD$50,MATCH('Tabla final prensa ESP-ENG'!$A4,insumos!$AE$3:$AE$50,0),MATCH('Tabla final prensa ESP-ENG'!C$2,insumos!$AE$3:$XFD$3,0)),2)</f>
        <v>2.85</v>
      </c>
      <c r="D4" s="26">
        <f>ROUND(INDEX(insumos!$AE$3:$XFD$50,MATCH('Tabla final prensa ESP-ENG'!$A4,insumos!$AE$3:$AE$50,0),MATCH('Tabla final prensa ESP-ENG'!D$2,insumos!$AE$3:$XFD$3,0)),2)</f>
        <v>-2.2999999999999998</v>
      </c>
      <c r="G4" s="145" t="s">
        <v>118</v>
      </c>
      <c r="H4" s="20" t="s">
        <v>0</v>
      </c>
      <c r="I4" s="26">
        <f>ROUND(INDEX(insumos!$AE$3:$XFD$50,MATCH('Tabla final prensa ESP-ENG'!$G4,insumos!$AE$3:$AE$50,0),MATCH('Tabla final prensa ESP-ENG'!I$2,insumos!$AE$3:$XFD$3,0)),2)</f>
        <v>2.85</v>
      </c>
      <c r="J4" s="26">
        <f>ROUND(INDEX(insumos!$AE$3:$XFD$50,MATCH('Tabla final prensa ESP-ENG'!$G4,insumos!$AE$3:$AE$50,0),MATCH('Tabla final prensa ESP-ENG'!J$2,insumos!$AE$3:$XFD$3,0)),2)</f>
        <v>-2.2999999999999998</v>
      </c>
    </row>
    <row r="5" spans="1:10" x14ac:dyDescent="0.25">
      <c r="A5" s="145" t="s">
        <v>119</v>
      </c>
      <c r="B5" s="20" t="s">
        <v>9</v>
      </c>
      <c r="C5" s="26">
        <f>ROUND(INDEX(insumos!$AE$3:$XFD$50,MATCH('Tabla final prensa ESP-ENG'!$A5,insumos!$AE$3:$AE$50,0),MATCH('Tabla final prensa ESP-ENG'!C$2,insumos!$AE$3:$XFD$3,0)),2)</f>
        <v>4.2</v>
      </c>
      <c r="D5" s="26">
        <f>ROUND(INDEX(insumos!$AE$3:$XFD$50,MATCH('Tabla final prensa ESP-ENG'!$A5,insumos!$AE$3:$AE$50,0),MATCH('Tabla final prensa ESP-ENG'!D$2,insumos!$AE$3:$XFD$3,0)),2)</f>
        <v>4.3</v>
      </c>
      <c r="G5" s="145" t="s">
        <v>119</v>
      </c>
      <c r="H5" s="20" t="s">
        <v>89</v>
      </c>
      <c r="I5" s="26">
        <f>ROUND(INDEX(insumos!$AE$3:$XFD$50,MATCH('Tabla final prensa ESP-ENG'!$G5,insumos!$AE$3:$AE$50,0),MATCH('Tabla final prensa ESP-ENG'!I$2,insumos!$AE$3:$XFD$3,0)),2)</f>
        <v>4.2</v>
      </c>
      <c r="J5" s="26">
        <f>ROUND(INDEX(insumos!$AE$3:$XFD$50,MATCH('Tabla final prensa ESP-ENG'!$G5,insumos!$AE$3:$AE$50,0),MATCH('Tabla final prensa ESP-ENG'!J$2,insumos!$AE$3:$XFD$3,0)),2)</f>
        <v>4.3</v>
      </c>
    </row>
    <row r="6" spans="1:10" x14ac:dyDescent="0.25">
      <c r="A6" s="145" t="s">
        <v>120</v>
      </c>
      <c r="B6" s="20" t="s">
        <v>2</v>
      </c>
      <c r="C6" s="26">
        <f>ROUND(INDEX(insumos!$AE$3:$XFD$50,MATCH('Tabla final prensa ESP-ENG'!$A6,insumos!$AE$3:$AE$50,0),MATCH('Tabla final prensa ESP-ENG'!C$2,insumos!$AE$3:$XFD$3,0)),2)</f>
        <v>0.99</v>
      </c>
      <c r="D6" s="26">
        <f>ROUND(INDEX(insumos!$AE$3:$XFD$50,MATCH('Tabla final prensa ESP-ENG'!$A6,insumos!$AE$3:$AE$50,0),MATCH('Tabla final prensa ESP-ENG'!D$2,insumos!$AE$3:$XFD$3,0)),2)</f>
        <v>1.4</v>
      </c>
      <c r="G6" s="145" t="s">
        <v>120</v>
      </c>
      <c r="H6" s="20" t="s">
        <v>90</v>
      </c>
      <c r="I6" s="26">
        <f>ROUND(INDEX(insumos!$AE$3:$XFD$50,MATCH('Tabla final prensa ESP-ENG'!$G6,insumos!$AE$3:$AE$50,0),MATCH('Tabla final prensa ESP-ENG'!I$2,insumos!$AE$3:$XFD$3,0)),2)</f>
        <v>0.99</v>
      </c>
      <c r="J6" s="26">
        <f>ROUND(INDEX(insumos!$AE$3:$XFD$50,MATCH('Tabla final prensa ESP-ENG'!$G6,insumos!$AE$3:$AE$50,0),MATCH('Tabla final prensa ESP-ENG'!J$2,insumos!$AE$3:$XFD$3,0)),2)</f>
        <v>1.4</v>
      </c>
    </row>
    <row r="7" spans="1:10" x14ac:dyDescent="0.25">
      <c r="A7" s="145" t="s">
        <v>121</v>
      </c>
      <c r="B7" s="20" t="s">
        <v>4</v>
      </c>
      <c r="C7" s="26">
        <f>ROUND(INDEX(insumos!$AE$3:$XFD$50,MATCH('Tabla final prensa ESP-ENG'!$A7,insumos!$AE$3:$AE$50,0),MATCH('Tabla final prensa ESP-ENG'!C$2,insumos!$AE$3:$XFD$3,0)),2)</f>
        <v>1.49</v>
      </c>
      <c r="D7" s="26">
        <f>ROUND(INDEX(insumos!$AE$3:$XFD$50,MATCH('Tabla final prensa ESP-ENG'!$A7,insumos!$AE$3:$AE$50,0),MATCH('Tabla final prensa ESP-ENG'!D$2,insumos!$AE$3:$XFD$3,0)),2)</f>
        <v>3.9</v>
      </c>
      <c r="G7" s="145" t="s">
        <v>121</v>
      </c>
      <c r="H7" s="20" t="s">
        <v>4</v>
      </c>
      <c r="I7" s="26">
        <f>ROUND(INDEX(insumos!$AE$3:$XFD$50,MATCH('Tabla final prensa ESP-ENG'!$G7,insumos!$AE$3:$AE$50,0),MATCH('Tabla final prensa ESP-ENG'!I$2,insumos!$AE$3:$XFD$3,0)),2)</f>
        <v>1.49</v>
      </c>
      <c r="J7" s="26">
        <f>ROUND(INDEX(insumos!$AE$3:$XFD$50,MATCH('Tabla final prensa ESP-ENG'!$G7,insumos!$AE$3:$AE$50,0),MATCH('Tabla final prensa ESP-ENG'!J$2,insumos!$AE$3:$XFD$3,0)),2)</f>
        <v>3.9</v>
      </c>
    </row>
    <row r="8" spans="1:10" x14ac:dyDescent="0.25">
      <c r="A8" s="145" t="s">
        <v>122</v>
      </c>
      <c r="B8" s="20" t="s">
        <v>6</v>
      </c>
      <c r="C8" s="26">
        <f>ROUND(INDEX(insumos!$AE$3:$XFD$50,MATCH('Tabla final prensa ESP-ENG'!$A8,insumos!$AE$3:$AE$50,0),MATCH('Tabla final prensa ESP-ENG'!C$2,insumos!$AE$3:$XFD$3,0)),2)</f>
        <v>1.79</v>
      </c>
      <c r="D8" s="26">
        <f>ROUND(INDEX(insumos!$AE$3:$XFD$50,MATCH('Tabla final prensa ESP-ENG'!$A8,insumos!$AE$3:$AE$50,0),MATCH('Tabla final prensa ESP-ENG'!D$2,insumos!$AE$3:$XFD$3,0)),2)</f>
        <v>2.7</v>
      </c>
      <c r="G8" s="145" t="s">
        <v>122</v>
      </c>
      <c r="H8" s="20" t="s">
        <v>6</v>
      </c>
      <c r="I8" s="26">
        <f>ROUND(INDEX(insumos!$AE$3:$XFD$50,MATCH('Tabla final prensa ESP-ENG'!$G8,insumos!$AE$3:$AE$50,0),MATCH('Tabla final prensa ESP-ENG'!I$2,insumos!$AE$3:$XFD$3,0)),2)</f>
        <v>1.79</v>
      </c>
      <c r="J8" s="26">
        <f>ROUND(INDEX(insumos!$AE$3:$XFD$50,MATCH('Tabla final prensa ESP-ENG'!$G8,insumos!$AE$3:$AE$50,0),MATCH('Tabla final prensa ESP-ENG'!J$2,insumos!$AE$3:$XFD$3,0)),2)</f>
        <v>2.7</v>
      </c>
    </row>
    <row r="9" spans="1:10" x14ac:dyDescent="0.25">
      <c r="A9" s="145" t="s">
        <v>123</v>
      </c>
      <c r="B9" s="20" t="s">
        <v>10</v>
      </c>
      <c r="C9" s="26">
        <f>ROUND(INDEX(insumos!$AE$3:$XFD$50,MATCH('Tabla final prensa ESP-ENG'!$A9,insumos!$AE$3:$AE$50,0),MATCH('Tabla final prensa ESP-ENG'!C$2,insumos!$AE$3:$XFD$3,0)),2)</f>
        <v>3</v>
      </c>
      <c r="D9" s="26">
        <f>ROUND(INDEX(insumos!$AE$3:$XFD$50,MATCH('Tabla final prensa ESP-ENG'!$A9,insumos!$AE$3:$AE$50,0),MATCH('Tabla final prensa ESP-ENG'!D$2,insumos!$AE$3:$XFD$3,0)),2)</f>
        <v>1.5</v>
      </c>
      <c r="G9" s="145" t="s">
        <v>123</v>
      </c>
      <c r="H9" s="20" t="s">
        <v>10</v>
      </c>
      <c r="I9" s="26">
        <f>ROUND(INDEX(insumos!$AE$3:$XFD$50,MATCH('Tabla final prensa ESP-ENG'!$G9,insumos!$AE$3:$AE$50,0),MATCH('Tabla final prensa ESP-ENG'!I$2,insumos!$AE$3:$XFD$3,0)),2)</f>
        <v>3</v>
      </c>
      <c r="J9" s="26">
        <f>ROUND(INDEX(insumos!$AE$3:$XFD$50,MATCH('Tabla final prensa ESP-ENG'!$G9,insumos!$AE$3:$AE$50,0),MATCH('Tabla final prensa ESP-ENG'!J$2,insumos!$AE$3:$XFD$3,0)),2)</f>
        <v>1.5</v>
      </c>
    </row>
    <row r="10" spans="1:10" x14ac:dyDescent="0.25">
      <c r="A10" s="145" t="s">
        <v>125</v>
      </c>
      <c r="B10" s="20" t="s">
        <v>13</v>
      </c>
      <c r="C10" s="26">
        <f>ROUND(INDEX(insumos!$AE$3:$XFD$50,MATCH('Tabla final prensa ESP-ENG'!$A10,insumos!$AE$3:$AE$50,0),MATCH('Tabla final prensa ESP-ENG'!C$2,insumos!$AE$3:$XFD$3,0)),2)</f>
        <v>4.76</v>
      </c>
      <c r="D10" s="26">
        <f>ROUND(INDEX(insumos!$AE$3:$XFD$50,MATCH('Tabla final prensa ESP-ENG'!$A10,insumos!$AE$3:$AE$50,0),MATCH('Tabla final prensa ESP-ENG'!D$2,insumos!$AE$3:$XFD$3,0)),2)</f>
        <v>4.5999999999999996</v>
      </c>
      <c r="G10" s="145" t="s">
        <v>125</v>
      </c>
      <c r="H10" s="20" t="s">
        <v>13</v>
      </c>
      <c r="I10" s="26">
        <f>ROUND(INDEX(insumos!$AE$3:$XFD$50,MATCH('Tabla final prensa ESP-ENG'!$G10,insumos!$AE$3:$AE$50,0),MATCH('Tabla final prensa ESP-ENG'!I$2,insumos!$AE$3:$XFD$3,0)),2)</f>
        <v>4.76</v>
      </c>
      <c r="J10" s="26">
        <f>ROUND(INDEX(insumos!$AE$3:$XFD$50,MATCH('Tabla final prensa ESP-ENG'!$G10,insumos!$AE$3:$AE$50,0),MATCH('Tabla final prensa ESP-ENG'!J$2,insumos!$AE$3:$XFD$3,0)),2)</f>
        <v>4.5999999999999996</v>
      </c>
    </row>
    <row r="11" spans="1:10" x14ac:dyDescent="0.25">
      <c r="A11" s="145" t="s">
        <v>126</v>
      </c>
      <c r="B11" s="20" t="s">
        <v>15</v>
      </c>
      <c r="C11" s="26">
        <f>ROUND(INDEX(insumos!$AE$3:$XFD$50,MATCH('Tabla final prensa ESP-ENG'!$A11,insumos!$AE$3:$AE$50,0),MATCH('Tabla final prensa ESP-ENG'!C$2,insumos!$AE$3:$XFD$3,0)),2)</f>
        <v>2.5299999999999998</v>
      </c>
      <c r="D11" s="26">
        <f>ROUND(INDEX(insumos!$AE$3:$XFD$50,MATCH('Tabla final prensa ESP-ENG'!$A11,insumos!$AE$3:$AE$50,0),MATCH('Tabla final prensa ESP-ENG'!D$2,insumos!$AE$3:$XFD$3,0)),2)</f>
        <v>4</v>
      </c>
      <c r="G11" s="145" t="s">
        <v>126</v>
      </c>
      <c r="H11" s="20" t="s">
        <v>91</v>
      </c>
      <c r="I11" s="26">
        <f>ROUND(INDEX(insumos!$AE$3:$XFD$50,MATCH('Tabla final prensa ESP-ENG'!$G11,insumos!$AE$3:$AE$50,0),MATCH('Tabla final prensa ESP-ENG'!I$2,insumos!$AE$3:$XFD$3,0)),2)</f>
        <v>2.5299999999999998</v>
      </c>
      <c r="J11" s="26">
        <f>ROUND(INDEX(insumos!$AE$3:$XFD$50,MATCH('Tabla final prensa ESP-ENG'!$G11,insumos!$AE$3:$AE$50,0),MATCH('Tabla final prensa ESP-ENG'!J$2,insumos!$AE$3:$XFD$3,0)),2)</f>
        <v>4</v>
      </c>
    </row>
    <row r="12" spans="1:10" x14ac:dyDescent="0.25">
      <c r="A12" s="145" t="s">
        <v>127</v>
      </c>
      <c r="B12" s="20" t="s">
        <v>17</v>
      </c>
      <c r="C12" s="26">
        <f>ROUND(INDEX(insumos!$AE$3:$XFD$50,MATCH('Tabla final prensa ESP-ENG'!$A12,insumos!$AE$3:$AE$50,0),MATCH('Tabla final prensa ESP-ENG'!C$2,insumos!$AE$3:$XFD$3,0)),2)</f>
        <v>2.66</v>
      </c>
      <c r="D12" s="26">
        <f>ROUND(INDEX(insumos!$AE$3:$XFD$50,MATCH('Tabla final prensa ESP-ENG'!$A12,insumos!$AE$3:$AE$50,0),MATCH('Tabla final prensa ESP-ENG'!D$2,insumos!$AE$3:$XFD$3,0)),2)</f>
        <v>2.2999999999999998</v>
      </c>
      <c r="G12" s="145" t="s">
        <v>127</v>
      </c>
      <c r="H12" s="20" t="s">
        <v>17</v>
      </c>
      <c r="I12" s="26">
        <f>ROUND(INDEX(insumos!$AE$3:$XFD$50,MATCH('Tabla final prensa ESP-ENG'!$G12,insumos!$AE$3:$AE$50,0),MATCH('Tabla final prensa ESP-ENG'!I$2,insumos!$AE$3:$XFD$3,0)),2)</f>
        <v>2.66</v>
      </c>
      <c r="J12" s="26">
        <f>ROUND(INDEX(insumos!$AE$3:$XFD$50,MATCH('Tabla final prensa ESP-ENG'!$G12,insumos!$AE$3:$AE$50,0),MATCH('Tabla final prensa ESP-ENG'!J$2,insumos!$AE$3:$XFD$3,0)),2)</f>
        <v>2.2999999999999998</v>
      </c>
    </row>
    <row r="13" spans="1:10" x14ac:dyDescent="0.25">
      <c r="A13" s="145" t="s">
        <v>128</v>
      </c>
      <c r="B13" s="20" t="s">
        <v>32</v>
      </c>
      <c r="C13" s="26">
        <f>ROUND(INDEX(insumos!$AE$3:$XFD$50,MATCH('Tabla final prensa ESP-ENG'!$A13,insumos!$AE$3:$AE$50,0),MATCH('Tabla final prensa ESP-ENG'!C$2,insumos!$AE$3:$XFD$3,0)),2)</f>
        <v>-13</v>
      </c>
      <c r="D13" s="26">
        <f>ROUND(INDEX(insumos!$AE$3:$XFD$50,MATCH('Tabla final prensa ESP-ENG'!$A13,insumos!$AE$3:$AE$50,0),MATCH('Tabla final prensa ESP-ENG'!D$2,insumos!$AE$3:$XFD$3,0)),2)</f>
        <v>-12</v>
      </c>
      <c r="G13" s="145" t="s">
        <v>128</v>
      </c>
      <c r="H13" s="20" t="s">
        <v>92</v>
      </c>
      <c r="I13" s="26">
        <f>ROUND(INDEX(insumos!$AE$3:$XFD$50,MATCH('Tabla final prensa ESP-ENG'!$G13,insumos!$AE$3:$AE$50,0),MATCH('Tabla final prensa ESP-ENG'!I$2,insumos!$AE$3:$XFD$3,0)),2)</f>
        <v>-13</v>
      </c>
      <c r="J13" s="26">
        <f>ROUND(INDEX(insumos!$AE$3:$XFD$50,MATCH('Tabla final prensa ESP-ENG'!$G13,insumos!$AE$3:$AE$50,0),MATCH('Tabla final prensa ESP-ENG'!J$2,insumos!$AE$3:$XFD$3,0)),2)</f>
        <v>-12</v>
      </c>
    </row>
    <row r="14" spans="1:10" x14ac:dyDescent="0.25">
      <c r="A14" s="145" t="s">
        <v>39</v>
      </c>
      <c r="B14" s="28" t="s">
        <v>39</v>
      </c>
      <c r="C14" s="25">
        <f>ROUND(INDEX(insumos!$AE$3:$XFD$50,MATCH('Tabla final prensa ESP-ENG'!$A14,insumos!$AE$3:$AE$50,0),MATCH('Tabla final prensa ESP-ENG'!C$2,insumos!$AE$3:$XFD$3,0)),2)</f>
        <v>0.79</v>
      </c>
      <c r="D14" s="25">
        <f>ROUND(INDEX(insumos!$AE$3:$XFD$50,MATCH('Tabla final prensa ESP-ENG'!$A14,insumos!$AE$3:$AE$50,0),MATCH('Tabla final prensa ESP-ENG'!D$2,insumos!$AE$3:$XFD$3,0)),2)</f>
        <v>0.86</v>
      </c>
      <c r="G14" s="145" t="s">
        <v>39</v>
      </c>
      <c r="H14" s="28" t="s">
        <v>93</v>
      </c>
      <c r="I14" s="25">
        <f>ROUND(INDEX(insumos!$AE$3:$XFD$50,MATCH('Tabla final prensa ESP-ENG'!$G14,insumos!$AE$3:$AE$50,0),MATCH('Tabla final prensa ESP-ENG'!I$2,insumos!$AE$3:$XFD$3,0)),2)</f>
        <v>0.79</v>
      </c>
      <c r="J14" s="25">
        <f>ROUND(INDEX(insumos!$AE$3:$XFD$50,MATCH('Tabla final prensa ESP-ENG'!$G14,insumos!$AE$3:$AE$50,0),MATCH('Tabla final prensa ESP-ENG'!J$2,insumos!$AE$3:$XFD$3,0)),2)</f>
        <v>0.86</v>
      </c>
    </row>
    <row r="15" spans="1:10" x14ac:dyDescent="0.25">
      <c r="A15" s="145" t="s">
        <v>129</v>
      </c>
      <c r="B15" s="20" t="s">
        <v>8</v>
      </c>
      <c r="C15" s="26">
        <f>ROUND(INDEX(insumos!$AE$3:$XFD$50,MATCH('Tabla final prensa ESP-ENG'!$A15,insumos!$AE$3:$AE$50,0),MATCH('Tabla final prensa ESP-ENG'!C$2,insumos!$AE$3:$XFD$3,0)),2)</f>
        <v>3.19</v>
      </c>
      <c r="D15" s="26">
        <f>ROUND(INDEX(insumos!$AE$3:$XFD$50,MATCH('Tabla final prensa ESP-ENG'!$A15,insumos!$AE$3:$AE$50,0),MATCH('Tabla final prensa ESP-ENG'!D$2,insumos!$AE$3:$XFD$3,0)),2)</f>
        <v>3.2</v>
      </c>
      <c r="G15" s="145" t="s">
        <v>129</v>
      </c>
      <c r="H15" s="20" t="s">
        <v>8</v>
      </c>
      <c r="I15" s="26">
        <f>ROUND(INDEX(insumos!$AE$3:$XFD$50,MATCH('Tabla final prensa ESP-ENG'!$G15,insumos!$AE$3:$AE$50,0),MATCH('Tabla final prensa ESP-ENG'!I$2,insumos!$AE$3:$XFD$3,0)),2)</f>
        <v>3.19</v>
      </c>
      <c r="J15" s="26">
        <f>ROUND(INDEX(insumos!$AE$3:$XFD$50,MATCH('Tabla final prensa ESP-ENG'!$G15,insumos!$AE$3:$AE$50,0),MATCH('Tabla final prensa ESP-ENG'!J$2,insumos!$AE$3:$XFD$3,0)),2)</f>
        <v>3.2</v>
      </c>
    </row>
    <row r="16" spans="1:10" x14ac:dyDescent="0.25">
      <c r="A16" s="145" t="s">
        <v>149</v>
      </c>
      <c r="B16" s="20" t="s">
        <v>11</v>
      </c>
      <c r="C16" s="26">
        <f>ROUND(INDEX(insumos!$AE$3:$XFD$50,MATCH('Tabla final prensa ESP-ENG'!$A16,insumos!$AE$3:$AE$50,0),MATCH('Tabla final prensa ESP-ENG'!C$2,insumos!$AE$3:$XFD$3,0)),2)</f>
        <v>1.6</v>
      </c>
      <c r="D16" s="26">
        <f>ROUND(INDEX(insumos!$AE$3:$XFD$50,MATCH('Tabla final prensa ESP-ENG'!$A16,insumos!$AE$3:$AE$50,0),MATCH('Tabla final prensa ESP-ENG'!D$2,insumos!$AE$3:$XFD$3,0)),2)</f>
        <v>1.5</v>
      </c>
      <c r="G16" s="145" t="s">
        <v>149</v>
      </c>
      <c r="H16" s="20" t="s">
        <v>11</v>
      </c>
      <c r="I16" s="26">
        <f>ROUND(INDEX(insumos!$AE$3:$XFD$50,MATCH('Tabla final prensa ESP-ENG'!$G16,insumos!$AE$3:$AE$50,0),MATCH('Tabla final prensa ESP-ENG'!I$2,insumos!$AE$3:$XFD$3,0)),2)</f>
        <v>1.6</v>
      </c>
      <c r="J16" s="26">
        <f>ROUND(INDEX(insumos!$AE$3:$XFD$50,MATCH('Tabla final prensa ESP-ENG'!$G16,insumos!$AE$3:$AE$50,0),MATCH('Tabla final prensa ESP-ENG'!J$2,insumos!$AE$3:$XFD$3,0)),2)</f>
        <v>1.5</v>
      </c>
    </row>
    <row r="17" spans="1:10" x14ac:dyDescent="0.25">
      <c r="A17" s="145" t="s">
        <v>131</v>
      </c>
      <c r="B17" s="20" t="s">
        <v>14</v>
      </c>
      <c r="C17" s="26">
        <f>ROUND(INDEX(insumos!$AE$3:$XFD$50,MATCH('Tabla final prensa ESP-ENG'!$A17,insumos!$AE$3:$AE$50,0),MATCH('Tabla final prensa ESP-ENG'!C$2,insumos!$AE$3:$XFD$3,0)),2)</f>
        <v>2.3199999999999998</v>
      </c>
      <c r="D17" s="26">
        <f>ROUND(INDEX(insumos!$AE$3:$XFD$50,MATCH('Tabla final prensa ESP-ENG'!$A17,insumos!$AE$3:$AE$50,0),MATCH('Tabla final prensa ESP-ENG'!D$2,insumos!$AE$3:$XFD$3,0)),2)</f>
        <v>2.4</v>
      </c>
      <c r="G17" s="145" t="s">
        <v>130</v>
      </c>
      <c r="H17" s="20" t="s">
        <v>96</v>
      </c>
      <c r="I17" s="26">
        <f>ROUND(INDEX(insumos!$AE$3:$XFD$50,MATCH('Tabla final prensa ESP-ENG'!$G17,insumos!$AE$3:$AE$50,0),MATCH('Tabla final prensa ESP-ENG'!I$2,insumos!$AE$3:$XFD$3,0)),2)</f>
        <v>4.55</v>
      </c>
      <c r="J17" s="26">
        <f>ROUND(INDEX(insumos!$AE$3:$XFD$50,MATCH('Tabla final prensa ESP-ENG'!$G17,insumos!$AE$3:$AE$50,0),MATCH('Tabla final prensa ESP-ENG'!J$2,insumos!$AE$3:$XFD$3,0)),2)</f>
        <v>5.6</v>
      </c>
    </row>
    <row r="18" spans="1:10" x14ac:dyDescent="0.25">
      <c r="A18" s="145" t="s">
        <v>132</v>
      </c>
      <c r="B18" s="20" t="s">
        <v>16</v>
      </c>
      <c r="C18" s="26">
        <f>ROUND(INDEX(insumos!$AE$3:$XFD$50,MATCH('Tabla final prensa ESP-ENG'!$A18,insumos!$AE$3:$AE$50,0),MATCH('Tabla final prensa ESP-ENG'!C$2,insumos!$AE$3:$XFD$3,0)),2)</f>
        <v>2.76</v>
      </c>
      <c r="D18" s="26">
        <f>ROUND(INDEX(insumos!$AE$3:$XFD$50,MATCH('Tabla final prensa ESP-ENG'!$A18,insumos!$AE$3:$AE$50,0),MATCH('Tabla final prensa ESP-ENG'!D$2,insumos!$AE$3:$XFD$3,0)),2)</f>
        <v>2.9</v>
      </c>
      <c r="G18" s="145" t="s">
        <v>131</v>
      </c>
      <c r="H18" s="20" t="s">
        <v>14</v>
      </c>
      <c r="I18" s="26">
        <f>ROUND(INDEX(insumos!$AE$3:$XFD$50,MATCH('Tabla final prensa ESP-ENG'!$G18,insumos!$AE$3:$AE$50,0),MATCH('Tabla final prensa ESP-ENG'!I$2,insumos!$AE$3:$XFD$3,0)),2)</f>
        <v>2.3199999999999998</v>
      </c>
      <c r="J18" s="26">
        <f>ROUND(INDEX(insumos!$AE$3:$XFD$50,MATCH('Tabla final prensa ESP-ENG'!$G18,insumos!$AE$3:$AE$50,0),MATCH('Tabla final prensa ESP-ENG'!J$2,insumos!$AE$3:$XFD$3,0)),2)</f>
        <v>2.4</v>
      </c>
    </row>
    <row r="19" spans="1:10" x14ac:dyDescent="0.25">
      <c r="A19" s="145" t="s">
        <v>133</v>
      </c>
      <c r="B19" s="20" t="s">
        <v>18</v>
      </c>
      <c r="C19" s="26">
        <f>ROUND(INDEX(insumos!$AE$3:$XFD$50,MATCH('Tabla final prensa ESP-ENG'!$A19,insumos!$AE$3:$AE$50,0),MATCH('Tabla final prensa ESP-ENG'!C$2,insumos!$AE$3:$XFD$3,0)),2)</f>
        <v>1.17</v>
      </c>
      <c r="D19" s="26">
        <f>ROUND(INDEX(insumos!$AE$3:$XFD$50,MATCH('Tabla final prensa ESP-ENG'!$A19,insumos!$AE$3:$AE$50,0),MATCH('Tabla final prensa ESP-ENG'!D$2,insumos!$AE$3:$XFD$3,0)),2)</f>
        <v>1.8</v>
      </c>
      <c r="G19" s="145" t="s">
        <v>132</v>
      </c>
      <c r="H19" s="20" t="s">
        <v>16</v>
      </c>
      <c r="I19" s="26">
        <f>ROUND(INDEX(insumos!$AE$3:$XFD$50,MATCH('Tabla final prensa ESP-ENG'!$G19,insumos!$AE$3:$AE$50,0),MATCH('Tabla final prensa ESP-ENG'!I$2,insumos!$AE$3:$XFD$3,0)),2)</f>
        <v>2.76</v>
      </c>
      <c r="J19" s="26">
        <f>ROUND(INDEX(insumos!$AE$3:$XFD$50,MATCH('Tabla final prensa ESP-ENG'!$G19,insumos!$AE$3:$AE$50,0),MATCH('Tabla final prensa ESP-ENG'!J$2,insumos!$AE$3:$XFD$3,0)),2)</f>
        <v>2.9</v>
      </c>
    </row>
    <row r="20" spans="1:10" x14ac:dyDescent="0.25">
      <c r="A20" s="145" t="s">
        <v>134</v>
      </c>
      <c r="B20" s="20" t="s">
        <v>19</v>
      </c>
      <c r="C20" s="26">
        <f>ROUND(INDEX(insumos!$AE$3:$XFD$50,MATCH('Tabla final prensa ESP-ENG'!$A20,insumos!$AE$3:$AE$50,0),MATCH('Tabla final prensa ESP-ENG'!C$2,insumos!$AE$3:$XFD$3,0)),2)</f>
        <v>4.79</v>
      </c>
      <c r="D20" s="26">
        <f>ROUND(INDEX(insumos!$AE$3:$XFD$50,MATCH('Tabla final prensa ESP-ENG'!$A20,insumos!$AE$3:$AE$50,0),MATCH('Tabla final prensa ESP-ENG'!D$2,insumos!$AE$3:$XFD$3,0)),2)</f>
        <v>3.6</v>
      </c>
      <c r="G20" s="145" t="s">
        <v>133</v>
      </c>
      <c r="H20" s="20" t="s">
        <v>94</v>
      </c>
      <c r="I20" s="26">
        <f>ROUND(INDEX(insumos!$AE$3:$XFD$50,MATCH('Tabla final prensa ESP-ENG'!$G20,insumos!$AE$3:$AE$50,0),MATCH('Tabla final prensa ESP-ENG'!I$2,insumos!$AE$3:$XFD$3,0)),2)</f>
        <v>1.17</v>
      </c>
      <c r="J20" s="26">
        <f>ROUND(INDEX(insumos!$AE$3:$XFD$50,MATCH('Tabla final prensa ESP-ENG'!$G20,insumos!$AE$3:$AE$50,0),MATCH('Tabla final prensa ESP-ENG'!J$2,insumos!$AE$3:$XFD$3,0)),2)</f>
        <v>1.8</v>
      </c>
    </row>
    <row r="21" spans="1:10" x14ac:dyDescent="0.25">
      <c r="A21" s="145" t="s">
        <v>124</v>
      </c>
      <c r="B21" s="20" t="s">
        <v>12</v>
      </c>
      <c r="C21" s="26">
        <f>ROUND(INDEX(insumos!$AE$3:$XFD$50,MATCH('Tabla final prensa ESP-ENG'!$A21,insumos!$AE$3:$AE$50,0),MATCH('Tabla final prensa ESP-ENG'!C$2,insumos!$AE$3:$XFD$3,0)),2)</f>
        <v>2.04</v>
      </c>
      <c r="D21" s="26">
        <f>ROUND(INDEX(insumos!$AE$3:$XFD$50,MATCH('Tabla final prensa ESP-ENG'!$A21,insumos!$AE$3:$AE$50,0),MATCH('Tabla final prensa ESP-ENG'!D$2,insumos!$AE$3:$XFD$3,0)),2)</f>
        <v>2.2000000000000002</v>
      </c>
      <c r="G21" s="145" t="s">
        <v>134</v>
      </c>
      <c r="H21" s="20" t="s">
        <v>19</v>
      </c>
      <c r="I21" s="26">
        <f>ROUND(INDEX(insumos!$AE$3:$XFD$50,MATCH('Tabla final prensa ESP-ENG'!$G21,insumos!$AE$3:$AE$50,0),MATCH('Tabla final prensa ESP-ENG'!I$2,insumos!$AE$3:$XFD$3,0)),2)</f>
        <v>4.79</v>
      </c>
      <c r="J21" s="26">
        <f>ROUND(INDEX(insumos!$AE$3:$XFD$50,MATCH('Tabla final prensa ESP-ENG'!$G21,insumos!$AE$3:$AE$50,0),MATCH('Tabla final prensa ESP-ENG'!J$2,insumos!$AE$3:$XFD$3,0)),2)</f>
        <v>3.6</v>
      </c>
    </row>
    <row r="22" spans="1:10" x14ac:dyDescent="0.25">
      <c r="A22" s="145" t="s">
        <v>135</v>
      </c>
      <c r="B22" s="20" t="s">
        <v>21</v>
      </c>
      <c r="C22" s="26">
        <f>ROUND(INDEX(insumos!$AE$3:$XFD$50,MATCH('Tabla final prensa ESP-ENG'!$A22,insumos!$AE$3:$AE$50,0),MATCH('Tabla final prensa ESP-ENG'!C$2,insumos!$AE$3:$XFD$3,0)),2)</f>
        <v>4.8600000000000003</v>
      </c>
      <c r="D22" s="26">
        <f>ROUND(INDEX(insumos!$AE$3:$XFD$50,MATCH('Tabla final prensa ESP-ENG'!$A22,insumos!$AE$3:$AE$50,0),MATCH('Tabla final prensa ESP-ENG'!D$2,insumos!$AE$3:$XFD$3,0)),2)</f>
        <v>-1</v>
      </c>
      <c r="G22" s="145" t="s">
        <v>124</v>
      </c>
      <c r="H22" s="20" t="s">
        <v>95</v>
      </c>
      <c r="I22" s="26">
        <f>ROUND(INDEX(insumos!$AE$3:$XFD$50,MATCH('Tabla final prensa ESP-ENG'!$G22,insumos!$AE$3:$AE$50,0),MATCH('Tabla final prensa ESP-ENG'!I$2,insumos!$AE$3:$XFD$3,0)),2)</f>
        <v>2.04</v>
      </c>
      <c r="J22" s="26">
        <f>ROUND(INDEX(insumos!$AE$3:$XFD$50,MATCH('Tabla final prensa ESP-ENG'!$G22,insumos!$AE$3:$AE$50,0),MATCH('Tabla final prensa ESP-ENG'!J$2,insumos!$AE$3:$XFD$3,0)),2)</f>
        <v>2.2000000000000002</v>
      </c>
    </row>
    <row r="23" spans="1:10" x14ac:dyDescent="0.25">
      <c r="A23" s="145" t="s">
        <v>136</v>
      </c>
      <c r="B23" s="20" t="s">
        <v>22</v>
      </c>
      <c r="C23" s="26">
        <f>ROUND(INDEX(insumos!$AE$3:$XFD$50,MATCH('Tabla final prensa ESP-ENG'!$A23,insumos!$AE$3:$AE$50,0),MATCH('Tabla final prensa ESP-ENG'!C$2,insumos!$AE$3:$XFD$3,0)),2)</f>
        <v>5.36</v>
      </c>
      <c r="D23" s="26">
        <f>ROUND(INDEX(insumos!$AE$3:$XFD$50,MATCH('Tabla final prensa ESP-ENG'!$A23,insumos!$AE$3:$AE$50,0),MATCH('Tabla final prensa ESP-ENG'!D$2,insumos!$AE$3:$XFD$3,0)),2)</f>
        <v>4.8</v>
      </c>
      <c r="G23" s="145" t="s">
        <v>135</v>
      </c>
      <c r="H23" s="20" t="s">
        <v>21</v>
      </c>
      <c r="I23" s="26">
        <f>ROUND(INDEX(insumos!$AE$3:$XFD$50,MATCH('Tabla final prensa ESP-ENG'!$G23,insumos!$AE$3:$AE$50,0),MATCH('Tabla final prensa ESP-ENG'!I$2,insumos!$AE$3:$XFD$3,0)),2)</f>
        <v>4.8600000000000003</v>
      </c>
      <c r="J23" s="26">
        <f>ROUND(INDEX(insumos!$AE$3:$XFD$50,MATCH('Tabla final prensa ESP-ENG'!$G23,insumos!$AE$3:$AE$50,0),MATCH('Tabla final prensa ESP-ENG'!J$2,insumos!$AE$3:$XFD$3,0)),2)</f>
        <v>-1</v>
      </c>
    </row>
    <row r="24" spans="1:10" x14ac:dyDescent="0.25">
      <c r="A24" s="145" t="s">
        <v>130</v>
      </c>
      <c r="B24" s="20" t="s">
        <v>25</v>
      </c>
      <c r="C24" s="26">
        <f>ROUND(INDEX(insumos!$AE$3:$XFD$50,MATCH('Tabla final prensa ESP-ENG'!$A24,insumos!$AE$3:$AE$50,0),MATCH('Tabla final prensa ESP-ENG'!C$2,insumos!$AE$3:$XFD$3,0)),2)</f>
        <v>4.55</v>
      </c>
      <c r="D24" s="26">
        <f>ROUND(INDEX(insumos!$AE$3:$XFD$50,MATCH('Tabla final prensa ESP-ENG'!$A24,insumos!$AE$3:$AE$50,0),MATCH('Tabla final prensa ESP-ENG'!D$2,insumos!$AE$3:$XFD$3,0)),2)</f>
        <v>5.6</v>
      </c>
      <c r="G24" s="145" t="s">
        <v>136</v>
      </c>
      <c r="H24" s="20" t="s">
        <v>159</v>
      </c>
      <c r="I24" s="26">
        <f>ROUND(INDEX(insumos!$AE$3:$XFD$50,MATCH('Tabla final prensa ESP-ENG'!$G24,insumos!$AE$3:$AE$50,0),MATCH('Tabla final prensa ESP-ENG'!I$2,insumos!$AE$3:$XFD$3,0)),2)</f>
        <v>5.36</v>
      </c>
      <c r="J24" s="26">
        <f>ROUND(INDEX(insumos!$AE$3:$XFD$50,MATCH('Tabla final prensa ESP-ENG'!$G24,insumos!$AE$3:$AE$50,0),MATCH('Tabla final prensa ESP-ENG'!J$2,insumos!$AE$3:$XFD$3,0)),2)</f>
        <v>4.8</v>
      </c>
    </row>
    <row r="25" spans="1:10" x14ac:dyDescent="0.25">
      <c r="A25" s="145" t="s">
        <v>41</v>
      </c>
      <c r="B25" s="28" t="s">
        <v>41</v>
      </c>
      <c r="C25" s="25">
        <f>ROUND(INDEX(insumos!$AE$3:$XFD$50,MATCH('Tabla final prensa ESP-ENG'!$A25,insumos!$AE$3:$AE$50,0),MATCH('Tabla final prensa ESP-ENG'!C$2,insumos!$AE$3:$XFD$3,0)),2)</f>
        <v>2.34</v>
      </c>
      <c r="D25" s="25">
        <f>ROUND(INDEX(insumos!$AE$3:$XFD$50,MATCH('Tabla final prensa ESP-ENG'!$A25,insumos!$AE$3:$AE$50,0),MATCH('Tabla final prensa ESP-ENG'!D$2,insumos!$AE$3:$XFD$3,0)),2)</f>
        <v>2.4500000000000002</v>
      </c>
      <c r="G25" s="145" t="s">
        <v>41</v>
      </c>
      <c r="H25" s="28" t="s">
        <v>97</v>
      </c>
      <c r="I25" s="25">
        <f>ROUND(INDEX(insumos!$AE$3:$XFD$50,MATCH('Tabla final prensa ESP-ENG'!$G25,insumos!$AE$3:$AE$50,0),MATCH('Tabla final prensa ESP-ENG'!I$2,insumos!$AE$3:$XFD$3,0)),2)</f>
        <v>2.34</v>
      </c>
      <c r="J25" s="25">
        <f>ROUND(INDEX(insumos!$AE$3:$XFD$50,MATCH('Tabla final prensa ESP-ENG'!$G25,insumos!$AE$3:$AE$50,0),MATCH('Tabla final prensa ESP-ENG'!J$2,insumos!$AE$3:$XFD$3,0)),2)</f>
        <v>2.4500000000000002</v>
      </c>
    </row>
    <row r="26" spans="1:10" x14ac:dyDescent="0.25">
      <c r="A26" s="145" t="s">
        <v>40</v>
      </c>
      <c r="B26" s="28" t="s">
        <v>40</v>
      </c>
      <c r="C26" s="25">
        <f>ROUND(INDEX(insumos!$AE$3:$XFD$50,MATCH('Tabla final prensa ESP-ENG'!$A26,insumos!$AE$3:$AE$50,0),MATCH('Tabla final prensa ESP-ENG'!C$2,insumos!$AE$3:$XFD$3,0)),2)</f>
        <v>3.4</v>
      </c>
      <c r="D26" s="25">
        <f>ROUND(INDEX(insumos!$AE$3:$XFD$50,MATCH('Tabla final prensa ESP-ENG'!$A26,insumos!$AE$3:$AE$50,0),MATCH('Tabla final prensa ESP-ENG'!D$2,insumos!$AE$3:$XFD$3,0)),2)</f>
        <v>3.32</v>
      </c>
      <c r="G26" s="145" t="s">
        <v>40</v>
      </c>
      <c r="H26" s="28" t="s">
        <v>98</v>
      </c>
      <c r="I26" s="25">
        <f>ROUND(INDEX(insumos!$AE$3:$XFD$50,MATCH('Tabla final prensa ESP-ENG'!$G26,insumos!$AE$3:$AE$50,0),MATCH('Tabla final prensa ESP-ENG'!I$2,insumos!$AE$3:$XFD$3,0)),2)</f>
        <v>3.4</v>
      </c>
      <c r="J26" s="25">
        <f>ROUND(INDEX(insumos!$AE$3:$XFD$50,MATCH('Tabla final prensa ESP-ENG'!$G26,insumos!$AE$3:$AE$50,0),MATCH('Tabla final prensa ESP-ENG'!J$2,insumos!$AE$3:$XFD$3,0)),2)</f>
        <v>3.32</v>
      </c>
    </row>
    <row r="27" spans="1:10" x14ac:dyDescent="0.25">
      <c r="A27" s="145" t="s">
        <v>34</v>
      </c>
      <c r="B27" s="28" t="s">
        <v>34</v>
      </c>
      <c r="C27" s="25">
        <f>ROUND(INDEX(insumos!$AE$3:$XFD$50,MATCH('Tabla final prensa ESP-ENG'!$A27,insumos!$AE$3:$AE$50,0),MATCH('Tabla final prensa ESP-ENG'!C$2,insumos!$AE$3:$XFD$3,0)),2)</f>
        <v>1.24</v>
      </c>
      <c r="D27" s="25">
        <f>ROUND(INDEX(insumos!$AE$3:$XFD$50,MATCH('Tabla final prensa ESP-ENG'!$A27,insumos!$AE$3:$AE$50,0),MATCH('Tabla final prensa ESP-ENG'!D$2,insumos!$AE$3:$XFD$3,0)),2)</f>
        <v>1.33</v>
      </c>
      <c r="G27" s="145" t="s">
        <v>34</v>
      </c>
      <c r="H27" s="28" t="s">
        <v>99</v>
      </c>
      <c r="I27" s="25">
        <f>ROUND(INDEX(insumos!$AE$3:$XFD$50,MATCH('Tabla final prensa ESP-ENG'!$G27,insumos!$AE$3:$AE$50,0),MATCH('Tabla final prensa ESP-ENG'!I$2,insumos!$AE$3:$XFD$3,0)),2)</f>
        <v>1.24</v>
      </c>
      <c r="J27" s="25">
        <f>ROUND(INDEX(insumos!$AE$3:$XFD$50,MATCH('Tabla final prensa ESP-ENG'!$G27,insumos!$AE$3:$AE$50,0),MATCH('Tabla final prensa ESP-ENG'!J$2,insumos!$AE$3:$XFD$3,0)),2)</f>
        <v>1.33</v>
      </c>
    </row>
    <row r="28" spans="1:10" x14ac:dyDescent="0.25">
      <c r="A28" s="145" t="s">
        <v>117</v>
      </c>
      <c r="B28" s="20" t="s">
        <v>1</v>
      </c>
      <c r="C28" s="26">
        <f>ROUND(INDEX(insumos!$AE$3:$XFD$50,MATCH('Tabla final prensa ESP-ENG'!$A28,insumos!$AE$3:$AE$50,0),MATCH('Tabla final prensa ESP-ENG'!C$2,insumos!$AE$3:$XFD$3,0)),2)</f>
        <v>3.09</v>
      </c>
      <c r="D28" s="26">
        <f>ROUND(INDEX(insumos!$AE$3:$XFD$50,MATCH('Tabla final prensa ESP-ENG'!$A28,insumos!$AE$3:$AE$50,0),MATCH('Tabla final prensa ESP-ENG'!D$2,insumos!$AE$3:$XFD$3,0)),2)</f>
        <v>4.2</v>
      </c>
      <c r="G28" s="145" t="s">
        <v>117</v>
      </c>
      <c r="H28" s="20" t="s">
        <v>100</v>
      </c>
      <c r="I28" s="26">
        <f>ROUND(INDEX(insumos!$AE$3:$XFD$50,MATCH('Tabla final prensa ESP-ENG'!$G28,insumos!$AE$3:$AE$50,0),MATCH('Tabla final prensa ESP-ENG'!I$2,insumos!$AE$3:$XFD$3,0)),2)</f>
        <v>3.09</v>
      </c>
      <c r="J28" s="26">
        <f>ROUND(INDEX(insumos!$AE$3:$XFD$50,MATCH('Tabla final prensa ESP-ENG'!$G28,insumos!$AE$3:$AE$50,0),MATCH('Tabla final prensa ESP-ENG'!J$2,insumos!$AE$3:$XFD$3,0)),2)</f>
        <v>4.2</v>
      </c>
    </row>
    <row r="29" spans="1:10" x14ac:dyDescent="0.25">
      <c r="A29" s="145" t="s">
        <v>147</v>
      </c>
      <c r="B29" s="20" t="s">
        <v>3</v>
      </c>
      <c r="C29" s="26">
        <f>ROUND(INDEX(insumos!$AE$3:$XFD$50,MATCH('Tabla final prensa ESP-ENG'!$A29,insumos!$AE$3:$AE$50,0),MATCH('Tabla final prensa ESP-ENG'!C$2,insumos!$AE$3:$XFD$3,0)),2)</f>
        <v>1.44</v>
      </c>
      <c r="D29" s="26">
        <f>ROUND(INDEX(insumos!$AE$3:$XFD$50,MATCH('Tabla final prensa ESP-ENG'!$A29,insumos!$AE$3:$AE$50,0),MATCH('Tabla final prensa ESP-ENG'!D$2,insumos!$AE$3:$XFD$3,0)),2)</f>
        <v>2.5</v>
      </c>
      <c r="G29" s="145" t="s">
        <v>147</v>
      </c>
      <c r="H29" s="20" t="s">
        <v>3</v>
      </c>
      <c r="I29" s="26">
        <f>ROUND(INDEX(insumos!$AE$3:$XFD$50,MATCH('Tabla final prensa ESP-ENG'!$G29,insumos!$AE$3:$AE$50,0),MATCH('Tabla final prensa ESP-ENG'!I$2,insumos!$AE$3:$XFD$3,0)),2)</f>
        <v>1.44</v>
      </c>
      <c r="J29" s="26">
        <f>ROUND(INDEX(insumos!$AE$3:$XFD$50,MATCH('Tabla final prensa ESP-ENG'!$G29,insumos!$AE$3:$AE$50,0),MATCH('Tabla final prensa ESP-ENG'!J$2,insumos!$AE$3:$XFD$3,0)),2)</f>
        <v>2.5</v>
      </c>
    </row>
    <row r="30" spans="1:10" x14ac:dyDescent="0.25">
      <c r="A30" s="145" t="s">
        <v>137</v>
      </c>
      <c r="B30" s="20" t="s">
        <v>5</v>
      </c>
      <c r="C30" s="26">
        <f>ROUND(INDEX(insumos!$AE$3:$XFD$50,MATCH('Tabla final prensa ESP-ENG'!$A30,insumos!$AE$3:$AE$50,0),MATCH('Tabla final prensa ESP-ENG'!C$2,insumos!$AE$3:$XFD$3,0)),2)</f>
        <v>0.6</v>
      </c>
      <c r="D30" s="26">
        <f>ROUND(INDEX(insumos!$AE$3:$XFD$50,MATCH('Tabla final prensa ESP-ENG'!$A30,insumos!$AE$3:$AE$50,0),MATCH('Tabla final prensa ESP-ENG'!D$2,insumos!$AE$3:$XFD$3,0)),2)</f>
        <v>0</v>
      </c>
      <c r="G30" s="145" t="s">
        <v>137</v>
      </c>
      <c r="H30" s="20" t="s">
        <v>5</v>
      </c>
      <c r="I30" s="26">
        <f>ROUND(INDEX(insumos!$AE$3:$XFD$50,MATCH('Tabla final prensa ESP-ENG'!$G30,insumos!$AE$3:$AE$50,0),MATCH('Tabla final prensa ESP-ENG'!I$2,insumos!$AE$3:$XFD$3,0)),2)</f>
        <v>0.6</v>
      </c>
      <c r="J30" s="26">
        <f>ROUND(INDEX(insumos!$AE$3:$XFD$50,MATCH('Tabla final prensa ESP-ENG'!$G30,insumos!$AE$3:$AE$50,0),MATCH('Tabla final prensa ESP-ENG'!J$2,insumos!$AE$3:$XFD$3,0)),2)</f>
        <v>0</v>
      </c>
    </row>
    <row r="31" spans="1:10" x14ac:dyDescent="0.25">
      <c r="A31" s="145" t="s">
        <v>138</v>
      </c>
      <c r="B31" s="20" t="s">
        <v>7</v>
      </c>
      <c r="C31" s="26">
        <f>ROUND(INDEX(insumos!$AE$3:$XFD$50,MATCH('Tabla final prensa ESP-ENG'!$A31,insumos!$AE$3:$AE$50,0),MATCH('Tabla final prensa ESP-ENG'!C$2,insumos!$AE$3:$XFD$3,0)),2)</f>
        <v>0.71</v>
      </c>
      <c r="D31" s="26">
        <f>ROUND(INDEX(insumos!$AE$3:$XFD$50,MATCH('Tabla final prensa ESP-ENG'!$A31,insumos!$AE$3:$AE$50,0),MATCH('Tabla final prensa ESP-ENG'!D$2,insumos!$AE$3:$XFD$3,0)),2)</f>
        <v>2.6</v>
      </c>
      <c r="G31" s="145" t="s">
        <v>138</v>
      </c>
      <c r="H31" s="20" t="s">
        <v>101</v>
      </c>
      <c r="I31" s="26">
        <f>ROUND(INDEX(insumos!$AE$3:$XFD$50,MATCH('Tabla final prensa ESP-ENG'!$G31,insumos!$AE$3:$AE$50,0),MATCH('Tabla final prensa ESP-ENG'!I$2,insumos!$AE$3:$XFD$3,0)),2)</f>
        <v>0.71</v>
      </c>
      <c r="J31" s="26">
        <f>ROUND(INDEX(insumos!$AE$3:$XFD$50,MATCH('Tabla final prensa ESP-ENG'!$G31,insumos!$AE$3:$AE$50,0),MATCH('Tabla final prensa ESP-ENG'!J$2,insumos!$AE$3:$XFD$3,0)),2)</f>
        <v>2.6</v>
      </c>
    </row>
    <row r="32" spans="1:10" x14ac:dyDescent="0.25">
      <c r="A32" s="145" t="s">
        <v>139</v>
      </c>
      <c r="B32" s="20" t="s">
        <v>20</v>
      </c>
      <c r="C32" s="26">
        <f>ROUND(INDEX(insumos!$AE$3:$XFD$50,MATCH('Tabla final prensa ESP-ENG'!$A32,insumos!$AE$3:$AE$50,0),MATCH('Tabla final prensa ESP-ENG'!C$2,insumos!$AE$3:$XFD$3,0)),2)</f>
        <v>-9.5299999999999994</v>
      </c>
      <c r="D32" s="26">
        <f>ROUND(INDEX(insumos!$AE$3:$XFD$50,MATCH('Tabla final prensa ESP-ENG'!$A32,insumos!$AE$3:$AE$50,0),MATCH('Tabla final prensa ESP-ENG'!D$2,insumos!$AE$3:$XFD$3,0)),2)</f>
        <v>-6.4</v>
      </c>
      <c r="G32" s="145" t="s">
        <v>139</v>
      </c>
      <c r="H32" s="20" t="s">
        <v>20</v>
      </c>
      <c r="I32" s="26">
        <f>ROUND(INDEX(insumos!$AE$3:$XFD$50,MATCH('Tabla final prensa ESP-ENG'!$G32,insumos!$AE$3:$AE$50,0),MATCH('Tabla final prensa ESP-ENG'!I$2,insumos!$AE$3:$XFD$3,0)),2)</f>
        <v>-9.5299999999999994</v>
      </c>
      <c r="J32" s="26">
        <f>ROUND(INDEX(insumos!$AE$3:$XFD$50,MATCH('Tabla final prensa ESP-ENG'!$G32,insumos!$AE$3:$AE$50,0),MATCH('Tabla final prensa ESP-ENG'!J$2,insumos!$AE$3:$XFD$3,0)),2)</f>
        <v>-6.4</v>
      </c>
    </row>
    <row r="33" spans="1:10" x14ac:dyDescent="0.25">
      <c r="A33" s="145" t="s">
        <v>140</v>
      </c>
      <c r="B33" s="20" t="s">
        <v>23</v>
      </c>
      <c r="C33" s="26">
        <f>ROUND(INDEX(insumos!$AE$3:$XFD$50,MATCH('Tabla final prensa ESP-ENG'!$A33,insumos!$AE$3:$AE$50,0),MATCH('Tabla final prensa ESP-ENG'!C$2,insumos!$AE$3:$XFD$3,0)),2)</f>
        <v>5.0599999999999996</v>
      </c>
      <c r="D33" s="26">
        <f>ROUND(INDEX(insumos!$AE$3:$XFD$50,MATCH('Tabla final prensa ESP-ENG'!$A33,insumos!$AE$3:$AE$50,0),MATCH('Tabla final prensa ESP-ENG'!D$2,insumos!$AE$3:$XFD$3,0)),2)</f>
        <v>3.5</v>
      </c>
      <c r="G33" s="145" t="s">
        <v>140</v>
      </c>
      <c r="H33" s="20" t="s">
        <v>106</v>
      </c>
      <c r="I33" s="26">
        <f>ROUND(INDEX(insumos!$AE$3:$XFD$50,MATCH('Tabla final prensa ESP-ENG'!$G33,insumos!$AE$3:$AE$50,0),MATCH('Tabla final prensa ESP-ENG'!I$2,insumos!$AE$3:$XFD$3,0)),2)</f>
        <v>5.0599999999999996</v>
      </c>
      <c r="J33" s="26">
        <f>ROUND(INDEX(insumos!$AE$3:$XFD$50,MATCH('Tabla final prensa ESP-ENG'!$G33,insumos!$AE$3:$AE$50,0),MATCH('Tabla final prensa ESP-ENG'!J$2,insumos!$AE$3:$XFD$3,0)),2)</f>
        <v>3.5</v>
      </c>
    </row>
    <row r="34" spans="1:10" x14ac:dyDescent="0.25">
      <c r="A34" s="145" t="s">
        <v>141</v>
      </c>
      <c r="B34" s="20" t="s">
        <v>24</v>
      </c>
      <c r="C34" s="26">
        <f>ROUND(INDEX(insumos!$AE$3:$XFD$50,MATCH('Tabla final prensa ESP-ENG'!$A34,insumos!$AE$3:$AE$50,0),MATCH('Tabla final prensa ESP-ENG'!C$2,insumos!$AE$3:$XFD$3,0)),2)</f>
        <v>2.17</v>
      </c>
      <c r="D34" s="26">
        <f>ROUND(INDEX(insumos!$AE$3:$XFD$50,MATCH('Tabla final prensa ESP-ENG'!$A34,insumos!$AE$3:$AE$50,0),MATCH('Tabla final prensa ESP-ENG'!D$2,insumos!$AE$3:$XFD$3,0)),2)</f>
        <v>3</v>
      </c>
      <c r="G34" s="145" t="s">
        <v>141</v>
      </c>
      <c r="H34" s="20" t="s">
        <v>24</v>
      </c>
      <c r="I34" s="26">
        <f>ROUND(INDEX(insumos!$AE$3:$XFD$50,MATCH('Tabla final prensa ESP-ENG'!$G34,insumos!$AE$3:$AE$50,0),MATCH('Tabla final prensa ESP-ENG'!I$2,insumos!$AE$3:$XFD$3,0)),2)</f>
        <v>2.17</v>
      </c>
      <c r="J34" s="26">
        <f>ROUND(INDEX(insumos!$AE$3:$XFD$50,MATCH('Tabla final prensa ESP-ENG'!$G34,insumos!$AE$3:$AE$50,0),MATCH('Tabla final prensa ESP-ENG'!J$2,insumos!$AE$3:$XFD$3,0)),2)</f>
        <v>3</v>
      </c>
    </row>
    <row r="35" spans="1:10" x14ac:dyDescent="0.25">
      <c r="A35" s="145" t="s">
        <v>142</v>
      </c>
      <c r="B35" s="20" t="s">
        <v>26</v>
      </c>
      <c r="C35" s="26">
        <f>ROUND(INDEX(insumos!$AE$3:$XFD$50,MATCH('Tabla final prensa ESP-ENG'!$A35,insumos!$AE$3:$AE$50,0),MATCH('Tabla final prensa ESP-ENG'!C$2,insumos!$AE$3:$XFD$3,0)),2)</f>
        <v>0.5</v>
      </c>
      <c r="D35" s="26">
        <f>ROUND(INDEX(insumos!$AE$3:$XFD$50,MATCH('Tabla final prensa ESP-ENG'!$A35,insumos!$AE$3:$AE$50,0),MATCH('Tabla final prensa ESP-ENG'!D$2,insumos!$AE$3:$XFD$3,0)),2)</f>
        <v>1.3</v>
      </c>
      <c r="G35" s="145" t="s">
        <v>142</v>
      </c>
      <c r="H35" s="20" t="s">
        <v>26</v>
      </c>
      <c r="I35" s="26">
        <f>ROUND(INDEX(insumos!$AE$3:$XFD$50,MATCH('Tabla final prensa ESP-ENG'!$G35,insumos!$AE$3:$AE$50,0),MATCH('Tabla final prensa ESP-ENG'!I$2,insumos!$AE$3:$XFD$3,0)),2)</f>
        <v>0.5</v>
      </c>
      <c r="J35" s="26">
        <f>ROUND(INDEX(insumos!$AE$3:$XFD$50,MATCH('Tabla final prensa ESP-ENG'!$G35,insumos!$AE$3:$AE$50,0),MATCH('Tabla final prensa ESP-ENG'!J$2,insumos!$AE$3:$XFD$3,0)),2)</f>
        <v>1.3</v>
      </c>
    </row>
    <row r="36" spans="1:10" x14ac:dyDescent="0.25">
      <c r="A36" s="145" t="s">
        <v>143</v>
      </c>
      <c r="B36" s="20" t="s">
        <v>27</v>
      </c>
      <c r="C36" s="26">
        <f>ROUND(INDEX(insumos!$AE$3:$XFD$50,MATCH('Tabla final prensa ESP-ENG'!$A36,insumos!$AE$3:$AE$50,0),MATCH('Tabla final prensa ESP-ENG'!C$2,insumos!$AE$3:$XFD$3,0)),2)</f>
        <v>1.29</v>
      </c>
      <c r="D36" s="26">
        <f>ROUND(INDEX(insumos!$AE$3:$XFD$50,MATCH('Tabla final prensa ESP-ENG'!$A36,insumos!$AE$3:$AE$50,0),MATCH('Tabla final prensa ESP-ENG'!D$2,insumos!$AE$3:$XFD$3,0)),2)</f>
        <v>2.4</v>
      </c>
      <c r="G36" s="145" t="s">
        <v>143</v>
      </c>
      <c r="H36" s="20" t="s">
        <v>102</v>
      </c>
      <c r="I36" s="26">
        <f>ROUND(INDEX(insumos!$AE$3:$XFD$50,MATCH('Tabla final prensa ESP-ENG'!$G36,insumos!$AE$3:$AE$50,0),MATCH('Tabla final prensa ESP-ENG'!I$2,insumos!$AE$3:$XFD$3,0)),2)</f>
        <v>1.29</v>
      </c>
      <c r="J36" s="26">
        <f>ROUND(INDEX(insumos!$AE$3:$XFD$50,MATCH('Tabla final prensa ESP-ENG'!$G36,insumos!$AE$3:$AE$50,0),MATCH('Tabla final prensa ESP-ENG'!J$2,insumos!$AE$3:$XFD$3,0)),2)</f>
        <v>2.4</v>
      </c>
    </row>
    <row r="37" spans="1:10" x14ac:dyDescent="0.25">
      <c r="A37" s="145" t="s">
        <v>145</v>
      </c>
      <c r="B37" s="20" t="s">
        <v>28</v>
      </c>
      <c r="C37" s="26">
        <f>ROUND(INDEX(insumos!$AE$3:$XFD$50,MATCH('Tabla final prensa ESP-ENG'!$A37,insumos!$AE$3:$AE$50,0),MATCH('Tabla final prensa ESP-ENG'!C$2,insumos!$AE$3:$XFD$3,0)),2)</f>
        <v>0.51</v>
      </c>
      <c r="D37" s="26">
        <f>ROUND(INDEX(insumos!$AE$3:$XFD$50,MATCH('Tabla final prensa ESP-ENG'!$A37,insumos!$AE$3:$AE$50,0),MATCH('Tabla final prensa ESP-ENG'!D$2,insumos!$AE$3:$XFD$3,0)),2)</f>
        <v>1.3</v>
      </c>
      <c r="G37" s="145" t="s">
        <v>145</v>
      </c>
      <c r="H37" s="20" t="s">
        <v>103</v>
      </c>
      <c r="I37" s="26">
        <f>ROUND(INDEX(insumos!$AE$3:$XFD$50,MATCH('Tabla final prensa ESP-ENG'!$G37,insumos!$AE$3:$AE$50,0),MATCH('Tabla final prensa ESP-ENG'!I$2,insumos!$AE$3:$XFD$3,0)),2)</f>
        <v>0.51</v>
      </c>
      <c r="J37" s="26">
        <f>ROUND(INDEX(insumos!$AE$3:$XFD$50,MATCH('Tabla final prensa ESP-ENG'!$G37,insumos!$AE$3:$AE$50,0),MATCH('Tabla final prensa ESP-ENG'!J$2,insumos!$AE$3:$XFD$3,0)),2)</f>
        <v>1.3</v>
      </c>
    </row>
    <row r="38" spans="1:10" x14ac:dyDescent="0.25">
      <c r="A38" s="145" t="s">
        <v>144</v>
      </c>
      <c r="B38" s="20" t="s">
        <v>29</v>
      </c>
      <c r="C38" s="26">
        <f>ROUND(INDEX(insumos!$AE$3:$XFD$50,MATCH('Tabla final prensa ESP-ENG'!$A38,insumos!$AE$3:$AE$50,0),MATCH('Tabla final prensa ESP-ENG'!C$2,insumos!$AE$3:$XFD$3,0)),2)</f>
        <v>3.82</v>
      </c>
      <c r="D38" s="26">
        <f>ROUND(INDEX(insumos!$AE$3:$XFD$50,MATCH('Tabla final prensa ESP-ENG'!$A38,insumos!$AE$3:$AE$50,0),MATCH('Tabla final prensa ESP-ENG'!D$2,insumos!$AE$3:$XFD$3,0)),2)</f>
        <v>2.1</v>
      </c>
      <c r="G38" s="145" t="s">
        <v>144</v>
      </c>
      <c r="H38" s="20" t="s">
        <v>104</v>
      </c>
      <c r="I38" s="26">
        <f>ROUND(INDEX(insumos!$AE$3:$XFD$50,MATCH('Tabla final prensa ESP-ENG'!$G38,insumos!$AE$3:$AE$50,0),MATCH('Tabla final prensa ESP-ENG'!I$2,insumos!$AE$3:$XFD$3,0)),2)</f>
        <v>3.82</v>
      </c>
      <c r="J38" s="26">
        <f>ROUND(INDEX(insumos!$AE$3:$XFD$50,MATCH('Tabla final prensa ESP-ENG'!$G38,insumos!$AE$3:$AE$50,0),MATCH('Tabla final prensa ESP-ENG'!J$2,insumos!$AE$3:$XFD$3,0)),2)</f>
        <v>2.1</v>
      </c>
    </row>
    <row r="39" spans="1:10" x14ac:dyDescent="0.25">
      <c r="A39" s="145" t="s">
        <v>146</v>
      </c>
      <c r="B39" s="20" t="s">
        <v>30</v>
      </c>
      <c r="C39" s="26">
        <f>ROUND(INDEX(insumos!$AE$3:$XFD$50,MATCH('Tabla final prensa ESP-ENG'!$A39,insumos!$AE$3:$AE$50,0),MATCH('Tabla final prensa ESP-ENG'!C$2,insumos!$AE$3:$XFD$3,0)),2)</f>
        <v>1.5</v>
      </c>
      <c r="D39" s="26">
        <f>ROUND(INDEX(insumos!$AE$3:$XFD$50,MATCH('Tabla final prensa ESP-ENG'!$A39,insumos!$AE$3:$AE$50,0),MATCH('Tabla final prensa ESP-ENG'!D$2,insumos!$AE$3:$XFD$3,0)),2)</f>
        <v>2.7</v>
      </c>
      <c r="G39" s="145" t="s">
        <v>146</v>
      </c>
      <c r="H39" s="20" t="s">
        <v>30</v>
      </c>
      <c r="I39" s="26">
        <f>ROUND(INDEX(insumos!$AE$3:$XFD$50,MATCH('Tabla final prensa ESP-ENG'!$G39,insumos!$AE$3:$AE$50,0),MATCH('Tabla final prensa ESP-ENG'!I$2,insumos!$AE$3:$XFD$3,0)),2)</f>
        <v>1.5</v>
      </c>
      <c r="J39" s="26">
        <f>ROUND(INDEX(insumos!$AE$3:$XFD$50,MATCH('Tabla final prensa ESP-ENG'!$G39,insumos!$AE$3:$AE$50,0),MATCH('Tabla final prensa ESP-ENG'!J$2,insumos!$AE$3:$XFD$3,0)),2)</f>
        <v>2.7</v>
      </c>
    </row>
    <row r="40" spans="1:10" x14ac:dyDescent="0.25">
      <c r="A40" s="145" t="s">
        <v>148</v>
      </c>
      <c r="B40" s="20" t="s">
        <v>31</v>
      </c>
      <c r="C40" s="26">
        <f>ROUND(INDEX(insumos!$AE$3:$XFD$50,MATCH('Tabla final prensa ESP-ENG'!$A40,insumos!$AE$3:$AE$50,0),MATCH('Tabla final prensa ESP-ENG'!C$2,insumos!$AE$3:$XFD$3,0)),2)</f>
        <v>-2.34</v>
      </c>
      <c r="D40" s="26">
        <f>ROUND(INDEX(insumos!$AE$3:$XFD$50,MATCH('Tabla final prensa ESP-ENG'!$A40,insumos!$AE$3:$AE$50,0),MATCH('Tabla final prensa ESP-ENG'!D$2,insumos!$AE$3:$XFD$3,0)),2)</f>
        <v>1.5</v>
      </c>
      <c r="G40" s="145" t="s">
        <v>148</v>
      </c>
      <c r="H40" s="20" t="s">
        <v>105</v>
      </c>
      <c r="I40" s="26">
        <f>ROUND(INDEX(insumos!$AE$3:$XFD$50,MATCH('Tabla final prensa ESP-ENG'!$G40,insumos!$AE$3:$AE$50,0),MATCH('Tabla final prensa ESP-ENG'!I$2,insumos!$AE$3:$XFD$3,0)),2)</f>
        <v>-2.34</v>
      </c>
      <c r="J40" s="26">
        <f>ROUND(INDEX(insumos!$AE$3:$XFD$50,MATCH('Tabla final prensa ESP-ENG'!$G40,insumos!$AE$3:$AE$50,0),MATCH('Tabla final prensa ESP-ENG'!J$2,insumos!$AE$3:$XFD$3,0)),2)</f>
        <v>1.5</v>
      </c>
    </row>
    <row r="41" spans="1:10" x14ac:dyDescent="0.25">
      <c r="A41" s="145" t="s">
        <v>35</v>
      </c>
      <c r="B41" s="28" t="s">
        <v>35</v>
      </c>
      <c r="C41" s="25">
        <f>ROUND(INDEX(insumos!$AE$3:$XFD$50,MATCH('Tabla final prensa ESP-ENG'!$A41,insumos!$AE$3:$AE$50,0),MATCH('Tabla final prensa ESP-ENG'!C$2,insumos!$AE$3:$XFD$3,0)),2)</f>
        <v>0</v>
      </c>
      <c r="D41" s="25">
        <f>ROUND(INDEX(insumos!$AE$3:$XFD$50,MATCH('Tabla final prensa ESP-ENG'!$A41,insumos!$AE$3:$AE$50,0),MATCH('Tabla final prensa ESP-ENG'!D$2,insumos!$AE$3:$XFD$3,0)),2)</f>
        <v>1.74</v>
      </c>
      <c r="G41" s="145" t="s">
        <v>35</v>
      </c>
      <c r="H41" s="28" t="s">
        <v>107</v>
      </c>
      <c r="I41" s="25">
        <f>ROUND(INDEX(insumos!$AE$3:$XFD$50,MATCH('Tabla final prensa ESP-ENG'!$G41,insumos!$AE$3:$AE$50,0),MATCH('Tabla final prensa ESP-ENG'!I$2,insumos!$AE$3:$XFD$3,0)),2)</f>
        <v>0</v>
      </c>
      <c r="J41" s="25">
        <f>ROUND(INDEX(insumos!$AE$3:$XFD$50,MATCH('Tabla final prensa ESP-ENG'!$G41,insumos!$AE$3:$AE$50,0),MATCH('Tabla final prensa ESP-ENG'!J$2,insumos!$AE$3:$XFD$3,0)),2)</f>
        <v>1.74</v>
      </c>
    </row>
    <row r="43" spans="1:10" x14ac:dyDescent="0.25">
      <c r="B43" t="s">
        <v>50</v>
      </c>
      <c r="H43" t="s">
        <v>108</v>
      </c>
    </row>
    <row r="44" spans="1:10" x14ac:dyDescent="0.25">
      <c r="B44" t="s">
        <v>164</v>
      </c>
      <c r="H44" t="s">
        <v>165</v>
      </c>
    </row>
  </sheetData>
  <mergeCells count="4">
    <mergeCell ref="B1:B2"/>
    <mergeCell ref="C1:D1"/>
    <mergeCell ref="H1:H2"/>
    <mergeCell ref="I1:J1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&amp;C&amp;D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BF57"/>
  <sheetViews>
    <sheetView topLeftCell="O1" zoomScale="80" zoomScaleNormal="80" workbookViewId="0">
      <pane xSplit="1" ySplit="3" topLeftCell="AC4" activePane="bottomRight" state="frozen"/>
      <selection activeCell="O1" sqref="O1"/>
      <selection pane="topRight" activeCell="P1" sqref="P1"/>
      <selection pane="bottomLeft" activeCell="O4" sqref="O4"/>
      <selection pane="bottomRight" activeCell="AR44" sqref="AR44"/>
    </sheetView>
  </sheetViews>
  <sheetFormatPr defaultRowHeight="15" x14ac:dyDescent="0.25"/>
  <cols>
    <col min="1" max="1" width="17" customWidth="1"/>
    <col min="2" max="2" width="11.42578125" bestFit="1" customWidth="1"/>
    <col min="3" max="4" width="15.7109375" bestFit="1" customWidth="1"/>
    <col min="5" max="5" width="10" bestFit="1" customWidth="1"/>
    <col min="6" max="6" width="14.28515625" bestFit="1" customWidth="1"/>
    <col min="7" max="7" width="17.140625" bestFit="1" customWidth="1"/>
    <col min="8" max="8" width="13" bestFit="1" customWidth="1"/>
    <col min="9" max="10" width="17.28515625" bestFit="1" customWidth="1"/>
    <col min="11" max="11" width="14.42578125" bestFit="1" customWidth="1"/>
    <col min="12" max="12" width="14.140625" bestFit="1" customWidth="1"/>
    <col min="13" max="13" width="11.5703125" bestFit="1" customWidth="1"/>
    <col min="15" max="15" width="34.85546875" bestFit="1" customWidth="1"/>
    <col min="16" max="18" width="9.85546875" style="135" customWidth="1"/>
    <col min="19" max="27" width="9.85546875" customWidth="1"/>
    <col min="28" max="28" width="9.85546875" style="162" customWidth="1"/>
    <col min="29" max="29" width="9.85546875" customWidth="1"/>
    <col min="30" max="30" width="9.85546875" style="135" customWidth="1"/>
    <col min="31" max="31" width="5.85546875" bestFit="1" customWidth="1"/>
    <col min="32" max="32" width="39.28515625" bestFit="1" customWidth="1"/>
    <col min="33" max="36" width="6.7109375" customWidth="1"/>
    <col min="37" max="42" width="6.42578125" customWidth="1"/>
    <col min="43" max="43" width="6" bestFit="1" customWidth="1"/>
    <col min="44" max="44" width="9.140625" customWidth="1"/>
    <col min="45" max="45" width="9.140625" style="135" customWidth="1"/>
  </cols>
  <sheetData>
    <row r="1" spans="1:58" x14ac:dyDescent="0.25">
      <c r="O1" s="12" t="s">
        <v>46</v>
      </c>
      <c r="P1" s="12"/>
      <c r="Q1" s="12"/>
      <c r="R1" s="12"/>
      <c r="S1" s="12"/>
      <c r="T1" s="12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</row>
    <row r="2" spans="1:58" x14ac:dyDescent="0.25">
      <c r="O2" s="14" t="s">
        <v>47</v>
      </c>
      <c r="P2" s="14"/>
      <c r="Q2" s="14"/>
      <c r="R2" s="14"/>
      <c r="S2" s="14"/>
      <c r="T2" s="14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31" t="s">
        <v>54</v>
      </c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3"/>
      <c r="AR2" s="33"/>
      <c r="AS2" s="151"/>
    </row>
    <row r="3" spans="1:58" x14ac:dyDescent="0.25">
      <c r="A3" s="21"/>
      <c r="B3" s="22" t="s">
        <v>43</v>
      </c>
      <c r="C3" s="22" t="s">
        <v>81</v>
      </c>
      <c r="D3" s="22" t="s">
        <v>112</v>
      </c>
      <c r="E3" s="22" t="s">
        <v>44</v>
      </c>
      <c r="F3" s="22" t="s">
        <v>82</v>
      </c>
      <c r="G3" s="22" t="s">
        <v>110</v>
      </c>
      <c r="H3" s="22" t="s">
        <v>37</v>
      </c>
      <c r="I3" s="22" t="s">
        <v>83</v>
      </c>
      <c r="J3" s="22" t="s">
        <v>111</v>
      </c>
      <c r="K3" s="22" t="s">
        <v>45</v>
      </c>
      <c r="L3" s="22" t="s">
        <v>38</v>
      </c>
      <c r="M3" s="22" t="s">
        <v>36</v>
      </c>
      <c r="O3" s="15"/>
      <c r="P3" s="15">
        <v>2006</v>
      </c>
      <c r="Q3" s="15">
        <v>2007</v>
      </c>
      <c r="R3" s="15">
        <v>2008</v>
      </c>
      <c r="S3" s="15">
        <v>2009</v>
      </c>
      <c r="T3" s="15">
        <v>2010</v>
      </c>
      <c r="U3" s="15">
        <v>2011</v>
      </c>
      <c r="V3" s="15">
        <v>2012</v>
      </c>
      <c r="W3" s="15">
        <v>2013</v>
      </c>
      <c r="X3" s="15">
        <v>2014</v>
      </c>
      <c r="Y3" s="15">
        <v>2015</v>
      </c>
      <c r="Z3" s="15">
        <v>2016</v>
      </c>
      <c r="AA3" s="15">
        <v>2017</v>
      </c>
      <c r="AB3" s="142">
        <v>2018</v>
      </c>
      <c r="AC3" s="142">
        <v>2018</v>
      </c>
      <c r="AD3" s="17"/>
      <c r="AE3" s="144"/>
      <c r="AF3" s="146" t="s">
        <v>161</v>
      </c>
      <c r="AG3" s="24">
        <v>2007</v>
      </c>
      <c r="AH3" s="24">
        <v>2008</v>
      </c>
      <c r="AI3" s="24">
        <v>2009</v>
      </c>
      <c r="AJ3" s="24">
        <v>2010</v>
      </c>
      <c r="AK3" s="24">
        <v>2011</v>
      </c>
      <c r="AL3" s="24">
        <v>2012</v>
      </c>
      <c r="AM3" s="24">
        <v>2013</v>
      </c>
      <c r="AN3" s="24">
        <v>2014</v>
      </c>
      <c r="AO3" s="24">
        <v>2015</v>
      </c>
      <c r="AP3" s="24">
        <v>2016</v>
      </c>
      <c r="AQ3" s="24">
        <v>2017</v>
      </c>
      <c r="AR3" s="38">
        <v>2018</v>
      </c>
      <c r="AS3" s="38">
        <v>2019</v>
      </c>
      <c r="AV3" t="s">
        <v>166</v>
      </c>
    </row>
    <row r="4" spans="1:58" x14ac:dyDescent="0.25">
      <c r="A4" s="21" t="s">
        <v>1</v>
      </c>
      <c r="B4" s="23" t="s">
        <v>43</v>
      </c>
      <c r="C4" s="23" t="s">
        <v>81</v>
      </c>
      <c r="D4" s="23" t="s">
        <v>112</v>
      </c>
      <c r="E4" s="23"/>
      <c r="F4" s="23"/>
      <c r="G4" s="23"/>
      <c r="H4" s="23"/>
      <c r="I4" s="23"/>
      <c r="J4" s="23"/>
      <c r="K4" s="23"/>
      <c r="L4" s="23"/>
      <c r="M4" s="23" t="s">
        <v>36</v>
      </c>
      <c r="O4" s="15" t="s">
        <v>1</v>
      </c>
      <c r="P4" s="147">
        <v>1293.6052714203399</v>
      </c>
      <c r="Q4" s="147">
        <f t="shared" ref="Q4:Q36" si="0">P4*(1+AG4/100)</f>
        <v>1413.3856255655803</v>
      </c>
      <c r="R4" s="147">
        <f t="shared" ref="R4:R36" si="1">Q4*(1+AH4/100)</f>
        <v>1412.9597299368372</v>
      </c>
      <c r="S4" s="147">
        <f t="shared" ref="S4:S36" si="2">R4*(1+AI4/100)</f>
        <v>1241.8851062475794</v>
      </c>
      <c r="T4" s="147">
        <f t="shared" ref="T4:T35" si="3">S4*(1+AJ4/100)</f>
        <v>1152.4690685185199</v>
      </c>
      <c r="U4" s="147">
        <f t="shared" ref="U4:U35" si="4">T4*(1+AK4/100)</f>
        <v>1128.5077754841993</v>
      </c>
      <c r="V4" s="147">
        <f t="shared" ref="V4:V35" si="5">U4*(1+AL4/100)</f>
        <v>1168.080145026039</v>
      </c>
      <c r="W4" s="147">
        <f t="shared" ref="W4:W35" si="6">V4*(1+AM4/100)</f>
        <v>1166.8669060399463</v>
      </c>
      <c r="X4" s="147">
        <f t="shared" ref="X4:X35" si="7">W4*(1+AN4/100)</f>
        <v>1226.4008392215892</v>
      </c>
      <c r="Y4" s="147">
        <f t="shared" ref="Y4:Y35" si="8">X4*(1+AO4/100)</f>
        <v>1276.2001731978289</v>
      </c>
      <c r="Z4" s="147">
        <f t="shared" ref="Z4:Z35" si="9">Y4*(1+AP4/100)</f>
        <v>1344.380957560566</v>
      </c>
      <c r="AA4" s="147">
        <f t="shared" ref="AA4:AA35" si="10">Z4*(1+AQ4/100)</f>
        <v>1385.9484016764288</v>
      </c>
      <c r="AB4" s="147">
        <f t="shared" ref="AB4:AB36" si="11">AA4*(1+AR4/100)</f>
        <v>1444.1582345468389</v>
      </c>
      <c r="AC4" s="147">
        <f t="shared" ref="AC4:AC36" si="12">AB4*(1+AS4/100)</f>
        <v>1444.1582345468389</v>
      </c>
      <c r="AD4" s="136"/>
      <c r="AE4" s="144" t="s">
        <v>117</v>
      </c>
      <c r="AF4" s="36" t="s">
        <v>1</v>
      </c>
      <c r="AG4" s="16">
        <v>9.2594206897228499</v>
      </c>
      <c r="AH4" s="16">
        <v>-3.0133009777333401E-2</v>
      </c>
      <c r="AI4" s="16">
        <v>-12.1075371126752</v>
      </c>
      <c r="AJ4" s="159">
        <v>-7.2000249684316504</v>
      </c>
      <c r="AK4" s="159">
        <v>-2.0791267799596902</v>
      </c>
      <c r="AL4" s="159">
        <v>3.5066102690219001</v>
      </c>
      <c r="AM4" s="159">
        <v>-0.103866073852799</v>
      </c>
      <c r="AN4" s="159">
        <v>5.1020328773986803</v>
      </c>
      <c r="AO4" s="159">
        <v>4.0606082761528404</v>
      </c>
      <c r="AP4" s="159">
        <v>5.3424835534925199</v>
      </c>
      <c r="AQ4" s="159">
        <v>3.0919393704659899</v>
      </c>
      <c r="AR4" s="39">
        <f>INDEX('Tabla trabajo'!$K$7:$M$40,MATCH(insumos!$AF4,'Tabla trabajo'!$K$7:$K$40,0),MATCH(insumos!AR$3,'Tabla trabajo'!$K$7:$M$7,0))</f>
        <v>4.2</v>
      </c>
      <c r="AS4" s="39">
        <f>INDEX('Tabla trabajo'!$K$7:$M$40,MATCH(insumos!$AF4,'Tabla trabajo'!$K$7:$K$40,0),MATCH(insumos!AS$3,'Tabla trabajo'!$K$7:$M$7,0))</f>
        <v>0</v>
      </c>
      <c r="AT4" s="30"/>
      <c r="AU4" s="162" t="s">
        <v>117</v>
      </c>
      <c r="AV4" s="30">
        <v>9.2594206897228499</v>
      </c>
      <c r="AW4" s="30">
        <v>-3.0133009777333401E-2</v>
      </c>
      <c r="AX4" s="30">
        <v>-12.1075371126752</v>
      </c>
      <c r="AY4" s="30">
        <v>-7.2000249684316504</v>
      </c>
      <c r="AZ4" s="30">
        <v>-2.0791267799596902</v>
      </c>
      <c r="BA4" s="30">
        <v>3.5066102690219001</v>
      </c>
      <c r="BB4" s="30">
        <v>-0.103866073852799</v>
      </c>
      <c r="BC4" s="30">
        <v>5.1020328773986803</v>
      </c>
      <c r="BD4" s="30">
        <v>4.0606082761528404</v>
      </c>
      <c r="BE4" s="30">
        <v>5.3424835534925199</v>
      </c>
      <c r="BF4" s="30">
        <v>3.0919393704659899</v>
      </c>
    </row>
    <row r="5" spans="1:58" x14ac:dyDescent="0.25">
      <c r="A5" s="21" t="s">
        <v>0</v>
      </c>
      <c r="B5" s="23" t="s">
        <v>43</v>
      </c>
      <c r="C5" s="23" t="s">
        <v>81</v>
      </c>
      <c r="D5" s="23" t="s">
        <v>112</v>
      </c>
      <c r="E5" s="23" t="s">
        <v>44</v>
      </c>
      <c r="F5" s="23" t="s">
        <v>82</v>
      </c>
      <c r="G5" s="23" t="s">
        <v>113</v>
      </c>
      <c r="H5" s="23" t="s">
        <v>37</v>
      </c>
      <c r="I5" s="23" t="s">
        <v>83</v>
      </c>
      <c r="J5" s="23" t="s">
        <v>111</v>
      </c>
      <c r="K5" s="23"/>
      <c r="L5" s="23"/>
      <c r="M5" s="23"/>
      <c r="O5" s="15" t="s">
        <v>0</v>
      </c>
      <c r="P5" s="147">
        <v>362898.76260364801</v>
      </c>
      <c r="Q5" s="147">
        <f t="shared" si="0"/>
        <v>395587.41618379491</v>
      </c>
      <c r="R5" s="147">
        <f t="shared" si="1"/>
        <v>411637.31978204928</v>
      </c>
      <c r="S5" s="147">
        <f t="shared" si="2"/>
        <v>387274.46177066339</v>
      </c>
      <c r="T5" s="147">
        <f t="shared" si="3"/>
        <v>426487.54299940466</v>
      </c>
      <c r="U5" s="147">
        <f t="shared" si="4"/>
        <v>452093.64904184471</v>
      </c>
      <c r="V5" s="147">
        <f t="shared" si="5"/>
        <v>447453.2673158113</v>
      </c>
      <c r="W5" s="147">
        <f t="shared" si="6"/>
        <v>458215.96719102887</v>
      </c>
      <c r="X5" s="147">
        <f t="shared" si="7"/>
        <v>446702.76257192419</v>
      </c>
      <c r="Y5" s="147">
        <f t="shared" si="8"/>
        <v>458902.92902328126</v>
      </c>
      <c r="Z5" s="147">
        <f t="shared" si="9"/>
        <v>450539.22961982782</v>
      </c>
      <c r="AA5" s="147">
        <f t="shared" si="10"/>
        <v>463399.50773121108</v>
      </c>
      <c r="AB5" s="147">
        <f t="shared" si="11"/>
        <v>452741.31905339321</v>
      </c>
      <c r="AC5" s="147">
        <f t="shared" si="12"/>
        <v>455457.76696771354</v>
      </c>
      <c r="AD5" s="136"/>
      <c r="AE5" s="144" t="s">
        <v>118</v>
      </c>
      <c r="AF5" s="36" t="s">
        <v>0</v>
      </c>
      <c r="AG5" s="16">
        <v>9.00765087916513</v>
      </c>
      <c r="AH5" s="16">
        <v>4.0572331023789099</v>
      </c>
      <c r="AI5" s="16">
        <v>-5.9185250803511504</v>
      </c>
      <c r="AJ5" s="16">
        <v>10.125398160636401</v>
      </c>
      <c r="AK5" s="16">
        <v>6.0039516892702798</v>
      </c>
      <c r="AL5" s="16">
        <v>-1.0264204630762099</v>
      </c>
      <c r="AM5" s="16">
        <v>2.4053237871702202</v>
      </c>
      <c r="AN5" s="16">
        <v>-2.5126153262801698</v>
      </c>
      <c r="AO5" s="16">
        <v>2.73115983906473</v>
      </c>
      <c r="AP5" s="16">
        <v>-1.82254217057506</v>
      </c>
      <c r="AQ5" s="16">
        <v>2.8544191639504799</v>
      </c>
      <c r="AR5" s="39">
        <f>INDEX('Tabla trabajo'!$K$7:$M$40,MATCH(insumos!$AF5,'Tabla trabajo'!$K$7:$K$40,0),MATCH(insumos!AR$3,'Tabla trabajo'!$K$7:$M$7,0))</f>
        <v>-2.2999999999999998</v>
      </c>
      <c r="AS5" s="39">
        <f>INDEX('Tabla trabajo'!$K$7:$M$40,MATCH(insumos!$AF5,'Tabla trabajo'!$K$7:$K$40,0),MATCH(insumos!AS$3,'Tabla trabajo'!$K$7:$M$7,0))</f>
        <v>0.6</v>
      </c>
      <c r="AT5" s="30"/>
      <c r="AU5" s="162" t="s">
        <v>118</v>
      </c>
      <c r="AV5" s="30">
        <v>9.00765087916513</v>
      </c>
      <c r="AW5" s="30">
        <v>4.0572331023789099</v>
      </c>
      <c r="AX5" s="30">
        <v>-5.9185250803511504</v>
      </c>
      <c r="AY5" s="30">
        <v>10.125398160636401</v>
      </c>
      <c r="AZ5" s="30">
        <v>6.0039516892702798</v>
      </c>
      <c r="BA5" s="30">
        <v>-1.0264204630762099</v>
      </c>
      <c r="BB5" s="30">
        <v>2.4053237871702202</v>
      </c>
      <c r="BC5" s="30">
        <v>-2.5126153262801698</v>
      </c>
      <c r="BD5" s="30">
        <v>2.73115983906473</v>
      </c>
      <c r="BE5" s="30">
        <v>-1.82254217057506</v>
      </c>
      <c r="BF5" s="30">
        <v>2.8544191639504799</v>
      </c>
    </row>
    <row r="6" spans="1:58" x14ac:dyDescent="0.25">
      <c r="A6" s="21" t="s">
        <v>3</v>
      </c>
      <c r="B6" s="23" t="s">
        <v>43</v>
      </c>
      <c r="C6" s="23" t="s">
        <v>81</v>
      </c>
      <c r="D6" s="23" t="s">
        <v>112</v>
      </c>
      <c r="E6" s="23"/>
      <c r="F6" s="23"/>
      <c r="G6" s="23"/>
      <c r="H6" s="23"/>
      <c r="I6" s="23"/>
      <c r="J6" s="23"/>
      <c r="K6" s="23"/>
      <c r="L6" s="23"/>
      <c r="M6" s="23" t="s">
        <v>36</v>
      </c>
      <c r="O6" s="15" t="s">
        <v>3</v>
      </c>
      <c r="P6" s="147">
        <v>10471.297339593601</v>
      </c>
      <c r="Q6" s="147">
        <f t="shared" si="0"/>
        <v>10622.761685545122</v>
      </c>
      <c r="R6" s="147">
        <f t="shared" si="1"/>
        <v>10375.899252580044</v>
      </c>
      <c r="S6" s="147">
        <f t="shared" si="2"/>
        <v>9942.6707345121449</v>
      </c>
      <c r="T6" s="147">
        <f t="shared" si="3"/>
        <v>10095.673123205928</v>
      </c>
      <c r="U6" s="147">
        <f t="shared" si="4"/>
        <v>10157.549765836879</v>
      </c>
      <c r="V6" s="147">
        <f t="shared" si="5"/>
        <v>10471.073863297719</v>
      </c>
      <c r="W6" s="147">
        <f t="shared" si="6"/>
        <v>10428.107346880903</v>
      </c>
      <c r="X6" s="147">
        <f t="shared" si="7"/>
        <v>10412.616350055017</v>
      </c>
      <c r="Y6" s="147">
        <f t="shared" si="8"/>
        <v>10521.502625348188</v>
      </c>
      <c r="Z6" s="147">
        <f t="shared" si="9"/>
        <v>10343.727320664748</v>
      </c>
      <c r="AA6" s="147">
        <f t="shared" si="10"/>
        <v>10492.327589081529</v>
      </c>
      <c r="AB6" s="147">
        <f t="shared" si="11"/>
        <v>10754.635778808566</v>
      </c>
      <c r="AC6" s="147">
        <f t="shared" si="12"/>
        <v>10754.635778808566</v>
      </c>
      <c r="AD6" s="136"/>
      <c r="AE6" s="144" t="s">
        <v>147</v>
      </c>
      <c r="AF6" s="36" t="s">
        <v>3</v>
      </c>
      <c r="AG6" s="16">
        <v>1.4464716361248799</v>
      </c>
      <c r="AH6" s="16">
        <v>-2.3239006980735901</v>
      </c>
      <c r="AI6" s="16">
        <v>-4.1753346627780097</v>
      </c>
      <c r="AJ6" s="159">
        <v>1.53884597789902</v>
      </c>
      <c r="AK6" s="159">
        <v>0.612902595753817</v>
      </c>
      <c r="AL6" s="159">
        <v>3.0866114829712501</v>
      </c>
      <c r="AM6" s="159">
        <v>-0.41033533883682</v>
      </c>
      <c r="AN6" s="159">
        <v>-0.14855041581940401</v>
      </c>
      <c r="AO6" s="159">
        <v>1.04571484853175</v>
      </c>
      <c r="AP6" s="159">
        <v>-1.6896379824602901</v>
      </c>
      <c r="AQ6" s="159">
        <v>1.4366220590512599</v>
      </c>
      <c r="AR6" s="39">
        <f>INDEX('Tabla trabajo'!$K$7:$M$40,MATCH(insumos!$AF6,'Tabla trabajo'!$K$7:$K$40,0),MATCH(insumos!AR$3,'Tabla trabajo'!$K$7:$M$7,0))</f>
        <v>2.5</v>
      </c>
      <c r="AS6" s="39">
        <f>INDEX('Tabla trabajo'!$K$7:$M$40,MATCH(insumos!$AF6,'Tabla trabajo'!$K$7:$K$40,0),MATCH(insumos!AS$3,'Tabla trabajo'!$K$7:$M$7,0))</f>
        <v>0</v>
      </c>
      <c r="AT6" s="30"/>
      <c r="AU6" s="162" t="s">
        <v>147</v>
      </c>
      <c r="AV6" s="30">
        <v>1.4464716361248799</v>
      </c>
      <c r="AW6" s="30">
        <v>-2.3239006980735901</v>
      </c>
      <c r="AX6" s="30">
        <v>-4.1753346627780097</v>
      </c>
      <c r="AY6" s="30">
        <v>1.53884597789902</v>
      </c>
      <c r="AZ6" s="30">
        <v>0.612902595753817</v>
      </c>
      <c r="BA6" s="30">
        <v>3.0866114829712501</v>
      </c>
      <c r="BB6" s="30">
        <v>-0.41033533883682</v>
      </c>
      <c r="BC6" s="30">
        <v>-0.14855041581940401</v>
      </c>
      <c r="BD6" s="30">
        <v>1.04571484853175</v>
      </c>
      <c r="BE6" s="30">
        <v>-1.6896379824602901</v>
      </c>
      <c r="BF6" s="30">
        <v>1.4366220590512599</v>
      </c>
    </row>
    <row r="7" spans="1:58" x14ac:dyDescent="0.25">
      <c r="A7" s="21" t="s">
        <v>5</v>
      </c>
      <c r="B7" s="23" t="s">
        <v>43</v>
      </c>
      <c r="C7" s="23" t="s">
        <v>81</v>
      </c>
      <c r="D7" s="23" t="s">
        <v>112</v>
      </c>
      <c r="E7" s="23"/>
      <c r="F7" s="23"/>
      <c r="G7" s="23"/>
      <c r="H7" s="23"/>
      <c r="I7" s="23"/>
      <c r="J7" s="23"/>
      <c r="K7" s="23"/>
      <c r="L7" s="23"/>
      <c r="M7" s="23" t="s">
        <v>36</v>
      </c>
      <c r="O7" s="15" t="s">
        <v>5</v>
      </c>
      <c r="P7" s="147">
        <v>4617.4036392747603</v>
      </c>
      <c r="Q7" s="147">
        <f t="shared" si="0"/>
        <v>4698.9287674733951</v>
      </c>
      <c r="R7" s="147">
        <f t="shared" si="1"/>
        <v>4704.4793630180047</v>
      </c>
      <c r="S7" s="147">
        <f t="shared" si="2"/>
        <v>4517.6322248855058</v>
      </c>
      <c r="T7" s="147">
        <f t="shared" si="3"/>
        <v>4529.9197946736176</v>
      </c>
      <c r="U7" s="147">
        <f t="shared" si="4"/>
        <v>4559.5605062598097</v>
      </c>
      <c r="V7" s="147">
        <f t="shared" si="5"/>
        <v>4572.3712129381529</v>
      </c>
      <c r="W7" s="147">
        <f t="shared" si="6"/>
        <v>4572.8423813867412</v>
      </c>
      <c r="X7" s="147">
        <f t="shared" si="7"/>
        <v>4573.7200505187293</v>
      </c>
      <c r="Y7" s="147">
        <f t="shared" si="8"/>
        <v>4615.0034127436338</v>
      </c>
      <c r="Z7" s="147">
        <f t="shared" si="9"/>
        <v>4707.7341051227495</v>
      </c>
      <c r="AA7" s="147">
        <f t="shared" si="10"/>
        <v>4735.9805097534872</v>
      </c>
      <c r="AB7" s="147">
        <f t="shared" si="11"/>
        <v>4735.9805097534872</v>
      </c>
      <c r="AC7" s="147">
        <f t="shared" si="12"/>
        <v>4735.9805097534872</v>
      </c>
      <c r="AD7" s="136"/>
      <c r="AE7" s="144" t="s">
        <v>137</v>
      </c>
      <c r="AF7" s="36" t="s">
        <v>5</v>
      </c>
      <c r="AG7" s="16">
        <v>1.7656054044137901</v>
      </c>
      <c r="AH7" s="16">
        <v>0.118124700740974</v>
      </c>
      <c r="AI7" s="16">
        <v>-3.97168578528174</v>
      </c>
      <c r="AJ7" s="159">
        <v>0.27199137017894798</v>
      </c>
      <c r="AK7" s="159">
        <v>0.65433192925499195</v>
      </c>
      <c r="AL7" s="159">
        <v>0.28096362929619401</v>
      </c>
      <c r="AM7" s="159">
        <v>1.0304684957662701E-2</v>
      </c>
      <c r="AN7" s="159">
        <v>1.9193076401680099E-2</v>
      </c>
      <c r="AO7" s="159">
        <v>0.90262109986862804</v>
      </c>
      <c r="AP7" s="159">
        <v>2.0093309600390401</v>
      </c>
      <c r="AQ7" s="159">
        <v>0.60000000000002296</v>
      </c>
      <c r="AR7" s="39">
        <f>INDEX('Tabla trabajo'!$K$7:$M$40,MATCH(insumos!$AF7,'Tabla trabajo'!$K$7:$K$40,0),MATCH(insumos!AR$3,'Tabla trabajo'!$K$7:$M$7,0))</f>
        <v>0</v>
      </c>
      <c r="AS7" s="39">
        <f>INDEX('Tabla trabajo'!$K$7:$M$40,MATCH(insumos!$AF7,'Tabla trabajo'!$K$7:$K$40,0),MATCH(insumos!AS$3,'Tabla trabajo'!$K$7:$M$7,0))</f>
        <v>0</v>
      </c>
      <c r="AT7" s="30"/>
      <c r="AU7" s="162" t="s">
        <v>137</v>
      </c>
      <c r="AV7" s="30">
        <v>1.7656054044137901</v>
      </c>
      <c r="AW7" s="30">
        <v>0.118124700740974</v>
      </c>
      <c r="AX7" s="30">
        <v>-3.97168578528174</v>
      </c>
      <c r="AY7" s="30">
        <v>0.27199137017894798</v>
      </c>
      <c r="AZ7" s="30">
        <v>0.65433192925499195</v>
      </c>
      <c r="BA7" s="30">
        <v>0.28096362929619401</v>
      </c>
      <c r="BB7" s="30">
        <v>1.0304684957662701E-2</v>
      </c>
      <c r="BC7" s="30">
        <v>1.9193076401680099E-2</v>
      </c>
      <c r="BD7" s="30">
        <v>0.90262109986862804</v>
      </c>
      <c r="BE7" s="30">
        <v>2.0093309600390401</v>
      </c>
      <c r="BF7" s="30">
        <v>0.60000000000002296</v>
      </c>
    </row>
    <row r="8" spans="1:58" x14ac:dyDescent="0.25">
      <c r="A8" s="21" t="s">
        <v>7</v>
      </c>
      <c r="B8" s="23" t="s">
        <v>43</v>
      </c>
      <c r="C8" s="23" t="s">
        <v>81</v>
      </c>
      <c r="D8" s="23" t="s">
        <v>112</v>
      </c>
      <c r="E8" s="23"/>
      <c r="F8" s="23"/>
      <c r="G8" s="23"/>
      <c r="H8" s="23"/>
      <c r="I8" s="23"/>
      <c r="J8" s="23"/>
      <c r="K8" s="23"/>
      <c r="L8" s="23"/>
      <c r="M8" s="23" t="s">
        <v>36</v>
      </c>
      <c r="O8" s="15" t="s">
        <v>7</v>
      </c>
      <c r="P8" s="147">
        <v>1285.3118906571401</v>
      </c>
      <c r="Q8" s="147">
        <f t="shared" si="0"/>
        <v>1299.5220821616856</v>
      </c>
      <c r="R8" s="147">
        <f t="shared" si="1"/>
        <v>1341.4849981425821</v>
      </c>
      <c r="S8" s="147">
        <f t="shared" si="2"/>
        <v>1352.2061364339786</v>
      </c>
      <c r="T8" s="147">
        <f t="shared" si="3"/>
        <v>1397.113431617767</v>
      </c>
      <c r="U8" s="147">
        <f t="shared" si="4"/>
        <v>1426.483768590406</v>
      </c>
      <c r="V8" s="147">
        <f t="shared" si="5"/>
        <v>1479.4743103622829</v>
      </c>
      <c r="W8" s="147">
        <f t="shared" si="6"/>
        <v>1490.0650542455949</v>
      </c>
      <c r="X8" s="147">
        <f t="shared" si="7"/>
        <v>1550.3426968961953</v>
      </c>
      <c r="Y8" s="147">
        <f t="shared" si="8"/>
        <v>1609.178084560325</v>
      </c>
      <c r="Z8" s="147">
        <f t="shared" si="9"/>
        <v>1601.3375927327138</v>
      </c>
      <c r="AA8" s="147">
        <f t="shared" si="10"/>
        <v>1612.7052168804476</v>
      </c>
      <c r="AB8" s="147">
        <f t="shared" si="11"/>
        <v>1654.6355525193392</v>
      </c>
      <c r="AC8" s="147">
        <f t="shared" si="12"/>
        <v>1654.6355525193392</v>
      </c>
      <c r="AD8" s="136"/>
      <c r="AE8" s="144" t="s">
        <v>138</v>
      </c>
      <c r="AF8" s="36" t="s">
        <v>7</v>
      </c>
      <c r="AG8" s="16">
        <v>1.1055831357228201</v>
      </c>
      <c r="AH8" s="16">
        <v>3.22910372643253</v>
      </c>
      <c r="AI8" s="16">
        <v>0.79919926844065303</v>
      </c>
      <c r="AJ8" s="159">
        <v>3.32103915030422</v>
      </c>
      <c r="AK8" s="159">
        <v>2.10221563317377</v>
      </c>
      <c r="AL8" s="159">
        <v>3.7147665426463301</v>
      </c>
      <c r="AM8" s="159">
        <v>0.71584506801734005</v>
      </c>
      <c r="AN8" s="159">
        <v>4.0453027523095901</v>
      </c>
      <c r="AO8" s="159">
        <v>3.7949924092214502</v>
      </c>
      <c r="AP8" s="159">
        <v>-0.48723580707684699</v>
      </c>
      <c r="AQ8" s="159">
        <v>0.70988305022770004</v>
      </c>
      <c r="AR8" s="39">
        <f>INDEX('Tabla trabajo'!$K$7:$M$40,MATCH(insumos!$AF8,'Tabla trabajo'!$K$7:$K$40,0),MATCH(insumos!AR$3,'Tabla trabajo'!$K$7:$M$7,0))</f>
        <v>2.6</v>
      </c>
      <c r="AS8" s="39">
        <f>INDEX('Tabla trabajo'!$K$7:$M$40,MATCH(insumos!$AF8,'Tabla trabajo'!$K$7:$K$40,0),MATCH(insumos!AS$3,'Tabla trabajo'!$K$7:$M$7,0))</f>
        <v>0</v>
      </c>
      <c r="AT8" s="30"/>
      <c r="AU8" s="162" t="s">
        <v>138</v>
      </c>
      <c r="AV8" s="30">
        <v>1.1055831357228201</v>
      </c>
      <c r="AW8" s="30">
        <v>3.22910372643253</v>
      </c>
      <c r="AX8" s="30">
        <v>0.79919926844065303</v>
      </c>
      <c r="AY8" s="30">
        <v>3.32103915030422</v>
      </c>
      <c r="AZ8" s="30">
        <v>2.10221563317377</v>
      </c>
      <c r="BA8" s="30">
        <v>3.7147665426463301</v>
      </c>
      <c r="BB8" s="30">
        <v>0.71584506801734005</v>
      </c>
      <c r="BC8" s="30">
        <v>4.0453027523095901</v>
      </c>
      <c r="BD8" s="30">
        <v>3.7949924092214502</v>
      </c>
      <c r="BE8" s="30">
        <v>-0.48723580707684699</v>
      </c>
      <c r="BF8" s="30">
        <v>0.70988305022770004</v>
      </c>
    </row>
    <row r="9" spans="1:58" x14ac:dyDescent="0.25">
      <c r="A9" s="21" t="s">
        <v>9</v>
      </c>
      <c r="B9" s="23" t="s">
        <v>43</v>
      </c>
      <c r="C9" s="23" t="s">
        <v>81</v>
      </c>
      <c r="D9" s="23" t="s">
        <v>112</v>
      </c>
      <c r="E9" s="23" t="s">
        <v>44</v>
      </c>
      <c r="F9" s="23" t="s">
        <v>82</v>
      </c>
      <c r="G9" s="23" t="s">
        <v>113</v>
      </c>
      <c r="H9" s="23" t="s">
        <v>37</v>
      </c>
      <c r="I9" s="23" t="s">
        <v>83</v>
      </c>
      <c r="J9" s="23" t="s">
        <v>111</v>
      </c>
      <c r="K9" s="23"/>
      <c r="L9" s="23"/>
      <c r="M9" s="23"/>
      <c r="O9" s="15" t="s">
        <v>9</v>
      </c>
      <c r="P9" s="147">
        <v>16449.653017938399</v>
      </c>
      <c r="Q9" s="147">
        <f t="shared" si="0"/>
        <v>17200.478143110256</v>
      </c>
      <c r="R9" s="147">
        <f t="shared" si="1"/>
        <v>18258.049059268367</v>
      </c>
      <c r="S9" s="147">
        <f t="shared" si="2"/>
        <v>18870.971996046093</v>
      </c>
      <c r="T9" s="147">
        <f t="shared" si="3"/>
        <v>19649.724655581947</v>
      </c>
      <c r="U9" s="147">
        <f t="shared" si="4"/>
        <v>20672.314545495698</v>
      </c>
      <c r="V9" s="147">
        <f t="shared" si="5"/>
        <v>21731.207275298479</v>
      </c>
      <c r="W9" s="147">
        <f t="shared" si="6"/>
        <v>23208.062665495407</v>
      </c>
      <c r="X9" s="147">
        <f t="shared" si="7"/>
        <v>24475.355115431263</v>
      </c>
      <c r="Y9" s="147">
        <f t="shared" si="8"/>
        <v>25664.169101334715</v>
      </c>
      <c r="Z9" s="147">
        <f t="shared" si="9"/>
        <v>26758.468587506472</v>
      </c>
      <c r="AA9" s="147">
        <f t="shared" si="10"/>
        <v>27881.041739899894</v>
      </c>
      <c r="AB9" s="147">
        <f t="shared" si="11"/>
        <v>29079.926534715589</v>
      </c>
      <c r="AC9" s="147">
        <f t="shared" si="12"/>
        <v>30359.443302243075</v>
      </c>
      <c r="AD9" s="136"/>
      <c r="AE9" s="144" t="s">
        <v>119</v>
      </c>
      <c r="AF9" s="36" t="s">
        <v>9</v>
      </c>
      <c r="AG9" s="16">
        <v>4.5643827523479201</v>
      </c>
      <c r="AH9" s="16">
        <v>6.1484971950138902</v>
      </c>
      <c r="AI9" s="16">
        <v>3.35700125894112</v>
      </c>
      <c r="AJ9" s="16">
        <v>4.1267225646830497</v>
      </c>
      <c r="AK9" s="16">
        <v>5.2040927180282903</v>
      </c>
      <c r="AL9" s="16">
        <v>5.1222746609837397</v>
      </c>
      <c r="AM9" s="16">
        <v>6.7960117055974498</v>
      </c>
      <c r="AN9" s="16">
        <v>5.460569751994</v>
      </c>
      <c r="AO9" s="16">
        <v>4.85718789491201</v>
      </c>
      <c r="AP9" s="16">
        <v>4.26391940393989</v>
      </c>
      <c r="AQ9" s="16">
        <v>4.19520701912497</v>
      </c>
      <c r="AR9" s="39">
        <f>INDEX('Tabla trabajo'!$K$7:$M$40,MATCH(insumos!$AF9,'Tabla trabajo'!$K$7:$K$40,0),MATCH(insumos!AR$3,'Tabla trabajo'!$K$7:$M$7,0))</f>
        <v>4.3</v>
      </c>
      <c r="AS9" s="39">
        <f>INDEX('Tabla trabajo'!$K$7:$M$40,MATCH(insumos!$AF9,'Tabla trabajo'!$K$7:$K$40,0),MATCH(insumos!AS$3,'Tabla trabajo'!$K$7:$M$7,0))</f>
        <v>4.4000000000000004</v>
      </c>
      <c r="AT9" s="30"/>
      <c r="AU9" s="162" t="s">
        <v>119</v>
      </c>
      <c r="AV9" s="30">
        <v>4.5643827523479201</v>
      </c>
      <c r="AW9" s="30">
        <v>6.1484971950138902</v>
      </c>
      <c r="AX9" s="30">
        <v>3.35700125894112</v>
      </c>
      <c r="AY9" s="30">
        <v>4.1267225646830497</v>
      </c>
      <c r="AZ9" s="30">
        <v>5.2040927180282903</v>
      </c>
      <c r="BA9" s="30">
        <v>5.1222746609837397</v>
      </c>
      <c r="BB9" s="30">
        <v>6.7960117055974498</v>
      </c>
      <c r="BC9" s="30">
        <v>5.460569751994</v>
      </c>
      <c r="BD9" s="30">
        <v>4.85718789491201</v>
      </c>
      <c r="BE9" s="30">
        <v>4.26391940393989</v>
      </c>
      <c r="BF9" s="30">
        <v>4.19520701912497</v>
      </c>
    </row>
    <row r="10" spans="1:58" x14ac:dyDescent="0.25">
      <c r="A10" s="21" t="s">
        <v>2</v>
      </c>
      <c r="B10" s="23" t="s">
        <v>43</v>
      </c>
      <c r="C10" s="23" t="s">
        <v>81</v>
      </c>
      <c r="D10" s="23"/>
      <c r="E10" s="23" t="s">
        <v>44</v>
      </c>
      <c r="F10" s="23" t="s">
        <v>82</v>
      </c>
      <c r="G10" s="23"/>
      <c r="H10" s="23" t="s">
        <v>37</v>
      </c>
      <c r="I10" s="23" t="s">
        <v>83</v>
      </c>
      <c r="J10" s="23"/>
      <c r="K10" s="23"/>
      <c r="L10" s="23"/>
      <c r="M10" s="23"/>
      <c r="O10" s="15" t="s">
        <v>2</v>
      </c>
      <c r="P10" s="147">
        <v>1845088.4145577999</v>
      </c>
      <c r="Q10" s="147">
        <f t="shared" si="0"/>
        <v>1957082.8955338818</v>
      </c>
      <c r="R10" s="147">
        <f t="shared" si="1"/>
        <v>2056780.5217842904</v>
      </c>
      <c r="S10" s="147">
        <f t="shared" si="2"/>
        <v>2054192.8444218228</v>
      </c>
      <c r="T10" s="147">
        <f t="shared" si="3"/>
        <v>2208837.1174279568</v>
      </c>
      <c r="U10" s="147">
        <f t="shared" si="4"/>
        <v>2296625.6496104118</v>
      </c>
      <c r="V10" s="147">
        <f t="shared" si="5"/>
        <v>2340747.870058245</v>
      </c>
      <c r="W10" s="147">
        <f t="shared" si="6"/>
        <v>2411083.1927120574</v>
      </c>
      <c r="X10" s="147">
        <f t="shared" si="7"/>
        <v>2423233.9848644924</v>
      </c>
      <c r="Y10" s="147">
        <f t="shared" si="8"/>
        <v>2337311.8412909755</v>
      </c>
      <c r="Z10" s="147">
        <f t="shared" si="9"/>
        <v>2256377.3767246194</v>
      </c>
      <c r="AA10" s="147">
        <f t="shared" si="10"/>
        <v>2278612.5413969201</v>
      </c>
      <c r="AB10" s="147">
        <f t="shared" si="11"/>
        <v>2310513.1169764772</v>
      </c>
      <c r="AC10" s="147">
        <f t="shared" si="12"/>
        <v>2365965.4317839127</v>
      </c>
      <c r="AD10" s="136"/>
      <c r="AE10" s="144" t="s">
        <v>120</v>
      </c>
      <c r="AF10" s="36" t="s">
        <v>2</v>
      </c>
      <c r="AG10" s="16">
        <v>6.0698706952166699</v>
      </c>
      <c r="AH10" s="16">
        <v>5.09419536995195</v>
      </c>
      <c r="AI10" s="16">
        <v>-0.12581203171949701</v>
      </c>
      <c r="AJ10" s="16">
        <v>7.5282256690783402</v>
      </c>
      <c r="AK10" s="16">
        <v>3.9744230794472899</v>
      </c>
      <c r="AL10" s="16">
        <v>1.9211759850943799</v>
      </c>
      <c r="AM10" s="16">
        <v>3.0048226702888101</v>
      </c>
      <c r="AN10" s="16">
        <v>0.50395574027322099</v>
      </c>
      <c r="AO10" s="16">
        <v>-3.5457633934727801</v>
      </c>
      <c r="AP10" s="16">
        <v>-3.46271572053704</v>
      </c>
      <c r="AQ10" s="16">
        <v>0.98543643016744098</v>
      </c>
      <c r="AR10" s="39">
        <f>INDEX('Tabla trabajo'!$K$7:$M$40,MATCH(insumos!$AF10,'Tabla trabajo'!$K$7:$K$40,0),MATCH(insumos!AR$3,'Tabla trabajo'!$K$7:$M$7,0))</f>
        <v>1.4</v>
      </c>
      <c r="AS10" s="39">
        <f>INDEX('Tabla trabajo'!$K$7:$M$40,MATCH(insumos!$AF10,'Tabla trabajo'!$K$7:$K$40,0),MATCH(insumos!AS$3,'Tabla trabajo'!$K$7:$M$7,0))</f>
        <v>2.4</v>
      </c>
      <c r="AT10" s="30"/>
      <c r="AU10" s="162" t="s">
        <v>120</v>
      </c>
      <c r="AV10" s="30">
        <v>6.0698706952166699</v>
      </c>
      <c r="AW10" s="30">
        <v>5.09419536995195</v>
      </c>
      <c r="AX10" s="30">
        <v>-0.12581203171949701</v>
      </c>
      <c r="AY10" s="30">
        <v>7.5282256690783402</v>
      </c>
      <c r="AZ10" s="30">
        <v>3.9744230794472899</v>
      </c>
      <c r="BA10" s="30">
        <v>1.9211759850943799</v>
      </c>
      <c r="BB10" s="30">
        <v>3.0048226702888101</v>
      </c>
      <c r="BC10" s="30">
        <v>0.50395574027322099</v>
      </c>
      <c r="BD10" s="30">
        <v>-3.5457633934727801</v>
      </c>
      <c r="BE10" s="30">
        <v>-3.46271572053704</v>
      </c>
      <c r="BF10" s="30">
        <v>0.98543643016744098</v>
      </c>
    </row>
    <row r="11" spans="1:58" x14ac:dyDescent="0.25">
      <c r="A11" s="21" t="s">
        <v>4</v>
      </c>
      <c r="B11" s="23" t="s">
        <v>43</v>
      </c>
      <c r="C11" s="23" t="s">
        <v>81</v>
      </c>
      <c r="D11" s="23" t="s">
        <v>112</v>
      </c>
      <c r="E11" s="23" t="s">
        <v>44</v>
      </c>
      <c r="F11" s="23" t="s">
        <v>82</v>
      </c>
      <c r="G11" s="23" t="s">
        <v>113</v>
      </c>
      <c r="H11" s="23" t="s">
        <v>37</v>
      </c>
      <c r="I11" s="23" t="s">
        <v>83</v>
      </c>
      <c r="J11" s="23" t="s">
        <v>111</v>
      </c>
      <c r="K11" s="23"/>
      <c r="L11" s="23"/>
      <c r="M11" s="23"/>
      <c r="O11" s="15" t="s">
        <v>4</v>
      </c>
      <c r="P11" s="147">
        <v>192598.35103470099</v>
      </c>
      <c r="Q11" s="147">
        <f t="shared" si="0"/>
        <v>201458.42384960191</v>
      </c>
      <c r="R11" s="147">
        <f t="shared" si="1"/>
        <v>208836.48857401527</v>
      </c>
      <c r="S11" s="147">
        <f t="shared" si="2"/>
        <v>206672.04084039852</v>
      </c>
      <c r="T11" s="147">
        <f t="shared" si="3"/>
        <v>218563.34846594394</v>
      </c>
      <c r="U11" s="147">
        <f t="shared" si="4"/>
        <v>231326.66246347412</v>
      </c>
      <c r="V11" s="147">
        <f t="shared" si="5"/>
        <v>243950.46056880083</v>
      </c>
      <c r="W11" s="147">
        <f t="shared" si="6"/>
        <v>253651.38531215151</v>
      </c>
      <c r="X11" s="147">
        <f t="shared" si="7"/>
        <v>258132.74524848189</v>
      </c>
      <c r="Y11" s="147">
        <f t="shared" si="8"/>
        <v>264083.36878483242</v>
      </c>
      <c r="Z11" s="147">
        <f t="shared" si="9"/>
        <v>267426.31459528545</v>
      </c>
      <c r="AA11" s="147">
        <f t="shared" si="10"/>
        <v>271410.71531399508</v>
      </c>
      <c r="AB11" s="147">
        <f t="shared" si="11"/>
        <v>281995.73321124085</v>
      </c>
      <c r="AC11" s="147">
        <f t="shared" si="12"/>
        <v>291301.59240721178</v>
      </c>
      <c r="AD11" s="136"/>
      <c r="AE11" s="144" t="s">
        <v>121</v>
      </c>
      <c r="AF11" s="36" t="s">
        <v>4</v>
      </c>
      <c r="AG11" s="16">
        <v>4.6002848764289599</v>
      </c>
      <c r="AH11" s="16">
        <v>3.6623262425210998</v>
      </c>
      <c r="AI11" s="16">
        <v>-1.03643177894635</v>
      </c>
      <c r="AJ11" s="16">
        <v>5.7537089086609603</v>
      </c>
      <c r="AK11" s="16">
        <v>5.8396405834342904</v>
      </c>
      <c r="AL11" s="16">
        <v>5.4571306095422498</v>
      </c>
      <c r="AM11" s="16">
        <v>3.97659619938071</v>
      </c>
      <c r="AN11" s="16">
        <v>1.76673978374511</v>
      </c>
      <c r="AO11" s="16">
        <v>2.30525713838527</v>
      </c>
      <c r="AP11" s="16">
        <v>1.2658676030359099</v>
      </c>
      <c r="AQ11" s="16">
        <v>1.4899060044780901</v>
      </c>
      <c r="AR11" s="39">
        <f>INDEX('Tabla trabajo'!$K$7:$M$40,MATCH(insumos!$AF11,'Tabla trabajo'!$K$7:$K$40,0),MATCH(insumos!AR$3,'Tabla trabajo'!$K$7:$M$7,0))</f>
        <v>3.9</v>
      </c>
      <c r="AS11" s="39">
        <f>INDEX('Tabla trabajo'!$K$7:$M$40,MATCH(insumos!$AF11,'Tabla trabajo'!$K$7:$K$40,0),MATCH(insumos!AS$3,'Tabla trabajo'!$K$7:$M$7,0))</f>
        <v>3.3</v>
      </c>
      <c r="AT11" s="30"/>
      <c r="AU11" s="162" t="s">
        <v>121</v>
      </c>
      <c r="AV11" s="30">
        <v>4.6002848764289599</v>
      </c>
      <c r="AW11" s="30">
        <v>3.6623262425210998</v>
      </c>
      <c r="AX11" s="30">
        <v>-1.03643177894635</v>
      </c>
      <c r="AY11" s="30">
        <v>5.7537089086609603</v>
      </c>
      <c r="AZ11" s="30">
        <v>5.8396405834342904</v>
      </c>
      <c r="BA11" s="30">
        <v>5.4571306095422498</v>
      </c>
      <c r="BB11" s="30">
        <v>3.97659619938071</v>
      </c>
      <c r="BC11" s="30">
        <v>1.76673978374511</v>
      </c>
      <c r="BD11" s="30">
        <v>2.30525713838527</v>
      </c>
      <c r="BE11" s="30">
        <v>1.2658676030359099</v>
      </c>
      <c r="BF11" s="30">
        <v>1.4899060044780901</v>
      </c>
    </row>
    <row r="12" spans="1:58" x14ac:dyDescent="0.25">
      <c r="A12" s="21" t="s">
        <v>6</v>
      </c>
      <c r="B12" s="23" t="s">
        <v>43</v>
      </c>
      <c r="C12" s="23" t="s">
        <v>81</v>
      </c>
      <c r="D12" s="23" t="s">
        <v>112</v>
      </c>
      <c r="E12" s="23" t="s">
        <v>44</v>
      </c>
      <c r="F12" s="23" t="s">
        <v>82</v>
      </c>
      <c r="G12" s="23" t="s">
        <v>113</v>
      </c>
      <c r="H12" s="23" t="s">
        <v>37</v>
      </c>
      <c r="I12" s="23" t="s">
        <v>83</v>
      </c>
      <c r="J12" s="23" t="s">
        <v>111</v>
      </c>
      <c r="K12" s="23"/>
      <c r="L12" s="23"/>
      <c r="M12" s="23"/>
      <c r="O12" s="15" t="s">
        <v>6</v>
      </c>
      <c r="P12" s="147">
        <v>245554.834203109</v>
      </c>
      <c r="Q12" s="147">
        <f t="shared" si="0"/>
        <v>262372.03710453212</v>
      </c>
      <c r="R12" s="147">
        <f t="shared" si="1"/>
        <v>270917.62151263375</v>
      </c>
      <c r="S12" s="147">
        <f t="shared" si="2"/>
        <v>274183.3223829362</v>
      </c>
      <c r="T12" s="147">
        <f t="shared" si="3"/>
        <v>286103.5883768315</v>
      </c>
      <c r="U12" s="147">
        <f t="shared" si="4"/>
        <v>307168.05351850903</v>
      </c>
      <c r="V12" s="147">
        <f t="shared" si="5"/>
        <v>319156.98919160856</v>
      </c>
      <c r="W12" s="147">
        <f t="shared" si="6"/>
        <v>333732.47325876122</v>
      </c>
      <c r="X12" s="147">
        <f t="shared" si="7"/>
        <v>349512.38666068617</v>
      </c>
      <c r="Y12" s="147">
        <f t="shared" si="8"/>
        <v>359843.78374732105</v>
      </c>
      <c r="Z12" s="147">
        <f t="shared" si="9"/>
        <v>366906.1291872178</v>
      </c>
      <c r="AA12" s="147">
        <f t="shared" si="10"/>
        <v>373470.78630223975</v>
      </c>
      <c r="AB12" s="147">
        <f t="shared" si="11"/>
        <v>383554.49753240019</v>
      </c>
      <c r="AC12" s="147">
        <f t="shared" si="12"/>
        <v>395444.68695590459</v>
      </c>
      <c r="AD12" s="136"/>
      <c r="AE12" s="144" t="s">
        <v>122</v>
      </c>
      <c r="AF12" s="36" t="s">
        <v>6</v>
      </c>
      <c r="AG12" s="16">
        <v>6.8486547845817896</v>
      </c>
      <c r="AH12" s="16">
        <v>3.2570484653808398</v>
      </c>
      <c r="AI12" s="16">
        <v>1.20542209549488</v>
      </c>
      <c r="AJ12" s="16">
        <v>4.3475532684832396</v>
      </c>
      <c r="AK12" s="16">
        <v>7.3625309144788504</v>
      </c>
      <c r="AL12" s="16">
        <v>3.9030542192686402</v>
      </c>
      <c r="AM12" s="16">
        <v>4.5668697727945204</v>
      </c>
      <c r="AN12" s="16">
        <v>4.7283122459856903</v>
      </c>
      <c r="AO12" s="16">
        <v>2.9559459066224298</v>
      </c>
      <c r="AP12" s="16">
        <v>1.9626142673221401</v>
      </c>
      <c r="AQ12" s="16">
        <v>1.78919254621452</v>
      </c>
      <c r="AR12" s="39">
        <f>INDEX('Tabla trabajo'!$K$7:$M$40,MATCH(insumos!$AF12,'Tabla trabajo'!$K$7:$K$40,0),MATCH(insumos!AR$3,'Tabla trabajo'!$K$7:$M$7,0))</f>
        <v>2.7</v>
      </c>
      <c r="AS12" s="39">
        <f>INDEX('Tabla trabajo'!$K$7:$M$40,MATCH(insumos!$AF12,'Tabla trabajo'!$K$7:$K$40,0),MATCH(insumos!AS$3,'Tabla trabajo'!$K$7:$M$7,0))</f>
        <v>3.1</v>
      </c>
      <c r="AT12" s="30"/>
      <c r="AU12" s="162" t="s">
        <v>122</v>
      </c>
      <c r="AV12" s="30">
        <v>6.8486547845817896</v>
      </c>
      <c r="AW12" s="30">
        <v>3.2570484653808398</v>
      </c>
      <c r="AX12" s="30">
        <v>1.20542209549488</v>
      </c>
      <c r="AY12" s="30">
        <v>4.3475532684832396</v>
      </c>
      <c r="AZ12" s="30">
        <v>7.3625309144788504</v>
      </c>
      <c r="BA12" s="30">
        <v>3.9030542192686402</v>
      </c>
      <c r="BB12" s="30">
        <v>4.5668697727945204</v>
      </c>
      <c r="BC12" s="30">
        <v>4.7283122459856903</v>
      </c>
      <c r="BD12" s="30">
        <v>2.9559459066224298</v>
      </c>
      <c r="BE12" s="30">
        <v>1.9626142673221401</v>
      </c>
      <c r="BF12" s="30">
        <v>1.78919254621452</v>
      </c>
    </row>
    <row r="13" spans="1:58" x14ac:dyDescent="0.25">
      <c r="A13" s="21" t="s">
        <v>8</v>
      </c>
      <c r="B13" s="23" t="s">
        <v>43</v>
      </c>
      <c r="C13" s="23" t="s">
        <v>81</v>
      </c>
      <c r="D13" s="23" t="s">
        <v>112</v>
      </c>
      <c r="E13" s="23" t="s">
        <v>44</v>
      </c>
      <c r="F13" s="23" t="s">
        <v>82</v>
      </c>
      <c r="G13" s="23" t="s">
        <v>113</v>
      </c>
      <c r="H13" s="23"/>
      <c r="I13" s="23"/>
      <c r="J13" s="23"/>
      <c r="K13" s="23" t="s">
        <v>45</v>
      </c>
      <c r="L13" s="23" t="s">
        <v>38</v>
      </c>
      <c r="M13" s="23"/>
      <c r="O13" s="15" t="s">
        <v>8</v>
      </c>
      <c r="P13" s="147">
        <v>31677.656065588599</v>
      </c>
      <c r="Q13" s="147">
        <f t="shared" si="0"/>
        <v>34265.054115893887</v>
      </c>
      <c r="R13" s="147">
        <f t="shared" si="1"/>
        <v>35858.241466534491</v>
      </c>
      <c r="S13" s="147">
        <f t="shared" si="2"/>
        <v>35510.219909033505</v>
      </c>
      <c r="T13" s="147">
        <f t="shared" si="3"/>
        <v>37268.637649682838</v>
      </c>
      <c r="U13" s="147">
        <f t="shared" si="4"/>
        <v>38873.835760501897</v>
      </c>
      <c r="V13" s="147">
        <f t="shared" si="5"/>
        <v>40738.582531064872</v>
      </c>
      <c r="W13" s="147">
        <f t="shared" si="6"/>
        <v>41662.952131383012</v>
      </c>
      <c r="X13" s="147">
        <f t="shared" si="7"/>
        <v>43127.545954496789</v>
      </c>
      <c r="Y13" s="147">
        <f t="shared" si="8"/>
        <v>44693.805154774753</v>
      </c>
      <c r="Z13" s="147">
        <f t="shared" si="9"/>
        <v>46551.441268160735</v>
      </c>
      <c r="AA13" s="147">
        <f t="shared" si="10"/>
        <v>48037.271904426481</v>
      </c>
      <c r="AB13" s="147">
        <f t="shared" si="11"/>
        <v>49574.464605368128</v>
      </c>
      <c r="AC13" s="147">
        <f t="shared" si="12"/>
        <v>51111.273008134536</v>
      </c>
      <c r="AD13" s="136"/>
      <c r="AE13" s="144" t="s">
        <v>129</v>
      </c>
      <c r="AF13" s="36" t="s">
        <v>8</v>
      </c>
      <c r="AG13" s="137">
        <v>8.1678961503593506</v>
      </c>
      <c r="AH13" s="137">
        <v>4.64959823280011</v>
      </c>
      <c r="AI13" s="137">
        <v>-0.97054831265438501</v>
      </c>
      <c r="AJ13" s="137">
        <v>4.9518638441380203</v>
      </c>
      <c r="AK13" s="137">
        <v>4.3071016598663396</v>
      </c>
      <c r="AL13" s="137">
        <v>4.7969199181977098</v>
      </c>
      <c r="AM13" s="137">
        <v>2.2690274007773001</v>
      </c>
      <c r="AN13" s="137">
        <v>3.5153385638521799</v>
      </c>
      <c r="AO13" s="137">
        <v>3.6316909891661799</v>
      </c>
      <c r="AP13" s="137">
        <v>4.1563615068195299</v>
      </c>
      <c r="AQ13" s="137">
        <v>3.1918037246292399</v>
      </c>
      <c r="AR13" s="39">
        <f>INDEX('Tabla trabajo'!$K$7:$M$40,MATCH(insumos!$AF13,'Tabla trabajo'!$K$7:$K$40,0),MATCH(insumos!AR$3,'Tabla trabajo'!$K$7:$M$7,0))</f>
        <v>3.2</v>
      </c>
      <c r="AS13" s="39">
        <f>INDEX('Tabla trabajo'!$K$7:$M$40,MATCH(insumos!$AF13,'Tabla trabajo'!$K$7:$K$40,0),MATCH(insumos!AS$3,'Tabla trabajo'!$K$7:$M$7,0))</f>
        <v>3.1</v>
      </c>
      <c r="AT13" s="30"/>
      <c r="AU13" s="162" t="s">
        <v>129</v>
      </c>
      <c r="AV13" s="30">
        <v>8.1678961503593506</v>
      </c>
      <c r="AW13" s="30">
        <v>4.64959823280011</v>
      </c>
      <c r="AX13" s="30">
        <v>-0.97054831265438501</v>
      </c>
      <c r="AY13" s="30">
        <v>4.9518638441380203</v>
      </c>
      <c r="AZ13" s="30">
        <v>4.3071016598663396</v>
      </c>
      <c r="BA13" s="30">
        <v>4.7969199181977098</v>
      </c>
      <c r="BB13" s="30">
        <v>2.2690274007773001</v>
      </c>
      <c r="BC13" s="30">
        <v>3.5153385638521799</v>
      </c>
      <c r="BD13" s="30">
        <v>3.6316909891661799</v>
      </c>
      <c r="BE13" s="30">
        <v>4.1563615068195299</v>
      </c>
      <c r="BF13" s="30">
        <v>3.1918037246292399</v>
      </c>
    </row>
    <row r="14" spans="1:58" x14ac:dyDescent="0.25">
      <c r="A14" s="21" t="s">
        <v>11</v>
      </c>
      <c r="B14" s="23" t="s">
        <v>43</v>
      </c>
      <c r="C14" s="23" t="s">
        <v>81</v>
      </c>
      <c r="D14" s="23" t="s">
        <v>112</v>
      </c>
      <c r="E14" s="23" t="s">
        <v>44</v>
      </c>
      <c r="F14" s="23" t="s">
        <v>82</v>
      </c>
      <c r="G14" s="23" t="s">
        <v>113</v>
      </c>
      <c r="H14" s="23"/>
      <c r="I14" s="23"/>
      <c r="J14" s="23"/>
      <c r="K14" s="23" t="s">
        <v>45</v>
      </c>
      <c r="L14" s="23" t="s">
        <v>38</v>
      </c>
      <c r="M14" s="23"/>
      <c r="O14" s="15" t="s">
        <v>11</v>
      </c>
      <c r="P14" s="147">
        <v>55454.353948460797</v>
      </c>
      <c r="Q14" s="147">
        <f t="shared" si="0"/>
        <v>59481.483067190653</v>
      </c>
      <c r="R14" s="147">
        <f t="shared" si="1"/>
        <v>61930.277190417022</v>
      </c>
      <c r="S14" s="147">
        <f t="shared" si="2"/>
        <v>62828.939121768293</v>
      </c>
      <c r="T14" s="147">
        <f t="shared" si="3"/>
        <v>64328.200000000033</v>
      </c>
      <c r="U14" s="147">
        <f t="shared" si="4"/>
        <v>66131.352288501701</v>
      </c>
      <c r="V14" s="147">
        <f t="shared" si="5"/>
        <v>68124.809456583622</v>
      </c>
      <c r="W14" s="147">
        <f t="shared" si="6"/>
        <v>69999.393847320884</v>
      </c>
      <c r="X14" s="147">
        <f t="shared" si="7"/>
        <v>70732.691139720642</v>
      </c>
      <c r="Y14" s="147">
        <f t="shared" si="8"/>
        <v>73871.908384078924</v>
      </c>
      <c r="Z14" s="147">
        <f t="shared" si="9"/>
        <v>74251.433784951267</v>
      </c>
      <c r="AA14" s="147">
        <f t="shared" si="10"/>
        <v>75439.456725510492</v>
      </c>
      <c r="AB14" s="147">
        <f t="shared" si="11"/>
        <v>76571.048576393136</v>
      </c>
      <c r="AC14" s="147">
        <f t="shared" si="12"/>
        <v>77719.614305039024</v>
      </c>
      <c r="AD14" s="143"/>
      <c r="AE14" s="144" t="s">
        <v>149</v>
      </c>
      <c r="AF14" s="36" t="s">
        <v>11</v>
      </c>
      <c r="AG14" s="16">
        <v>7.2620611944603297</v>
      </c>
      <c r="AH14" s="16">
        <v>4.11690159181168</v>
      </c>
      <c r="AI14" s="16">
        <v>1.4510865639889801</v>
      </c>
      <c r="AJ14" s="16">
        <v>2.3862584649504202</v>
      </c>
      <c r="AK14" s="16">
        <v>2.8030510545945102</v>
      </c>
      <c r="AL14" s="16">
        <v>3.0143904503651302</v>
      </c>
      <c r="AM14" s="16">
        <v>2.7516912057302001</v>
      </c>
      <c r="AN14" s="16">
        <v>1.0475766318765301</v>
      </c>
      <c r="AO14" s="16">
        <v>4.4381419592212099</v>
      </c>
      <c r="AP14" s="16">
        <v>0.51376146788992805</v>
      </c>
      <c r="AQ14" s="137">
        <v>1.6</v>
      </c>
      <c r="AR14" s="39">
        <f>INDEX('Tabla trabajo'!$K$7:$M$40,MATCH(insumos!$AF14,'Tabla trabajo'!$K$7:$K$40,0),MATCH(insumos!AR$3,'Tabla trabajo'!$K$7:$M$7,0))</f>
        <v>1.5</v>
      </c>
      <c r="AS14" s="39">
        <f>INDEX('Tabla trabajo'!$K$7:$M$40,MATCH(insumos!$AF14,'Tabla trabajo'!$K$7:$K$40,0),MATCH(insumos!AS$3,'Tabla trabajo'!$K$7:$M$7,0))</f>
        <v>1.5</v>
      </c>
      <c r="AT14" s="30"/>
      <c r="AU14" s="162" t="s">
        <v>149</v>
      </c>
      <c r="AV14" s="30">
        <v>7.2620611944603297</v>
      </c>
      <c r="AW14" s="30">
        <v>4.11690159181168</v>
      </c>
      <c r="AX14" s="30">
        <v>1.4510865639889801</v>
      </c>
      <c r="AY14" s="30">
        <v>2.3862584649504202</v>
      </c>
      <c r="AZ14" s="30">
        <v>2.8030510545945102</v>
      </c>
      <c r="BA14" s="30">
        <v>3.0143904503651302</v>
      </c>
      <c r="BB14" s="30">
        <v>2.7516912057302001</v>
      </c>
      <c r="BC14" s="30">
        <v>1.0475766318765301</v>
      </c>
      <c r="BD14" s="30">
        <v>4.4381419592212099</v>
      </c>
      <c r="BE14" s="30">
        <v>0.51376146788992805</v>
      </c>
      <c r="BF14" s="163">
        <v>0.49999999999998901</v>
      </c>
    </row>
    <row r="15" spans="1:58" x14ac:dyDescent="0.25">
      <c r="A15" s="21" t="s">
        <v>20</v>
      </c>
      <c r="B15" s="23" t="s">
        <v>43</v>
      </c>
      <c r="C15" s="23" t="s">
        <v>81</v>
      </c>
      <c r="D15" s="23" t="s">
        <v>112</v>
      </c>
      <c r="E15" s="23"/>
      <c r="F15" s="23"/>
      <c r="G15" s="23"/>
      <c r="H15" s="23"/>
      <c r="I15" s="23"/>
      <c r="J15" s="23"/>
      <c r="K15" s="23"/>
      <c r="L15" s="23"/>
      <c r="M15" s="23" t="s">
        <v>36</v>
      </c>
      <c r="O15" s="15" t="s">
        <v>20</v>
      </c>
      <c r="P15" s="147">
        <v>437.21610229326097</v>
      </c>
      <c r="Q15" s="147">
        <f t="shared" si="0"/>
        <v>464.99576262912086</v>
      </c>
      <c r="R15" s="147">
        <f t="shared" si="1"/>
        <v>498.10692495534579</v>
      </c>
      <c r="S15" s="147">
        <f t="shared" si="2"/>
        <v>492.28027888227422</v>
      </c>
      <c r="T15" s="147">
        <f t="shared" si="3"/>
        <v>495.59107999999935</v>
      </c>
      <c r="U15" s="147">
        <f t="shared" si="4"/>
        <v>494.48253462695317</v>
      </c>
      <c r="V15" s="147">
        <f t="shared" si="5"/>
        <v>489.24703791930659</v>
      </c>
      <c r="W15" s="147">
        <f t="shared" si="6"/>
        <v>486.27392089758456</v>
      </c>
      <c r="X15" s="147">
        <f t="shared" si="7"/>
        <v>507.6159785904685</v>
      </c>
      <c r="Y15" s="147">
        <f t="shared" si="8"/>
        <v>494.66921838366454</v>
      </c>
      <c r="Z15" s="147">
        <f t="shared" si="9"/>
        <v>507.14503042491776</v>
      </c>
      <c r="AA15" s="147">
        <f t="shared" si="10"/>
        <v>458.8127403942342</v>
      </c>
      <c r="AB15" s="147">
        <f t="shared" si="11"/>
        <v>429.44872500900317</v>
      </c>
      <c r="AC15" s="147">
        <f t="shared" si="12"/>
        <v>429.44872500900317</v>
      </c>
      <c r="AD15" s="136"/>
      <c r="AE15" s="144" t="s">
        <v>139</v>
      </c>
      <c r="AF15" s="36" t="s">
        <v>20</v>
      </c>
      <c r="AG15" s="16">
        <v>6.3537596603033597</v>
      </c>
      <c r="AH15" s="16">
        <v>7.12074495883832</v>
      </c>
      <c r="AI15" s="16">
        <v>-1.16975809432762</v>
      </c>
      <c r="AJ15" s="159">
        <v>0.67254392665136997</v>
      </c>
      <c r="AK15" s="159">
        <v>-0.223681461951697</v>
      </c>
      <c r="AL15" s="159">
        <v>-1.05878293792445</v>
      </c>
      <c r="AM15" s="159">
        <v>-0.60769239081471804</v>
      </c>
      <c r="AN15" s="159">
        <v>4.3888962117256698</v>
      </c>
      <c r="AO15" s="159">
        <v>-2.55050289054219</v>
      </c>
      <c r="AP15" s="159">
        <v>2.5220514189296099</v>
      </c>
      <c r="AQ15" s="159">
        <v>-9.5302698697821704</v>
      </c>
      <c r="AR15" s="39">
        <f>INDEX('Tabla trabajo'!$K$7:$M$40,MATCH(insumos!$AF15,'Tabla trabajo'!$K$7:$K$40,0),MATCH(insumos!AR$3,'Tabla trabajo'!$K$7:$M$7,0))</f>
        <v>-6.4</v>
      </c>
      <c r="AS15" s="39">
        <f>INDEX('Tabla trabajo'!$K$7:$M$40,MATCH(insumos!$AF15,'Tabla trabajo'!$K$7:$K$40,0),MATCH(insumos!AS$3,'Tabla trabajo'!$K$7:$M$7,0))</f>
        <v>0</v>
      </c>
      <c r="AT15" s="30"/>
      <c r="AU15" s="162" t="s">
        <v>139</v>
      </c>
      <c r="AV15" s="30">
        <v>6.3537596603033597</v>
      </c>
      <c r="AW15" s="30">
        <v>7.12074495883832</v>
      </c>
      <c r="AX15" s="30">
        <v>-1.16975809432762</v>
      </c>
      <c r="AY15" s="30">
        <v>0.67254392665136997</v>
      </c>
      <c r="AZ15" s="30">
        <v>-0.223681461951697</v>
      </c>
      <c r="BA15" s="30">
        <v>-1.05878293792445</v>
      </c>
      <c r="BB15" s="30">
        <v>-0.60769239081471804</v>
      </c>
      <c r="BC15" s="30">
        <v>4.3888962117256698</v>
      </c>
      <c r="BD15" s="30">
        <v>-2.55050289054219</v>
      </c>
      <c r="BE15" s="30">
        <v>2.5220514189296099</v>
      </c>
      <c r="BF15" s="30">
        <v>-9.5302698697821704</v>
      </c>
    </row>
    <row r="16" spans="1:58" x14ac:dyDescent="0.25">
      <c r="A16" s="21" t="s">
        <v>10</v>
      </c>
      <c r="B16" s="23" t="s">
        <v>43</v>
      </c>
      <c r="C16" s="23" t="s">
        <v>81</v>
      </c>
      <c r="D16" s="23" t="s">
        <v>112</v>
      </c>
      <c r="E16" s="23" t="s">
        <v>44</v>
      </c>
      <c r="F16" s="23" t="s">
        <v>82</v>
      </c>
      <c r="G16" s="23" t="s">
        <v>113</v>
      </c>
      <c r="H16" s="23" t="s">
        <v>37</v>
      </c>
      <c r="I16" s="23" t="s">
        <v>83</v>
      </c>
      <c r="J16" s="23" t="s">
        <v>111</v>
      </c>
      <c r="K16" s="23"/>
      <c r="L16" s="23"/>
      <c r="M16" s="23"/>
      <c r="O16" s="15" t="s">
        <v>10</v>
      </c>
      <c r="P16" s="147">
        <v>61468.918471666402</v>
      </c>
      <c r="Q16" s="147">
        <f t="shared" si="0"/>
        <v>62815.127109243273</v>
      </c>
      <c r="R16" s="147">
        <f t="shared" si="1"/>
        <v>66808.366776076291</v>
      </c>
      <c r="S16" s="147">
        <f t="shared" si="2"/>
        <v>67186.830556682151</v>
      </c>
      <c r="T16" s="147">
        <f t="shared" si="3"/>
        <v>69555.367000000042</v>
      </c>
      <c r="U16" s="147">
        <f t="shared" si="4"/>
        <v>75028.08129236415</v>
      </c>
      <c r="V16" s="147">
        <f t="shared" si="5"/>
        <v>79261.137178261168</v>
      </c>
      <c r="W16" s="147">
        <f t="shared" si="6"/>
        <v>83181.798259061907</v>
      </c>
      <c r="X16" s="147">
        <f t="shared" si="7"/>
        <v>86333.447251965423</v>
      </c>
      <c r="Y16" s="147">
        <f t="shared" si="8"/>
        <v>86418.807383138686</v>
      </c>
      <c r="Z16" s="147">
        <f t="shared" si="9"/>
        <v>85056.519293311518</v>
      </c>
      <c r="AA16" s="147">
        <f t="shared" si="10"/>
        <v>87606.643822067679</v>
      </c>
      <c r="AB16" s="147">
        <f t="shared" si="11"/>
        <v>88920.74347939869</v>
      </c>
      <c r="AC16" s="147">
        <f t="shared" si="12"/>
        <v>91054.841322904264</v>
      </c>
      <c r="AD16" s="136"/>
      <c r="AE16" s="144" t="s">
        <v>123</v>
      </c>
      <c r="AF16" s="36" t="s">
        <v>10</v>
      </c>
      <c r="AG16" s="16">
        <v>2.19006397224542</v>
      </c>
      <c r="AH16" s="16">
        <v>6.3571305999083201</v>
      </c>
      <c r="AI16" s="16">
        <v>0.56649159210009303</v>
      </c>
      <c r="AJ16" s="16">
        <v>3.5252986689402901</v>
      </c>
      <c r="AK16" s="16">
        <v>7.8681409191099698</v>
      </c>
      <c r="AL16" s="16">
        <v>5.6419620667119901</v>
      </c>
      <c r="AM16" s="16">
        <v>4.9465112669062803</v>
      </c>
      <c r="AN16" s="16">
        <v>3.7888685492083201</v>
      </c>
      <c r="AO16" s="16">
        <v>9.8872608346267696E-2</v>
      </c>
      <c r="AP16" s="16">
        <v>-1.57637918304918</v>
      </c>
      <c r="AQ16" s="16">
        <v>2.9981529340064301</v>
      </c>
      <c r="AR16" s="39">
        <f>INDEX('Tabla trabajo'!$K$7:$M$40,MATCH(insumos!$AF16,'Tabla trabajo'!$K$7:$K$40,0),MATCH(insumos!AR$3,'Tabla trabajo'!$K$7:$M$7,0))</f>
        <v>1.5</v>
      </c>
      <c r="AS16" s="39">
        <f>INDEX('Tabla trabajo'!$K$7:$M$40,MATCH(insumos!$AF16,'Tabla trabajo'!$K$7:$K$40,0),MATCH(insumos!AS$3,'Tabla trabajo'!$K$7:$M$7,0))</f>
        <v>2.4</v>
      </c>
      <c r="AT16" s="30"/>
      <c r="AU16" s="162" t="s">
        <v>123</v>
      </c>
      <c r="AV16" s="30">
        <v>2.19006397224542</v>
      </c>
      <c r="AW16" s="30">
        <v>6.3571305999083201</v>
      </c>
      <c r="AX16" s="30">
        <v>0.56649159210009303</v>
      </c>
      <c r="AY16" s="30">
        <v>3.5252986689402901</v>
      </c>
      <c r="AZ16" s="30">
        <v>7.8681409191099698</v>
      </c>
      <c r="BA16" s="30">
        <v>5.6419620667119901</v>
      </c>
      <c r="BB16" s="30">
        <v>4.9465112669062803</v>
      </c>
      <c r="BC16" s="30">
        <v>3.7888685492083201</v>
      </c>
      <c r="BD16" s="30">
        <v>9.8872608346267696E-2</v>
      </c>
      <c r="BE16" s="30">
        <v>-1.57637918304918</v>
      </c>
      <c r="BF16" s="30">
        <v>2.9981529340064301</v>
      </c>
    </row>
    <row r="17" spans="1:58" x14ac:dyDescent="0.25">
      <c r="A17" s="21" t="s">
        <v>14</v>
      </c>
      <c r="B17" s="23" t="s">
        <v>43</v>
      </c>
      <c r="C17" s="23" t="s">
        <v>81</v>
      </c>
      <c r="D17" s="23" t="s">
        <v>112</v>
      </c>
      <c r="E17" s="23" t="s">
        <v>44</v>
      </c>
      <c r="F17" s="23" t="s">
        <v>82</v>
      </c>
      <c r="G17" s="23" t="s">
        <v>113</v>
      </c>
      <c r="H17" s="23"/>
      <c r="I17" s="23"/>
      <c r="J17" s="23"/>
      <c r="K17" s="23" t="s">
        <v>45</v>
      </c>
      <c r="L17" s="23" t="s">
        <v>38</v>
      </c>
      <c r="M17" s="23"/>
      <c r="O17" s="15" t="s">
        <v>14</v>
      </c>
      <c r="P17" s="147">
        <v>17738.700878092299</v>
      </c>
      <c r="Q17" s="147">
        <f t="shared" si="0"/>
        <v>18067.614094049513</v>
      </c>
      <c r="R17" s="147">
        <f t="shared" si="1"/>
        <v>18452.031415199501</v>
      </c>
      <c r="S17" s="147">
        <f t="shared" si="2"/>
        <v>18067.614094049513</v>
      </c>
      <c r="T17" s="147">
        <f t="shared" si="3"/>
        <v>18447.920000000035</v>
      </c>
      <c r="U17" s="147">
        <f t="shared" si="4"/>
        <v>19150.971999108573</v>
      </c>
      <c r="V17" s="147">
        <f t="shared" si="5"/>
        <v>19689.567390238499</v>
      </c>
      <c r="W17" s="147">
        <f t="shared" si="6"/>
        <v>20158.268722977533</v>
      </c>
      <c r="X17" s="147">
        <f t="shared" si="7"/>
        <v>20557.075997325646</v>
      </c>
      <c r="Y17" s="147">
        <f t="shared" si="8"/>
        <v>21046.334406061997</v>
      </c>
      <c r="Z17" s="147">
        <f t="shared" si="9"/>
        <v>21589.041212391396</v>
      </c>
      <c r="AA17" s="147">
        <f t="shared" si="10"/>
        <v>22090.633866726141</v>
      </c>
      <c r="AB17" s="147">
        <f t="shared" si="11"/>
        <v>22620.809079527568</v>
      </c>
      <c r="AC17" s="147">
        <f t="shared" si="12"/>
        <v>23163.70849743623</v>
      </c>
      <c r="AD17" s="136"/>
      <c r="AE17" s="144" t="s">
        <v>131</v>
      </c>
      <c r="AF17" s="36" t="s">
        <v>14</v>
      </c>
      <c r="AG17" s="16">
        <v>1.8542125391123101</v>
      </c>
      <c r="AH17" s="16">
        <v>2.1276595744680802</v>
      </c>
      <c r="AI17" s="16">
        <v>-2.0833333333333299</v>
      </c>
      <c r="AJ17" s="16">
        <v>2.1049038570940799</v>
      </c>
      <c r="AK17" s="16">
        <v>3.8110095832404798</v>
      </c>
      <c r="AL17" s="16">
        <v>2.81236582224127</v>
      </c>
      <c r="AM17" s="16">
        <v>2.3804552098559699</v>
      </c>
      <c r="AN17" s="16">
        <v>1.9783805833163199</v>
      </c>
      <c r="AO17" s="16">
        <v>2.38</v>
      </c>
      <c r="AP17" s="16">
        <v>2.5786286384059398</v>
      </c>
      <c r="AQ17" s="16">
        <v>2.3233669777185302</v>
      </c>
      <c r="AR17" s="39">
        <f>INDEX('Tabla trabajo'!$K$7:$M$40,MATCH(insumos!$AF17,'Tabla trabajo'!$K$7:$K$40,0),MATCH(insumos!AR$3,'Tabla trabajo'!$K$7:$M$7,0))</f>
        <v>2.4</v>
      </c>
      <c r="AS17" s="39">
        <f>INDEX('Tabla trabajo'!$K$7:$M$40,MATCH(insumos!$AF17,'Tabla trabajo'!$K$7:$K$40,0),MATCH(insumos!AS$3,'Tabla trabajo'!$K$7:$M$7,0))</f>
        <v>2.4</v>
      </c>
      <c r="AT17" s="30"/>
      <c r="AU17" s="162" t="s">
        <v>131</v>
      </c>
      <c r="AV17" s="30">
        <v>1.8542125391123101</v>
      </c>
      <c r="AW17" s="30">
        <v>2.1276595744680802</v>
      </c>
      <c r="AX17" s="30">
        <v>-2.0833333333333299</v>
      </c>
      <c r="AY17" s="30">
        <v>2.1049038570940799</v>
      </c>
      <c r="AZ17" s="30">
        <v>3.8110095832404798</v>
      </c>
      <c r="BA17" s="30">
        <v>2.81236582224127</v>
      </c>
      <c r="BB17" s="30">
        <v>2.3804552098559699</v>
      </c>
      <c r="BC17" s="30">
        <v>1.9783805833163199</v>
      </c>
      <c r="BD17" s="30">
        <v>2.38</v>
      </c>
      <c r="BE17" s="30">
        <v>2.5786286384059398</v>
      </c>
      <c r="BF17" s="30">
        <v>2.3233669777185302</v>
      </c>
    </row>
    <row r="18" spans="1:58" x14ac:dyDescent="0.25">
      <c r="A18" s="21" t="s">
        <v>23</v>
      </c>
      <c r="B18" s="23" t="s">
        <v>43</v>
      </c>
      <c r="C18" s="23" t="s">
        <v>81</v>
      </c>
      <c r="D18" s="23" t="s">
        <v>112</v>
      </c>
      <c r="E18" s="23"/>
      <c r="F18" s="23"/>
      <c r="G18" s="23"/>
      <c r="H18" s="23"/>
      <c r="I18" s="23"/>
      <c r="J18" s="23"/>
      <c r="K18" s="23"/>
      <c r="L18" s="23"/>
      <c r="M18" s="23" t="s">
        <v>36</v>
      </c>
      <c r="O18" s="15" t="s">
        <v>23</v>
      </c>
      <c r="P18" s="147">
        <v>772.79380588452</v>
      </c>
      <c r="Q18" s="147">
        <f t="shared" si="0"/>
        <v>820.1154637317984</v>
      </c>
      <c r="R18" s="147">
        <f t="shared" si="1"/>
        <v>827.88642255459342</v>
      </c>
      <c r="S18" s="147">
        <f t="shared" si="2"/>
        <v>773.13594979794698</v>
      </c>
      <c r="T18" s="147">
        <f t="shared" si="3"/>
        <v>769.18318177320521</v>
      </c>
      <c r="U18" s="147">
        <f t="shared" si="4"/>
        <v>775.06728948064926</v>
      </c>
      <c r="V18" s="147">
        <f t="shared" si="5"/>
        <v>766.1141338395189</v>
      </c>
      <c r="W18" s="147">
        <f t="shared" si="6"/>
        <v>784.12869346172488</v>
      </c>
      <c r="X18" s="147">
        <f t="shared" si="7"/>
        <v>841.71571210679201</v>
      </c>
      <c r="Y18" s="147">
        <f t="shared" si="8"/>
        <v>895.94865664925737</v>
      </c>
      <c r="Z18" s="147">
        <f t="shared" si="9"/>
        <v>929.41784818063968</v>
      </c>
      <c r="AA18" s="147">
        <f t="shared" si="10"/>
        <v>976.43908413224779</v>
      </c>
      <c r="AB18" s="147">
        <f t="shared" si="11"/>
        <v>1010.6144520768764</v>
      </c>
      <c r="AC18" s="147">
        <f t="shared" si="12"/>
        <v>1010.6144520768764</v>
      </c>
      <c r="AD18" s="136"/>
      <c r="AE18" s="144" t="s">
        <v>140</v>
      </c>
      <c r="AF18" s="15" t="s">
        <v>23</v>
      </c>
      <c r="AG18" s="16">
        <v>6.1234520109947299</v>
      </c>
      <c r="AH18" s="16">
        <v>0.94754448202141195</v>
      </c>
      <c r="AI18" s="16">
        <v>-6.6132830863083703</v>
      </c>
      <c r="AJ18" s="159">
        <v>-0.51126429003525198</v>
      </c>
      <c r="AK18" s="159">
        <v>0.76498132653906004</v>
      </c>
      <c r="AL18" s="159">
        <v>-1.1551455935044801</v>
      </c>
      <c r="AM18" s="159">
        <v>2.3514198246053399</v>
      </c>
      <c r="AN18" s="159">
        <v>7.3440774614222297</v>
      </c>
      <c r="AO18" s="159">
        <v>6.4431427098731202</v>
      </c>
      <c r="AP18" s="159">
        <v>3.7356149019245302</v>
      </c>
      <c r="AQ18" s="159">
        <v>5.0592137910470996</v>
      </c>
      <c r="AR18" s="39">
        <f>INDEX('Tabla trabajo'!$K$7:$M$40,MATCH(insumos!$AF18,'Tabla trabajo'!$K$7:$K$40,0),MATCH(insumos!AR$3,'Tabla trabajo'!$K$7:$M$7,0))</f>
        <v>3.5</v>
      </c>
      <c r="AS18" s="39">
        <f>INDEX('Tabla trabajo'!$K$7:$M$40,MATCH(insumos!$AF18,'Tabla trabajo'!$K$7:$K$40,0),MATCH(insumos!AS$3,'Tabla trabajo'!$K$7:$M$7,0))</f>
        <v>0</v>
      </c>
      <c r="AT18" s="30"/>
      <c r="AU18" s="162" t="s">
        <v>140</v>
      </c>
      <c r="AV18" s="30">
        <v>6.1234520109947299</v>
      </c>
      <c r="AW18" s="30">
        <v>0.94754448202141195</v>
      </c>
      <c r="AX18" s="30">
        <v>-6.6132830863083703</v>
      </c>
      <c r="AY18" s="30">
        <v>-0.51126429003525198</v>
      </c>
      <c r="AZ18" s="30">
        <v>0.76498132653906004</v>
      </c>
      <c r="BA18" s="30">
        <v>-1.1551455935044801</v>
      </c>
      <c r="BB18" s="30">
        <v>2.3514198246053399</v>
      </c>
      <c r="BC18" s="30">
        <v>7.3440774614222297</v>
      </c>
      <c r="BD18" s="30">
        <v>6.4431427098731202</v>
      </c>
      <c r="BE18" s="30">
        <v>3.7356149019245302</v>
      </c>
      <c r="BF18" s="30">
        <v>5.0592137910470996</v>
      </c>
    </row>
    <row r="19" spans="1:58" x14ac:dyDescent="0.25">
      <c r="A19" s="21" t="s">
        <v>16</v>
      </c>
      <c r="B19" s="23" t="s">
        <v>43</v>
      </c>
      <c r="C19" s="23" t="s">
        <v>81</v>
      </c>
      <c r="D19" s="23" t="s">
        <v>112</v>
      </c>
      <c r="E19" s="23" t="s">
        <v>44</v>
      </c>
      <c r="F19" s="23" t="s">
        <v>82</v>
      </c>
      <c r="G19" s="23" t="s">
        <v>113</v>
      </c>
      <c r="H19" s="23"/>
      <c r="I19" s="23"/>
      <c r="J19" s="23"/>
      <c r="K19" s="23" t="s">
        <v>45</v>
      </c>
      <c r="L19" s="23" t="s">
        <v>38</v>
      </c>
      <c r="M19" s="23"/>
      <c r="O19" s="15" t="s">
        <v>16</v>
      </c>
      <c r="P19" s="147">
        <v>36409.556814921903</v>
      </c>
      <c r="Q19" s="147">
        <f t="shared" si="0"/>
        <v>38704.835894699216</v>
      </c>
      <c r="R19" s="147">
        <f t="shared" si="1"/>
        <v>39974.772481653847</v>
      </c>
      <c r="S19" s="147">
        <f t="shared" si="2"/>
        <v>40185.0569875937</v>
      </c>
      <c r="T19" s="147">
        <f t="shared" si="3"/>
        <v>41338.162171419688</v>
      </c>
      <c r="U19" s="147">
        <f t="shared" si="4"/>
        <v>43058.676795657455</v>
      </c>
      <c r="V19" s="147">
        <f t="shared" si="5"/>
        <v>44337.458010563903</v>
      </c>
      <c r="W19" s="147">
        <f t="shared" si="6"/>
        <v>45976.873495440675</v>
      </c>
      <c r="X19" s="147">
        <f t="shared" si="7"/>
        <v>47896.025958852617</v>
      </c>
      <c r="Y19" s="147">
        <f t="shared" si="8"/>
        <v>49878.942679390333</v>
      </c>
      <c r="Z19" s="147">
        <f t="shared" si="9"/>
        <v>51421.440281711133</v>
      </c>
      <c r="AA19" s="147">
        <f t="shared" si="10"/>
        <v>52840.846086662648</v>
      </c>
      <c r="AB19" s="147">
        <f t="shared" si="11"/>
        <v>54373.230623175863</v>
      </c>
      <c r="AC19" s="147">
        <f t="shared" si="12"/>
        <v>56004.42754187114</v>
      </c>
      <c r="AD19" s="136"/>
      <c r="AE19" s="144" t="s">
        <v>132</v>
      </c>
      <c r="AF19" s="36" t="s">
        <v>16</v>
      </c>
      <c r="AG19" s="16">
        <v>6.3040566284416499</v>
      </c>
      <c r="AH19" s="16">
        <v>3.2810798898867102</v>
      </c>
      <c r="AI19" s="16">
        <v>0.52604303385681594</v>
      </c>
      <c r="AJ19" s="16">
        <v>2.8694874917857698</v>
      </c>
      <c r="AK19" s="16">
        <v>4.1620491426377404</v>
      </c>
      <c r="AL19" s="16">
        <v>2.9698572043333602</v>
      </c>
      <c r="AM19" s="16">
        <v>3.69758564978209</v>
      </c>
      <c r="AN19" s="16">
        <v>4.1741691365818001</v>
      </c>
      <c r="AO19" s="16">
        <v>4.1400443582547704</v>
      </c>
      <c r="AP19" s="16">
        <v>3.0924825576909201</v>
      </c>
      <c r="AQ19" s="16">
        <v>2.7603384836662102</v>
      </c>
      <c r="AR19" s="39">
        <f>INDEX('Tabla trabajo'!$K$7:$M$40,MATCH(insumos!$AF19,'Tabla trabajo'!$K$7:$K$40,0),MATCH(insumos!AR$3,'Tabla trabajo'!$K$7:$M$7,0))</f>
        <v>2.9</v>
      </c>
      <c r="AS19" s="39">
        <f>INDEX('Tabla trabajo'!$K$7:$M$40,MATCH(insumos!$AF19,'Tabla trabajo'!$K$7:$K$40,0),MATCH(insumos!AS$3,'Tabla trabajo'!$K$7:$M$7,0))</f>
        <v>3</v>
      </c>
      <c r="AT19" s="30"/>
      <c r="AU19" s="162" t="s">
        <v>132</v>
      </c>
      <c r="AV19" s="30">
        <v>6.3040566284416499</v>
      </c>
      <c r="AW19" s="30">
        <v>3.2810798898867102</v>
      </c>
      <c r="AX19" s="30">
        <v>0.52604303385681594</v>
      </c>
      <c r="AY19" s="30">
        <v>2.8694874917857698</v>
      </c>
      <c r="AZ19" s="30">
        <v>4.1620491426377404</v>
      </c>
      <c r="BA19" s="30">
        <v>2.9698572043333602</v>
      </c>
      <c r="BB19" s="30">
        <v>3.69758564978209</v>
      </c>
      <c r="BC19" s="30">
        <v>4.1741691365818001</v>
      </c>
      <c r="BD19" s="30">
        <v>4.1400443582547704</v>
      </c>
      <c r="BE19" s="30">
        <v>3.0924825576909201</v>
      </c>
      <c r="BF19" s="30">
        <v>2.7603384836662102</v>
      </c>
    </row>
    <row r="20" spans="1:58" x14ac:dyDescent="0.25">
      <c r="A20" s="21" t="s">
        <v>24</v>
      </c>
      <c r="B20" s="23" t="s">
        <v>43</v>
      </c>
      <c r="C20" s="23" t="s">
        <v>81</v>
      </c>
      <c r="D20" s="23" t="s">
        <v>112</v>
      </c>
      <c r="E20" s="23"/>
      <c r="F20" s="23"/>
      <c r="G20" s="23"/>
      <c r="H20" s="23"/>
      <c r="I20" s="23"/>
      <c r="J20" s="23"/>
      <c r="K20" s="23"/>
      <c r="L20" s="23"/>
      <c r="M20" s="23" t="s">
        <v>36</v>
      </c>
      <c r="O20" s="15" t="s">
        <v>24</v>
      </c>
      <c r="P20" s="147">
        <v>1919.75911403133</v>
      </c>
      <c r="Q20" s="147">
        <f t="shared" si="0"/>
        <v>2057.8119434420364</v>
      </c>
      <c r="R20" s="147">
        <f t="shared" si="1"/>
        <v>2093.9321518017446</v>
      </c>
      <c r="S20" s="147">
        <f t="shared" si="2"/>
        <v>2169.5494407664146</v>
      </c>
      <c r="T20" s="147">
        <f t="shared" si="3"/>
        <v>2259.3403205408804</v>
      </c>
      <c r="U20" s="147">
        <f t="shared" si="4"/>
        <v>2376.7372106643402</v>
      </c>
      <c r="V20" s="147">
        <f t="shared" si="5"/>
        <v>2502.1438803514225</v>
      </c>
      <c r="W20" s="147">
        <f t="shared" si="6"/>
        <v>2627.6943437683235</v>
      </c>
      <c r="X20" s="147">
        <f t="shared" si="7"/>
        <v>2730.1282058936663</v>
      </c>
      <c r="Y20" s="147">
        <f t="shared" si="8"/>
        <v>2813.5304259408481</v>
      </c>
      <c r="Z20" s="147">
        <f t="shared" si="9"/>
        <v>2908.1552408271018</v>
      </c>
      <c r="AA20" s="147">
        <f t="shared" si="10"/>
        <v>2971.3789595597068</v>
      </c>
      <c r="AB20" s="147">
        <f t="shared" si="11"/>
        <v>3060.520328346498</v>
      </c>
      <c r="AC20" s="147">
        <f t="shared" si="12"/>
        <v>3060.520328346498</v>
      </c>
      <c r="AD20" s="136"/>
      <c r="AE20" s="144" t="s">
        <v>141</v>
      </c>
      <c r="AF20" s="36" t="s">
        <v>24</v>
      </c>
      <c r="AG20" s="16">
        <v>7.19115374432615</v>
      </c>
      <c r="AH20" s="16">
        <v>1.75527255903136</v>
      </c>
      <c r="AI20" s="16">
        <v>3.6112578384932101</v>
      </c>
      <c r="AJ20" s="16">
        <v>4.1386878808692398</v>
      </c>
      <c r="AK20" s="16">
        <v>5.1960693595445298</v>
      </c>
      <c r="AL20" s="16">
        <v>5.2764213529534096</v>
      </c>
      <c r="AM20" s="16">
        <v>5.0177155839362699</v>
      </c>
      <c r="AN20" s="16">
        <v>3.8982411469685698</v>
      </c>
      <c r="AO20" s="16">
        <v>3.0548829123532499</v>
      </c>
      <c r="AP20" s="16">
        <v>3.3632056726243098</v>
      </c>
      <c r="AQ20" s="16">
        <v>2.1740145727098001</v>
      </c>
      <c r="AR20" s="39">
        <f>INDEX('Tabla trabajo'!$K$7:$M$40,MATCH(insumos!$AF20,'Tabla trabajo'!$K$7:$K$40,0),MATCH(insumos!AR$3,'Tabla trabajo'!$K$7:$M$7,0))</f>
        <v>3</v>
      </c>
      <c r="AS20" s="39">
        <f>INDEX('Tabla trabajo'!$K$7:$M$40,MATCH(insumos!$AF20,'Tabla trabajo'!$K$7:$K$40,0),MATCH(insumos!AS$3,'Tabla trabajo'!$K$7:$M$7,0))</f>
        <v>0</v>
      </c>
      <c r="AT20" s="30"/>
      <c r="AU20" s="162" t="s">
        <v>141</v>
      </c>
      <c r="AV20" s="30">
        <v>7.19115374432615</v>
      </c>
      <c r="AW20" s="30">
        <v>1.75527255903136</v>
      </c>
      <c r="AX20" s="30">
        <v>3.6112578384932101</v>
      </c>
      <c r="AY20" s="30">
        <v>4.1386878808692398</v>
      </c>
      <c r="AZ20" s="30">
        <v>5.1960693595445298</v>
      </c>
      <c r="BA20" s="30">
        <v>5.2764213529534096</v>
      </c>
      <c r="BB20" s="30">
        <v>5.0177155839362699</v>
      </c>
      <c r="BC20" s="30">
        <v>3.8982411469685698</v>
      </c>
      <c r="BD20" s="30">
        <v>3.0548829123532499</v>
      </c>
      <c r="BE20" s="30">
        <v>3.3632056726243098</v>
      </c>
      <c r="BF20" s="30">
        <v>2.1740145727098001</v>
      </c>
    </row>
    <row r="21" spans="1:58" x14ac:dyDescent="0.25">
      <c r="A21" s="21" t="s">
        <v>18</v>
      </c>
      <c r="B21" s="23" t="s">
        <v>43</v>
      </c>
      <c r="C21" s="23" t="s">
        <v>81</v>
      </c>
      <c r="D21" s="23" t="s">
        <v>112</v>
      </c>
      <c r="E21" s="23" t="s">
        <v>44</v>
      </c>
      <c r="F21" s="23" t="s">
        <v>82</v>
      </c>
      <c r="G21" s="23" t="s">
        <v>113</v>
      </c>
      <c r="H21" s="23"/>
      <c r="I21" s="23"/>
      <c r="J21" s="23"/>
      <c r="K21" s="23" t="s">
        <v>45</v>
      </c>
      <c r="L21" s="23" t="s">
        <v>38</v>
      </c>
      <c r="M21" s="23"/>
      <c r="O21" s="15" t="s">
        <v>18</v>
      </c>
      <c r="P21" s="147">
        <v>6607.1835307778101</v>
      </c>
      <c r="Q21" s="147">
        <f t="shared" si="0"/>
        <v>6828.0801112192385</v>
      </c>
      <c r="R21" s="147">
        <f t="shared" si="1"/>
        <v>6885.7053061170018</v>
      </c>
      <c r="S21" s="147">
        <f t="shared" si="2"/>
        <v>7098.0086557403429</v>
      </c>
      <c r="T21" s="147">
        <f t="shared" si="3"/>
        <v>6707.7748797660115</v>
      </c>
      <c r="U21" s="147">
        <f t="shared" si="4"/>
        <v>7078.2947732753173</v>
      </c>
      <c r="V21" s="147">
        <f t="shared" si="5"/>
        <v>7282.5103762463405</v>
      </c>
      <c r="W21" s="147">
        <f t="shared" si="6"/>
        <v>7590.8557173659528</v>
      </c>
      <c r="X21" s="147">
        <f t="shared" si="7"/>
        <v>7804.1700353208344</v>
      </c>
      <c r="Y21" s="147">
        <f t="shared" si="8"/>
        <v>7898.6955743197959</v>
      </c>
      <c r="Z21" s="147">
        <f t="shared" si="9"/>
        <v>8013.4404799495533</v>
      </c>
      <c r="AA21" s="147">
        <f t="shared" si="10"/>
        <v>8107.4605347827464</v>
      </c>
      <c r="AB21" s="147">
        <f t="shared" si="11"/>
        <v>8253.3948244088351</v>
      </c>
      <c r="AC21" s="147">
        <f t="shared" si="12"/>
        <v>8418.4627208970123</v>
      </c>
      <c r="AD21" s="136"/>
      <c r="AE21" s="144" t="s">
        <v>133</v>
      </c>
      <c r="AF21" s="36" t="s">
        <v>18</v>
      </c>
      <c r="AG21" s="16">
        <v>3.3432790146125102</v>
      </c>
      <c r="AH21" s="16">
        <v>0.843944329286339</v>
      </c>
      <c r="AI21" s="16">
        <v>3.0832476875642501</v>
      </c>
      <c r="AJ21" s="16">
        <v>-5.4977923372739097</v>
      </c>
      <c r="AK21" s="16">
        <v>5.5237377543330801</v>
      </c>
      <c r="AL21" s="16">
        <v>2.88509605084626</v>
      </c>
      <c r="AM21" s="16">
        <v>4.2340528909557804</v>
      </c>
      <c r="AN21" s="16">
        <v>2.8101484983685401</v>
      </c>
      <c r="AO21" s="16">
        <v>1.2112183431569199</v>
      </c>
      <c r="AP21" s="16">
        <v>1.45270702675029</v>
      </c>
      <c r="AQ21" s="16">
        <v>1.17327950545638</v>
      </c>
      <c r="AR21" s="39">
        <f>INDEX('Tabla trabajo'!$K$7:$M$40,MATCH(insumos!$AF21,'Tabla trabajo'!$K$7:$K$40,0),MATCH(insumos!AR$3,'Tabla trabajo'!$K$7:$M$7,0))</f>
        <v>1.8</v>
      </c>
      <c r="AS21" s="39">
        <f>INDEX('Tabla trabajo'!$K$7:$M$40,MATCH(insumos!$AF21,'Tabla trabajo'!$K$7:$K$40,0),MATCH(insumos!AS$3,'Tabla trabajo'!$K$7:$M$7,0))</f>
        <v>2</v>
      </c>
      <c r="AT21" s="30"/>
      <c r="AU21" s="162" t="s">
        <v>133</v>
      </c>
      <c r="AV21" s="30">
        <v>3.3432790146125102</v>
      </c>
      <c r="AW21" s="30">
        <v>0.843944329286339</v>
      </c>
      <c r="AX21" s="30">
        <v>3.0832476875642501</v>
      </c>
      <c r="AY21" s="30">
        <v>-5.4977923372739097</v>
      </c>
      <c r="AZ21" s="30">
        <v>5.5237377543330801</v>
      </c>
      <c r="BA21" s="30">
        <v>2.88509605084626</v>
      </c>
      <c r="BB21" s="30">
        <v>4.2340528909557804</v>
      </c>
      <c r="BC21" s="30">
        <v>2.8101484983685401</v>
      </c>
      <c r="BD21" s="30">
        <v>1.2112183431569199</v>
      </c>
      <c r="BE21" s="30">
        <v>1.45270702675029</v>
      </c>
      <c r="BF21" s="30">
        <v>1.17327950545638</v>
      </c>
    </row>
    <row r="22" spans="1:58" x14ac:dyDescent="0.25">
      <c r="A22" s="21" t="s">
        <v>19</v>
      </c>
      <c r="B22" s="23" t="s">
        <v>43</v>
      </c>
      <c r="C22" s="23" t="s">
        <v>81</v>
      </c>
      <c r="D22" s="23" t="s">
        <v>112</v>
      </c>
      <c r="E22" s="23" t="s">
        <v>44</v>
      </c>
      <c r="F22" s="23" t="s">
        <v>82</v>
      </c>
      <c r="G22" s="23" t="s">
        <v>113</v>
      </c>
      <c r="H22" s="23"/>
      <c r="I22" s="23"/>
      <c r="J22" s="23"/>
      <c r="K22" s="23" t="s">
        <v>45</v>
      </c>
      <c r="L22" s="23" t="s">
        <v>38</v>
      </c>
      <c r="M22" s="23"/>
      <c r="O22" s="15" t="s">
        <v>19</v>
      </c>
      <c r="P22" s="147">
        <v>14139.785190677099</v>
      </c>
      <c r="Q22" s="147">
        <f t="shared" si="0"/>
        <v>15014.80135895612</v>
      </c>
      <c r="R22" s="147">
        <f t="shared" si="1"/>
        <v>15650.167709792013</v>
      </c>
      <c r="S22" s="147">
        <f t="shared" si="2"/>
        <v>15269.613868512717</v>
      </c>
      <c r="T22" s="147">
        <f t="shared" si="3"/>
        <v>15839.344591984214</v>
      </c>
      <c r="U22" s="147">
        <f t="shared" si="4"/>
        <v>16446.892853432844</v>
      </c>
      <c r="V22" s="147">
        <f t="shared" si="5"/>
        <v>17125.93370370931</v>
      </c>
      <c r="W22" s="147">
        <f t="shared" si="6"/>
        <v>17604.014377072705</v>
      </c>
      <c r="X22" s="147">
        <f t="shared" si="7"/>
        <v>18142.359318894945</v>
      </c>
      <c r="Y22" s="147">
        <f t="shared" si="8"/>
        <v>18839.040425355714</v>
      </c>
      <c r="Z22" s="147">
        <f t="shared" si="9"/>
        <v>19545.909275275721</v>
      </c>
      <c r="AA22" s="147">
        <f t="shared" si="10"/>
        <v>20481.239263294996</v>
      </c>
      <c r="AB22" s="147">
        <f t="shared" si="11"/>
        <v>21218.563876773616</v>
      </c>
      <c r="AC22" s="147">
        <f t="shared" si="12"/>
        <v>22003.650740214238</v>
      </c>
      <c r="AD22" s="136"/>
      <c r="AE22" s="144" t="s">
        <v>134</v>
      </c>
      <c r="AF22" s="36" t="s">
        <v>19</v>
      </c>
      <c r="AG22" s="16">
        <v>6.1883271667801099</v>
      </c>
      <c r="AH22" s="16">
        <v>4.2316001100934004</v>
      </c>
      <c r="AI22" s="16">
        <v>-2.4316278798801099</v>
      </c>
      <c r="AJ22" s="16">
        <v>3.7311403443300599</v>
      </c>
      <c r="AK22" s="16">
        <v>3.8356906620750499</v>
      </c>
      <c r="AL22" s="16">
        <v>4.1286877486694102</v>
      </c>
      <c r="AM22" s="16">
        <v>2.79155975746799</v>
      </c>
      <c r="AN22" s="16">
        <v>3.0580805621436902</v>
      </c>
      <c r="AO22" s="16">
        <v>3.8400799709395401</v>
      </c>
      <c r="AP22" s="16">
        <v>3.7521489097110501</v>
      </c>
      <c r="AQ22" s="16">
        <v>4.7852979098926198</v>
      </c>
      <c r="AR22" s="39">
        <f>INDEX('Tabla trabajo'!$K$7:$M$40,MATCH(insumos!$AF22,'Tabla trabajo'!$K$7:$K$40,0),MATCH(insumos!AR$3,'Tabla trabajo'!$K$7:$M$7,0))</f>
        <v>3.6</v>
      </c>
      <c r="AS22" s="39">
        <f>INDEX('Tabla trabajo'!$K$7:$M$40,MATCH(insumos!$AF22,'Tabla trabajo'!$K$7:$K$40,0),MATCH(insumos!AS$3,'Tabla trabajo'!$K$7:$M$7,0))</f>
        <v>3.7</v>
      </c>
      <c r="AT22" s="30"/>
      <c r="AU22" s="162" t="s">
        <v>134</v>
      </c>
      <c r="AV22" s="30">
        <v>6.1883271667801099</v>
      </c>
      <c r="AW22" s="30">
        <v>4.2316001100934004</v>
      </c>
      <c r="AX22" s="30">
        <v>-2.4316278798801099</v>
      </c>
      <c r="AY22" s="30">
        <v>3.7311403443300599</v>
      </c>
      <c r="AZ22" s="30">
        <v>3.8356906620750499</v>
      </c>
      <c r="BA22" s="30">
        <v>4.1286877486694102</v>
      </c>
      <c r="BB22" s="30">
        <v>2.79155975746799</v>
      </c>
      <c r="BC22" s="30">
        <v>3.0580805621436902</v>
      </c>
      <c r="BD22" s="30">
        <v>3.8400799709395401</v>
      </c>
      <c r="BE22" s="30">
        <v>3.7521489097110501</v>
      </c>
      <c r="BF22" s="30">
        <v>4.7852979098926198</v>
      </c>
    </row>
    <row r="23" spans="1:58" x14ac:dyDescent="0.25">
      <c r="A23" s="21" t="s">
        <v>26</v>
      </c>
      <c r="B23" s="23" t="s">
        <v>43</v>
      </c>
      <c r="C23" s="23" t="s">
        <v>81</v>
      </c>
      <c r="D23" s="23" t="s">
        <v>112</v>
      </c>
      <c r="E23" s="23"/>
      <c r="F23" s="23"/>
      <c r="G23" s="23"/>
      <c r="H23" s="23"/>
      <c r="I23" s="23"/>
      <c r="J23" s="23"/>
      <c r="K23" s="23"/>
      <c r="L23" s="23"/>
      <c r="M23" s="23" t="s">
        <v>36</v>
      </c>
      <c r="O23" s="15" t="s">
        <v>26</v>
      </c>
      <c r="P23" s="147">
        <v>12071.672045359701</v>
      </c>
      <c r="Q23" s="147">
        <f t="shared" si="0"/>
        <v>14139.126940351367</v>
      </c>
      <c r="R23" s="147">
        <f t="shared" si="1"/>
        <v>14024.354457453066</v>
      </c>
      <c r="S23" s="147">
        <f t="shared" si="2"/>
        <v>13416.183228696944</v>
      </c>
      <c r="T23" s="147">
        <f t="shared" si="3"/>
        <v>13219.462330898526</v>
      </c>
      <c r="U23" s="147">
        <f t="shared" si="4"/>
        <v>13448.352731136794</v>
      </c>
      <c r="V23" s="147">
        <f t="shared" si="5"/>
        <v>13364.440619561683</v>
      </c>
      <c r="W23" s="147">
        <f t="shared" si="6"/>
        <v>13431.094551415958</v>
      </c>
      <c r="X23" s="147">
        <f t="shared" si="7"/>
        <v>13522.79758963655</v>
      </c>
      <c r="Y23" s="147">
        <f t="shared" si="8"/>
        <v>13643.509057600668</v>
      </c>
      <c r="Z23" s="147">
        <f t="shared" si="9"/>
        <v>13830.906387446295</v>
      </c>
      <c r="AA23" s="147">
        <f t="shared" si="10"/>
        <v>13900.060919383526</v>
      </c>
      <c r="AB23" s="147">
        <f t="shared" si="11"/>
        <v>14080.76171133551</v>
      </c>
      <c r="AC23" s="147">
        <f t="shared" si="12"/>
        <v>14080.76171133551</v>
      </c>
      <c r="AD23" s="136"/>
      <c r="AE23" s="144" t="s">
        <v>142</v>
      </c>
      <c r="AF23" s="36" t="s">
        <v>26</v>
      </c>
      <c r="AG23" s="16">
        <v>17.1264998520763</v>
      </c>
      <c r="AH23" s="16">
        <v>-0.81173670328084102</v>
      </c>
      <c r="AI23" s="16">
        <v>-4.3365363489719604</v>
      </c>
      <c r="AJ23" s="159">
        <v>-1.4662955510151101</v>
      </c>
      <c r="AK23" s="159">
        <v>1.7314652783061399</v>
      </c>
      <c r="AL23" s="159">
        <v>-0.62395828881577398</v>
      </c>
      <c r="AM23" s="159">
        <v>0.498740903204831</v>
      </c>
      <c r="AN23" s="159">
        <v>0.68276667898912202</v>
      </c>
      <c r="AO23" s="159">
        <v>0.89265159197995403</v>
      </c>
      <c r="AP23" s="159">
        <v>1.3735273605526701</v>
      </c>
      <c r="AQ23" s="159">
        <v>0.5</v>
      </c>
      <c r="AR23" s="39">
        <f>INDEX('Tabla trabajo'!$K$7:$M$40,MATCH(insumos!$AF23,'Tabla trabajo'!$K$7:$K$40,0),MATCH(insumos!AR$3,'Tabla trabajo'!$K$7:$M$7,0))</f>
        <v>1.3</v>
      </c>
      <c r="AS23" s="39">
        <f>INDEX('Tabla trabajo'!$K$7:$M$40,MATCH(insumos!$AF23,'Tabla trabajo'!$K$7:$K$40,0),MATCH(insumos!AS$3,'Tabla trabajo'!$K$7:$M$7,0))</f>
        <v>0</v>
      </c>
      <c r="AT23" s="30"/>
      <c r="AU23" s="162" t="s">
        <v>142</v>
      </c>
      <c r="AV23" s="30">
        <v>17.1264998520763</v>
      </c>
      <c r="AW23" s="30">
        <v>-0.81173670328084102</v>
      </c>
      <c r="AX23" s="30">
        <v>-4.3365363489719604</v>
      </c>
      <c r="AY23" s="30">
        <v>-1.4662955510151101</v>
      </c>
      <c r="AZ23" s="30">
        <v>1.7314652783061399</v>
      </c>
      <c r="BA23" s="30">
        <v>-0.62395828881577398</v>
      </c>
      <c r="BB23" s="30">
        <v>0.498740903204831</v>
      </c>
      <c r="BC23" s="30">
        <v>0.68276667898912202</v>
      </c>
      <c r="BD23" s="30">
        <v>0.89265159197995403</v>
      </c>
      <c r="BE23" s="30">
        <v>1.3735273605526701</v>
      </c>
      <c r="BF23" s="30">
        <v>0.50000000000001199</v>
      </c>
    </row>
    <row r="24" spans="1:58" x14ac:dyDescent="0.25">
      <c r="A24" s="21" t="s">
        <v>12</v>
      </c>
      <c r="B24" s="23" t="s">
        <v>43</v>
      </c>
      <c r="C24" s="23" t="s">
        <v>81</v>
      </c>
      <c r="D24" s="23" t="s">
        <v>112</v>
      </c>
      <c r="E24" s="23" t="s">
        <v>44</v>
      </c>
      <c r="F24" s="23" t="s">
        <v>82</v>
      </c>
      <c r="G24" s="23" t="s">
        <v>113</v>
      </c>
      <c r="H24" s="23"/>
      <c r="I24" s="23"/>
      <c r="J24" s="23"/>
      <c r="K24" s="23" t="s">
        <v>45</v>
      </c>
      <c r="L24" s="23"/>
      <c r="M24" s="23"/>
      <c r="O24" s="15" t="s">
        <v>12</v>
      </c>
      <c r="P24" s="147">
        <v>1026911.98236511</v>
      </c>
      <c r="Q24" s="147">
        <f t="shared" si="0"/>
        <v>1050443.1130453944</v>
      </c>
      <c r="R24" s="147">
        <f t="shared" si="1"/>
        <v>1062455.8185118469</v>
      </c>
      <c r="S24" s="147">
        <f t="shared" si="2"/>
        <v>1006297.1223785804</v>
      </c>
      <c r="T24" s="147">
        <f t="shared" si="3"/>
        <v>1057800.5979736552</v>
      </c>
      <c r="U24" s="147">
        <f t="shared" si="4"/>
        <v>1096547.9177557386</v>
      </c>
      <c r="V24" s="147">
        <f t="shared" si="5"/>
        <v>1136487.7312547921</v>
      </c>
      <c r="W24" s="147">
        <f t="shared" si="6"/>
        <v>1151876.8202673378</v>
      </c>
      <c r="X24" s="147">
        <f t="shared" si="7"/>
        <v>1184179.3641676139</v>
      </c>
      <c r="Y24" s="147">
        <f t="shared" si="8"/>
        <v>1223115.0821824556</v>
      </c>
      <c r="Z24" s="147">
        <f t="shared" si="9"/>
        <v>1258559.2396342154</v>
      </c>
      <c r="AA24" s="147">
        <f t="shared" si="10"/>
        <v>1284252.3443768192</v>
      </c>
      <c r="AB24" s="147">
        <f t="shared" si="11"/>
        <v>1312505.8959531093</v>
      </c>
      <c r="AC24" s="147">
        <f t="shared" si="12"/>
        <v>1342693.5315600305</v>
      </c>
      <c r="AD24" s="136"/>
      <c r="AE24" s="144" t="s">
        <v>124</v>
      </c>
      <c r="AF24" s="36" t="s">
        <v>12</v>
      </c>
      <c r="AG24" s="16">
        <v>2.2914457211891999</v>
      </c>
      <c r="AH24" s="16">
        <v>1.1435845803801701</v>
      </c>
      <c r="AI24" s="16">
        <v>-5.2857441368175202</v>
      </c>
      <c r="AJ24" s="16">
        <v>5.1181181432116398</v>
      </c>
      <c r="AK24" s="16">
        <v>3.6630079295009401</v>
      </c>
      <c r="AL24" s="16">
        <v>3.64232267941347</v>
      </c>
      <c r="AM24" s="16">
        <v>1.3540919615167899</v>
      </c>
      <c r="AN24" s="16">
        <v>2.8043401283809999</v>
      </c>
      <c r="AO24" s="16">
        <v>3.2879915993309301</v>
      </c>
      <c r="AP24" s="16">
        <v>2.8978595692332698</v>
      </c>
      <c r="AQ24" s="16">
        <v>2.0414696371440701</v>
      </c>
      <c r="AR24" s="39">
        <f>INDEX('Tabla trabajo'!$K$7:$M$40,MATCH(insumos!$AF24,'Tabla trabajo'!$K$7:$K$40,0),MATCH(insumos!AR$3,'Tabla trabajo'!$K$7:$M$7,0))</f>
        <v>2.2000000000000002</v>
      </c>
      <c r="AS24" s="39">
        <f>INDEX('Tabla trabajo'!$K$7:$M$40,MATCH(insumos!$AF24,'Tabla trabajo'!$K$7:$K$40,0),MATCH(insumos!AS$3,'Tabla trabajo'!$K$7:$M$7,0))</f>
        <v>2.2999999999999998</v>
      </c>
      <c r="AT24" s="30"/>
      <c r="AU24" s="162" t="s">
        <v>124</v>
      </c>
      <c r="AV24" s="30">
        <v>2.2914457211891999</v>
      </c>
      <c r="AW24" s="30">
        <v>1.1435845803801701</v>
      </c>
      <c r="AX24" s="30">
        <v>-5.2857441368175202</v>
      </c>
      <c r="AY24" s="30">
        <v>5.1181181432116398</v>
      </c>
      <c r="AZ24" s="30">
        <v>3.6630079295009401</v>
      </c>
      <c r="BA24" s="30">
        <v>3.64232267941347</v>
      </c>
      <c r="BB24" s="30">
        <v>1.3540919615167899</v>
      </c>
      <c r="BC24" s="30">
        <v>2.8043401283809999</v>
      </c>
      <c r="BD24" s="30">
        <v>3.2879915993309301</v>
      </c>
      <c r="BE24" s="30">
        <v>2.8978595692332698</v>
      </c>
      <c r="BF24" s="30">
        <v>2.0414696371440701</v>
      </c>
    </row>
    <row r="25" spans="1:58" x14ac:dyDescent="0.25">
      <c r="A25" s="21" t="s">
        <v>21</v>
      </c>
      <c r="B25" s="23" t="s">
        <v>43</v>
      </c>
      <c r="C25" s="23" t="s">
        <v>81</v>
      </c>
      <c r="D25" s="23" t="s">
        <v>112</v>
      </c>
      <c r="E25" s="23" t="s">
        <v>44</v>
      </c>
      <c r="F25" s="23" t="s">
        <v>82</v>
      </c>
      <c r="G25" s="23" t="s">
        <v>113</v>
      </c>
      <c r="H25" s="23"/>
      <c r="I25" s="23"/>
      <c r="J25" s="23"/>
      <c r="K25" s="23" t="s">
        <v>45</v>
      </c>
      <c r="L25" s="23" t="s">
        <v>38</v>
      </c>
      <c r="M25" s="23"/>
      <c r="O25" s="15" t="s">
        <v>21</v>
      </c>
      <c r="P25" s="147">
        <v>7981.0006227416097</v>
      </c>
      <c r="Q25" s="147">
        <f t="shared" si="0"/>
        <v>8386.144308025081</v>
      </c>
      <c r="R25" s="147">
        <f t="shared" si="1"/>
        <v>8674.2684865642041</v>
      </c>
      <c r="S25" s="147">
        <f t="shared" si="2"/>
        <v>8388.6538731604433</v>
      </c>
      <c r="T25" s="147">
        <f t="shared" si="3"/>
        <v>8758.6018206271183</v>
      </c>
      <c r="U25" s="147">
        <f t="shared" si="4"/>
        <v>9311.8551572495089</v>
      </c>
      <c r="V25" s="147">
        <f t="shared" si="5"/>
        <v>9916.7659782849314</v>
      </c>
      <c r="W25" s="147">
        <f t="shared" si="6"/>
        <v>10405.374370381898</v>
      </c>
      <c r="X25" s="147">
        <f t="shared" si="7"/>
        <v>10903.319415331265</v>
      </c>
      <c r="Y25" s="147">
        <f t="shared" si="8"/>
        <v>11423.256064441122</v>
      </c>
      <c r="Z25" s="147">
        <f t="shared" si="9"/>
        <v>11955.438059530103</v>
      </c>
      <c r="AA25" s="147">
        <f t="shared" si="10"/>
        <v>12536.603261282689</v>
      </c>
      <c r="AB25" s="147">
        <f t="shared" si="11"/>
        <v>12411.237228669863</v>
      </c>
      <c r="AC25" s="147">
        <f t="shared" si="12"/>
        <v>12411.237228669863</v>
      </c>
      <c r="AD25" s="136"/>
      <c r="AE25" s="144" t="s">
        <v>135</v>
      </c>
      <c r="AF25" s="36" t="s">
        <v>21</v>
      </c>
      <c r="AG25" s="16">
        <v>5.0763520069028401</v>
      </c>
      <c r="AH25" s="16">
        <v>3.4357169153815401</v>
      </c>
      <c r="AI25" s="16">
        <v>-3.2926651261274298</v>
      </c>
      <c r="AJ25" s="16">
        <v>4.4100990821700901</v>
      </c>
      <c r="AK25" s="16">
        <v>6.3166855618375104</v>
      </c>
      <c r="AL25" s="16">
        <v>6.4961364928929797</v>
      </c>
      <c r="AM25" s="16">
        <v>4.9270941067570702</v>
      </c>
      <c r="AN25" s="16">
        <v>4.78546015957608</v>
      </c>
      <c r="AO25" s="16">
        <v>4.7686087998006297</v>
      </c>
      <c r="AP25" s="16">
        <v>4.6587592196727803</v>
      </c>
      <c r="AQ25" s="16">
        <v>4.8610950001059896</v>
      </c>
      <c r="AR25" s="39">
        <f>INDEX('Tabla trabajo'!$K$7:$M$40,MATCH(insumos!$AF25,'Tabla trabajo'!$K$7:$K$40,0),MATCH(insumos!AR$3,'Tabla trabajo'!$K$7:$M$7,0))</f>
        <v>-1</v>
      </c>
      <c r="AS25" s="39">
        <f>INDEX('Tabla trabajo'!$K$7:$M$40,MATCH(insumos!$AF25,'Tabla trabajo'!$K$7:$K$40,0),MATCH(insumos!AS$3,'Tabla trabajo'!$K$7:$M$7,0))</f>
        <v>0</v>
      </c>
      <c r="AT25" s="30"/>
      <c r="AU25" s="162" t="s">
        <v>135</v>
      </c>
      <c r="AV25" s="30">
        <v>5.0763520069028401</v>
      </c>
      <c r="AW25" s="30">
        <v>3.4357169153815401</v>
      </c>
      <c r="AX25" s="30">
        <v>-3.2926651261274298</v>
      </c>
      <c r="AY25" s="30">
        <v>4.4100990821700901</v>
      </c>
      <c r="AZ25" s="30">
        <v>6.3166855618375104</v>
      </c>
      <c r="BA25" s="30">
        <v>6.4961364928929797</v>
      </c>
      <c r="BB25" s="30">
        <v>4.9270941067570702</v>
      </c>
      <c r="BC25" s="30">
        <v>4.78546015957608</v>
      </c>
      <c r="BD25" s="30">
        <v>4.7686087998006297</v>
      </c>
      <c r="BE25" s="30">
        <v>4.6587592196727803</v>
      </c>
      <c r="BF25" s="30">
        <v>4.8610950001059896</v>
      </c>
    </row>
    <row r="26" spans="1:58" x14ac:dyDescent="0.25">
      <c r="A26" s="21" t="s">
        <v>22</v>
      </c>
      <c r="B26" s="23" t="s">
        <v>43</v>
      </c>
      <c r="C26" s="23" t="s">
        <v>81</v>
      </c>
      <c r="D26" s="23" t="s">
        <v>112</v>
      </c>
      <c r="E26" s="23" t="s">
        <v>44</v>
      </c>
      <c r="F26" s="23" t="s">
        <v>82</v>
      </c>
      <c r="G26" s="23" t="s">
        <v>113</v>
      </c>
      <c r="H26" s="23"/>
      <c r="I26" s="23"/>
      <c r="J26" s="23"/>
      <c r="K26" s="23" t="s">
        <v>45</v>
      </c>
      <c r="L26" s="23" t="s">
        <v>38</v>
      </c>
      <c r="M26" s="23"/>
      <c r="O26" s="15" t="s">
        <v>22</v>
      </c>
      <c r="P26" s="147">
        <v>22099.713906445599</v>
      </c>
      <c r="Q26" s="147">
        <f t="shared" si="0"/>
        <v>24776.577393151547</v>
      </c>
      <c r="R26" s="147">
        <f t="shared" si="1"/>
        <v>26910.248535004506</v>
      </c>
      <c r="S26" s="147">
        <f t="shared" si="2"/>
        <v>27340.370935586368</v>
      </c>
      <c r="T26" s="147">
        <f t="shared" si="3"/>
        <v>28917.185793234956</v>
      </c>
      <c r="U26" s="147">
        <f t="shared" si="4"/>
        <v>32331.74616122252</v>
      </c>
      <c r="V26" s="147">
        <f t="shared" si="5"/>
        <v>35315.950894301866</v>
      </c>
      <c r="W26" s="147">
        <f t="shared" si="6"/>
        <v>38711.117215720944</v>
      </c>
      <c r="X26" s="147">
        <f t="shared" si="7"/>
        <v>40672.459763376661</v>
      </c>
      <c r="Y26" s="147">
        <f t="shared" si="8"/>
        <v>42940.260392946679</v>
      </c>
      <c r="Z26" s="147">
        <f t="shared" si="9"/>
        <v>45082.374947226679</v>
      </c>
      <c r="AA26" s="147">
        <f t="shared" si="10"/>
        <v>47497.221925850332</v>
      </c>
      <c r="AB26" s="147">
        <f t="shared" si="11"/>
        <v>49777.08857829115</v>
      </c>
      <c r="AC26" s="147">
        <f t="shared" si="12"/>
        <v>52415.27427294058</v>
      </c>
      <c r="AD26" s="136"/>
      <c r="AE26" s="144" t="s">
        <v>136</v>
      </c>
      <c r="AF26" s="36" t="s">
        <v>22</v>
      </c>
      <c r="AG26" s="16">
        <v>12.112661268095501</v>
      </c>
      <c r="AH26" s="16">
        <v>8.6116460235654806</v>
      </c>
      <c r="AI26" s="16">
        <v>1.59835907878132</v>
      </c>
      <c r="AJ26" s="16">
        <v>5.7673499067132203</v>
      </c>
      <c r="AK26" s="16">
        <v>11.808065945291199</v>
      </c>
      <c r="AL26" s="16">
        <v>9.2299522524969202</v>
      </c>
      <c r="AM26" s="16">
        <v>9.61369079819079</v>
      </c>
      <c r="AN26" s="16">
        <v>5.0666131300886299</v>
      </c>
      <c r="AO26" s="16">
        <v>5.5757646396691598</v>
      </c>
      <c r="AP26" s="16">
        <v>4.9885923715354599</v>
      </c>
      <c r="AQ26" s="16">
        <v>5.3565212157754996</v>
      </c>
      <c r="AR26" s="39">
        <f>INDEX('Tabla trabajo'!$K$7:$M$40,MATCH(insumos!$AF26,'Tabla trabajo'!$K$7:$K$40,0),MATCH(insumos!AR$3,'Tabla trabajo'!$K$7:$M$7,0))</f>
        <v>4.8</v>
      </c>
      <c r="AS26" s="39">
        <f>INDEX('Tabla trabajo'!$K$7:$M$40,MATCH(insumos!$AF26,'Tabla trabajo'!$K$7:$K$40,0),MATCH(insumos!AS$3,'Tabla trabajo'!$K$7:$M$7,0))</f>
        <v>5.3</v>
      </c>
      <c r="AT26" s="30"/>
      <c r="AU26" s="162" t="s">
        <v>136</v>
      </c>
      <c r="AV26" s="30">
        <v>12.112661268095501</v>
      </c>
      <c r="AW26" s="30">
        <v>8.6116460235654806</v>
      </c>
      <c r="AX26" s="30">
        <v>1.59835907878132</v>
      </c>
      <c r="AY26" s="30">
        <v>5.7673499067132203</v>
      </c>
      <c r="AZ26" s="30">
        <v>11.808065945291199</v>
      </c>
      <c r="BA26" s="30">
        <v>9.2299522524969202</v>
      </c>
      <c r="BB26" s="30">
        <v>9.61369079819079</v>
      </c>
      <c r="BC26" s="30">
        <v>5.0666131300886299</v>
      </c>
      <c r="BD26" s="30">
        <v>5.5757646396691598</v>
      </c>
      <c r="BE26" s="30">
        <v>4.9885923715354599</v>
      </c>
      <c r="BF26" s="30">
        <v>5.3565212157754996</v>
      </c>
    </row>
    <row r="27" spans="1:58" x14ac:dyDescent="0.25">
      <c r="A27" s="21" t="s">
        <v>13</v>
      </c>
      <c r="B27" s="23" t="s">
        <v>43</v>
      </c>
      <c r="C27" s="23" t="s">
        <v>81</v>
      </c>
      <c r="D27" s="23" t="s">
        <v>112</v>
      </c>
      <c r="E27" s="23" t="s">
        <v>44</v>
      </c>
      <c r="F27" s="23" t="s">
        <v>82</v>
      </c>
      <c r="G27" s="23" t="s">
        <v>113</v>
      </c>
      <c r="H27" s="23" t="s">
        <v>37</v>
      </c>
      <c r="I27" s="23" t="s">
        <v>83</v>
      </c>
      <c r="J27" s="23" t="s">
        <v>111</v>
      </c>
      <c r="K27" s="23"/>
      <c r="L27" s="23"/>
      <c r="M27" s="23"/>
      <c r="O27" s="15" t="s">
        <v>13</v>
      </c>
      <c r="P27" s="147">
        <v>21914.1420095299</v>
      </c>
      <c r="Q27" s="147">
        <f t="shared" si="0"/>
        <v>23102.244144965411</v>
      </c>
      <c r="R27" s="147">
        <f t="shared" si="1"/>
        <v>24571.343756094622</v>
      </c>
      <c r="S27" s="147">
        <f t="shared" si="2"/>
        <v>24507.956708323316</v>
      </c>
      <c r="T27" s="147">
        <f t="shared" si="3"/>
        <v>27239.058652377054</v>
      </c>
      <c r="U27" s="147">
        <f t="shared" si="4"/>
        <v>28396.476502025038</v>
      </c>
      <c r="V27" s="147">
        <f t="shared" si="5"/>
        <v>28243.557800840365</v>
      </c>
      <c r="W27" s="147">
        <f t="shared" si="6"/>
        <v>30620.957946974628</v>
      </c>
      <c r="X27" s="147">
        <f t="shared" si="7"/>
        <v>32109.409143173492</v>
      </c>
      <c r="Y27" s="147">
        <f t="shared" si="8"/>
        <v>33098.499036528738</v>
      </c>
      <c r="Z27" s="147">
        <f t="shared" si="9"/>
        <v>34526.005846476372</v>
      </c>
      <c r="AA27" s="147">
        <f t="shared" si="10"/>
        <v>36167.779418170168</v>
      </c>
      <c r="AB27" s="147">
        <f t="shared" si="11"/>
        <v>37831.497271405999</v>
      </c>
      <c r="AC27" s="147">
        <f t="shared" si="12"/>
        <v>39609.577643162076</v>
      </c>
      <c r="AD27" s="136"/>
      <c r="AE27" s="144" t="s">
        <v>125</v>
      </c>
      <c r="AF27" s="36" t="s">
        <v>13</v>
      </c>
      <c r="AG27" s="16">
        <v>5.4216228722020476</v>
      </c>
      <c r="AH27" s="16">
        <v>6.3591207932471194</v>
      </c>
      <c r="AI27" s="16">
        <v>-0.25797143371771858</v>
      </c>
      <c r="AJ27" s="16">
        <v>11.143735793878772</v>
      </c>
      <c r="AK27" s="16">
        <v>4.2491110446174707</v>
      </c>
      <c r="AL27" s="16">
        <v>-0.53851294252569293</v>
      </c>
      <c r="AM27" s="16">
        <v>8.4174952847602125</v>
      </c>
      <c r="AN27" s="16">
        <v>4.8608903704984385</v>
      </c>
      <c r="AO27" s="16">
        <v>3.080374007958131</v>
      </c>
      <c r="AP27" s="16">
        <v>4.3129049700174837</v>
      </c>
      <c r="AQ27" s="16">
        <v>4.7551795565178301</v>
      </c>
      <c r="AR27" s="39">
        <f>INDEX('Tabla trabajo'!$K$7:$M$40,MATCH(insumos!$AF27,'Tabla trabajo'!$K$7:$K$40,0),MATCH(insumos!AR$3,'Tabla trabajo'!$K$7:$M$7,0))</f>
        <v>4.5999999999999996</v>
      </c>
      <c r="AS27" s="39">
        <f>INDEX('Tabla trabajo'!$K$7:$M$40,MATCH(insumos!$AF27,'Tabla trabajo'!$K$7:$K$40,0),MATCH(insumos!AS$3,'Tabla trabajo'!$K$7:$M$7,0))</f>
        <v>4.7</v>
      </c>
      <c r="AT27" s="30"/>
      <c r="AU27" s="162" t="s">
        <v>125</v>
      </c>
      <c r="AV27" s="30">
        <v>5.4216228590226301</v>
      </c>
      <c r="AW27" s="30">
        <v>6.3591208092654599</v>
      </c>
      <c r="AX27" s="30">
        <v>-0.25797143371712999</v>
      </c>
      <c r="AY27" s="30">
        <v>11.1437357938782</v>
      </c>
      <c r="AZ27" s="30">
        <v>4.2491110446174698</v>
      </c>
      <c r="BA27" s="30">
        <v>-0.53851294252571502</v>
      </c>
      <c r="BB27" s="30">
        <v>8.4174952847601894</v>
      </c>
      <c r="BC27" s="30">
        <v>4.8608903704987103</v>
      </c>
      <c r="BD27" s="30">
        <v>3.0803740079578401</v>
      </c>
      <c r="BE27" s="30">
        <v>4.3129049700176196</v>
      </c>
      <c r="BF27" s="30">
        <v>4.7551795565179598</v>
      </c>
    </row>
    <row r="28" spans="1:58" x14ac:dyDescent="0.25">
      <c r="A28" s="21" t="s">
        <v>15</v>
      </c>
      <c r="B28" s="23" t="s">
        <v>43</v>
      </c>
      <c r="C28" s="23" t="s">
        <v>81</v>
      </c>
      <c r="D28" s="23" t="s">
        <v>112</v>
      </c>
      <c r="E28" s="23" t="s">
        <v>44</v>
      </c>
      <c r="F28" s="23" t="s">
        <v>82</v>
      </c>
      <c r="G28" s="23" t="s">
        <v>113</v>
      </c>
      <c r="H28" s="23" t="s">
        <v>37</v>
      </c>
      <c r="I28" s="23" t="s">
        <v>83</v>
      </c>
      <c r="J28" s="23" t="s">
        <v>111</v>
      </c>
      <c r="K28" s="23"/>
      <c r="L28" s="23"/>
      <c r="M28" s="23"/>
      <c r="O28" s="15" t="s">
        <v>15</v>
      </c>
      <c r="P28" s="147">
        <v>113749.035389731</v>
      </c>
      <c r="Q28" s="147">
        <f t="shared" si="0"/>
        <v>123438.61930783396</v>
      </c>
      <c r="R28" s="147">
        <f t="shared" si="1"/>
        <v>134704.32920934781</v>
      </c>
      <c r="S28" s="147">
        <f t="shared" si="2"/>
        <v>136180.451118848</v>
      </c>
      <c r="T28" s="147">
        <f t="shared" si="3"/>
        <v>147527.63152072925</v>
      </c>
      <c r="U28" s="147">
        <f t="shared" si="4"/>
        <v>156861.98861258576</v>
      </c>
      <c r="V28" s="147">
        <f t="shared" si="5"/>
        <v>166492.88288113498</v>
      </c>
      <c r="W28" s="147">
        <f t="shared" si="6"/>
        <v>176236.90917152134</v>
      </c>
      <c r="X28" s="147">
        <f t="shared" si="7"/>
        <v>180424.33844395916</v>
      </c>
      <c r="Y28" s="147">
        <f t="shared" si="8"/>
        <v>186290.60058652694</v>
      </c>
      <c r="Z28" s="147">
        <f t="shared" si="9"/>
        <v>193651.51821213827</v>
      </c>
      <c r="AA28" s="147">
        <f t="shared" si="10"/>
        <v>198545.92609202961</v>
      </c>
      <c r="AB28" s="147">
        <f t="shared" si="11"/>
        <v>206487.76313571079</v>
      </c>
      <c r="AC28" s="147">
        <f t="shared" si="12"/>
        <v>214127.81037173208</v>
      </c>
      <c r="AD28" s="136"/>
      <c r="AE28" s="144" t="s">
        <v>126</v>
      </c>
      <c r="AF28" s="36" t="s">
        <v>15</v>
      </c>
      <c r="AG28" s="16">
        <v>8.5183877690955008</v>
      </c>
      <c r="AH28" s="16">
        <v>9.1265683014642107</v>
      </c>
      <c r="AI28" s="16">
        <v>1.09582365924268</v>
      </c>
      <c r="AJ28" s="16">
        <v>8.3324591074957599</v>
      </c>
      <c r="AK28" s="16">
        <v>6.3271924016111702</v>
      </c>
      <c r="AL28" s="16">
        <v>6.1397247056043502</v>
      </c>
      <c r="AM28" s="16">
        <v>5.8525182108492704</v>
      </c>
      <c r="AN28" s="16">
        <v>2.3760228729172899</v>
      </c>
      <c r="AO28" s="16">
        <v>3.2513696284882698</v>
      </c>
      <c r="AP28" s="16">
        <v>3.9513091924315198</v>
      </c>
      <c r="AQ28" s="16">
        <v>2.5274306780955298</v>
      </c>
      <c r="AR28" s="39">
        <f>INDEX('Tabla trabajo'!$K$7:$M$40,MATCH(insumos!$AF28,'Tabla trabajo'!$K$7:$K$40,0),MATCH(insumos!AR$3,'Tabla trabajo'!$K$7:$M$7,0))</f>
        <v>4</v>
      </c>
      <c r="AS28" s="39">
        <f>INDEX('Tabla trabajo'!$K$7:$M$40,MATCH(insumos!$AF28,'Tabla trabajo'!$K$7:$K$40,0),MATCH(insumos!AS$3,'Tabla trabajo'!$K$7:$M$7,0))</f>
        <v>3.7</v>
      </c>
      <c r="AT28" s="30"/>
      <c r="AU28" s="162" t="s">
        <v>126</v>
      </c>
      <c r="AV28" s="30">
        <v>8.5183877690955008</v>
      </c>
      <c r="AW28" s="30">
        <v>9.1265683014642107</v>
      </c>
      <c r="AX28" s="30">
        <v>1.09582365924268</v>
      </c>
      <c r="AY28" s="30">
        <v>8.3324591074957599</v>
      </c>
      <c r="AZ28" s="30">
        <v>6.3271924016111702</v>
      </c>
      <c r="BA28" s="30">
        <v>6.1397247056043502</v>
      </c>
      <c r="BB28" s="30">
        <v>5.8525182108492704</v>
      </c>
      <c r="BC28" s="30">
        <v>2.3760228729172899</v>
      </c>
      <c r="BD28" s="30">
        <v>3.2513696284882698</v>
      </c>
      <c r="BE28" s="30">
        <v>3.9513091924315198</v>
      </c>
      <c r="BF28" s="30">
        <v>2.5274306780955298</v>
      </c>
    </row>
    <row r="29" spans="1:58" x14ac:dyDescent="0.25">
      <c r="A29" s="21" t="s">
        <v>25</v>
      </c>
      <c r="B29" s="23" t="s">
        <v>43</v>
      </c>
      <c r="C29" s="23" t="s">
        <v>81</v>
      </c>
      <c r="D29" s="23" t="s">
        <v>112</v>
      </c>
      <c r="E29" s="23" t="s">
        <v>44</v>
      </c>
      <c r="F29" s="23" t="s">
        <v>82</v>
      </c>
      <c r="G29" s="23" t="s">
        <v>113</v>
      </c>
      <c r="H29" s="23"/>
      <c r="I29" s="23"/>
      <c r="J29" s="23"/>
      <c r="K29" s="23" t="s">
        <v>45</v>
      </c>
      <c r="L29" s="23" t="s">
        <v>38</v>
      </c>
      <c r="M29" s="23"/>
      <c r="O29" s="15" t="s">
        <v>25</v>
      </c>
      <c r="P29" s="147">
        <v>43924.243834823101</v>
      </c>
      <c r="Q29" s="147">
        <f t="shared" si="0"/>
        <v>47646.658686524417</v>
      </c>
      <c r="R29" s="147">
        <f t="shared" si="1"/>
        <v>49175.880228494396</v>
      </c>
      <c r="S29" s="147">
        <f t="shared" si="2"/>
        <v>49641.160361541675</v>
      </c>
      <c r="T29" s="147">
        <f t="shared" si="3"/>
        <v>53781.059915697828</v>
      </c>
      <c r="U29" s="147">
        <f t="shared" si="4"/>
        <v>55466.248019319879</v>
      </c>
      <c r="V29" s="147">
        <f t="shared" si="5"/>
        <v>56973.47003814987</v>
      </c>
      <c r="W29" s="147">
        <f t="shared" si="6"/>
        <v>59751.043549043898</v>
      </c>
      <c r="X29" s="147">
        <f t="shared" si="7"/>
        <v>64313.652249620347</v>
      </c>
      <c r="Y29" s="147">
        <f t="shared" si="8"/>
        <v>68837.07006298835</v>
      </c>
      <c r="Z29" s="147">
        <f t="shared" si="9"/>
        <v>73388.720468716696</v>
      </c>
      <c r="AA29" s="147">
        <f t="shared" si="10"/>
        <v>76729.239356015838</v>
      </c>
      <c r="AB29" s="147">
        <f t="shared" si="11"/>
        <v>81026.076759952732</v>
      </c>
      <c r="AC29" s="147">
        <f t="shared" si="12"/>
        <v>85320.458828230228</v>
      </c>
      <c r="AD29" s="136"/>
      <c r="AE29" s="144" t="s">
        <v>130</v>
      </c>
      <c r="AF29" s="36" t="s">
        <v>25</v>
      </c>
      <c r="AG29" s="16">
        <v>8.4746247782874402</v>
      </c>
      <c r="AH29" s="16">
        <v>3.2095042635224198</v>
      </c>
      <c r="AI29" s="16">
        <v>0.94615516974045899</v>
      </c>
      <c r="AJ29" s="16">
        <v>8.3396510557062697</v>
      </c>
      <c r="AK29" s="16">
        <v>3.1334230047968399</v>
      </c>
      <c r="AL29" s="16">
        <v>2.71736789967296</v>
      </c>
      <c r="AM29" s="16">
        <v>4.8752050893760703</v>
      </c>
      <c r="AN29" s="16">
        <v>7.6360318239989198</v>
      </c>
      <c r="AO29" s="16">
        <v>7.0333710730830203</v>
      </c>
      <c r="AP29" s="16">
        <v>6.6122082208952504</v>
      </c>
      <c r="AQ29" s="16">
        <v>4.5518151372091298</v>
      </c>
      <c r="AR29" s="39">
        <f>INDEX('Tabla trabajo'!$K$7:$M$40,MATCH(insumos!$AF29,'Tabla trabajo'!$K$7:$K$40,0),MATCH(insumos!AR$3,'Tabla trabajo'!$K$7:$M$7,0))</f>
        <v>5.6</v>
      </c>
      <c r="AS29" s="39">
        <f>INDEX('Tabla trabajo'!$K$7:$M$40,MATCH(insumos!$AF29,'Tabla trabajo'!$K$7:$K$40,0),MATCH(insumos!AS$3,'Tabla trabajo'!$K$7:$M$7,0))</f>
        <v>5.3</v>
      </c>
      <c r="AT29" s="30"/>
      <c r="AU29" s="162" t="s">
        <v>130</v>
      </c>
      <c r="AV29" s="30">
        <v>8.4746247782874402</v>
      </c>
      <c r="AW29" s="30">
        <v>3.2095042635224198</v>
      </c>
      <c r="AX29" s="30">
        <v>0.94615516974045899</v>
      </c>
      <c r="AY29" s="30">
        <v>8.3396510557062697</v>
      </c>
      <c r="AZ29" s="30">
        <v>3.1334230047968399</v>
      </c>
      <c r="BA29" s="30">
        <v>2.71736789967296</v>
      </c>
      <c r="BB29" s="30">
        <v>4.8752050893760703</v>
      </c>
      <c r="BC29" s="30">
        <v>7.6360318239989198</v>
      </c>
      <c r="BD29" s="30">
        <v>7.0333710730830203</v>
      </c>
      <c r="BE29" s="30">
        <v>6.6122082208952504</v>
      </c>
      <c r="BF29" s="30">
        <v>4.5518151372091298</v>
      </c>
    </row>
    <row r="30" spans="1:58" x14ac:dyDescent="0.25">
      <c r="A30" s="21" t="s">
        <v>27</v>
      </c>
      <c r="B30" s="23" t="s">
        <v>43</v>
      </c>
      <c r="C30" s="23" t="s">
        <v>81</v>
      </c>
      <c r="D30" s="23" t="s">
        <v>112</v>
      </c>
      <c r="E30" s="23"/>
      <c r="F30" s="23"/>
      <c r="G30" s="23"/>
      <c r="H30" s="23"/>
      <c r="I30" s="23"/>
      <c r="J30" s="23"/>
      <c r="K30" s="23"/>
      <c r="L30" s="23"/>
      <c r="M30" s="23" t="s">
        <v>36</v>
      </c>
      <c r="O30" s="15" t="s">
        <v>27</v>
      </c>
      <c r="P30" s="147">
        <v>700.91113389503096</v>
      </c>
      <c r="Q30" s="147">
        <f t="shared" si="0"/>
        <v>700.55255027895225</v>
      </c>
      <c r="R30" s="147">
        <f t="shared" si="1"/>
        <v>746.00337673876243</v>
      </c>
      <c r="S30" s="147">
        <f t="shared" si="2"/>
        <v>720.87440634888458</v>
      </c>
      <c r="T30" s="147">
        <f t="shared" si="3"/>
        <v>710.30602089328409</v>
      </c>
      <c r="U30" s="147">
        <f t="shared" si="4"/>
        <v>722.97715798842955</v>
      </c>
      <c r="V30" s="147">
        <f t="shared" si="5"/>
        <v>718.23679507818099</v>
      </c>
      <c r="W30" s="147">
        <f t="shared" si="6"/>
        <v>757.49543161575571</v>
      </c>
      <c r="X30" s="147">
        <f t="shared" si="7"/>
        <v>803.36615403966948</v>
      </c>
      <c r="Y30" s="147">
        <f t="shared" si="8"/>
        <v>820.61166662590767</v>
      </c>
      <c r="Z30" s="147">
        <f t="shared" si="9"/>
        <v>838.65282653012684</v>
      </c>
      <c r="AA30" s="147">
        <f t="shared" si="10"/>
        <v>849.45780259389676</v>
      </c>
      <c r="AB30" s="147">
        <f t="shared" si="11"/>
        <v>869.84478985615033</v>
      </c>
      <c r="AC30" s="147">
        <f t="shared" si="12"/>
        <v>869.84478985615033</v>
      </c>
      <c r="AD30" s="136"/>
      <c r="AE30" s="144" t="s">
        <v>143</v>
      </c>
      <c r="AF30" s="15" t="s">
        <v>27</v>
      </c>
      <c r="AG30" s="16">
        <v>-5.11596404648373E-2</v>
      </c>
      <c r="AH30" s="16">
        <v>6.4878539720842001</v>
      </c>
      <c r="AI30" s="16">
        <v>-3.3684794430464899</v>
      </c>
      <c r="AJ30" s="159">
        <v>-1.4660508630244899</v>
      </c>
      <c r="AK30" s="159">
        <v>1.7838983089584599</v>
      </c>
      <c r="AL30" s="159">
        <v>-0.65567256971684795</v>
      </c>
      <c r="AM30" s="159">
        <v>5.4659740083771799</v>
      </c>
      <c r="AN30" s="159">
        <v>6.0555774344500701</v>
      </c>
      <c r="AO30" s="159">
        <v>2.14665660228781</v>
      </c>
      <c r="AP30" s="159">
        <v>2.1985015127068199</v>
      </c>
      <c r="AQ30" s="159">
        <v>1.28837293835578</v>
      </c>
      <c r="AR30" s="39">
        <f>INDEX('Tabla trabajo'!$K$7:$M$40,MATCH(insumos!$AF30,'Tabla trabajo'!$K$7:$K$40,0),MATCH(insumos!AR$3,'Tabla trabajo'!$K$7:$M$7,0))</f>
        <v>2.4</v>
      </c>
      <c r="AS30" s="39">
        <f>INDEX('Tabla trabajo'!$K$7:$M$40,MATCH(insumos!$AF30,'Tabla trabajo'!$K$7:$K$40,0),MATCH(insumos!AS$3,'Tabla trabajo'!$K$7:$M$7,0))</f>
        <v>0</v>
      </c>
      <c r="AT30" s="30"/>
      <c r="AU30" s="162" t="s">
        <v>143</v>
      </c>
      <c r="AV30" s="30">
        <v>-5.11596404648373E-2</v>
      </c>
      <c r="AW30" s="30">
        <v>6.4878539720842001</v>
      </c>
      <c r="AX30" s="30">
        <v>-3.3684794430464899</v>
      </c>
      <c r="AY30" s="30">
        <v>-1.4660508630244899</v>
      </c>
      <c r="AZ30" s="30">
        <v>1.7838983089584599</v>
      </c>
      <c r="BA30" s="30">
        <v>-0.65567256971684795</v>
      </c>
      <c r="BB30" s="30">
        <v>5.4659740083771799</v>
      </c>
      <c r="BC30" s="30">
        <v>6.0555774344500701</v>
      </c>
      <c r="BD30" s="30">
        <v>2.14665660228781</v>
      </c>
      <c r="BE30" s="30">
        <v>2.1985015127068199</v>
      </c>
      <c r="BF30" s="30">
        <v>1.28837293835578</v>
      </c>
    </row>
    <row r="31" spans="1:58" x14ac:dyDescent="0.25">
      <c r="A31" s="21" t="s">
        <v>28</v>
      </c>
      <c r="B31" s="23" t="s">
        <v>43</v>
      </c>
      <c r="C31" s="23" t="s">
        <v>81</v>
      </c>
      <c r="D31" s="23" t="s">
        <v>112</v>
      </c>
      <c r="E31" s="23"/>
      <c r="F31" s="23"/>
      <c r="G31" s="23"/>
      <c r="H31" s="23"/>
      <c r="I31" s="23"/>
      <c r="J31" s="23"/>
      <c r="K31" s="23"/>
      <c r="L31" s="23"/>
      <c r="M31" s="23" t="s">
        <v>36</v>
      </c>
      <c r="O31" s="15" t="s">
        <v>28</v>
      </c>
      <c r="P31" s="147">
        <v>685.65221408012405</v>
      </c>
      <c r="Q31" s="147">
        <f t="shared" si="0"/>
        <v>708.57056471072394</v>
      </c>
      <c r="R31" s="147">
        <f t="shared" si="1"/>
        <v>719.79766234267299</v>
      </c>
      <c r="S31" s="147">
        <f t="shared" si="2"/>
        <v>704.68865668717922</v>
      </c>
      <c r="T31" s="147">
        <f t="shared" si="3"/>
        <v>681.05673867442351</v>
      </c>
      <c r="U31" s="147">
        <f t="shared" si="4"/>
        <v>678.200731991211</v>
      </c>
      <c r="V31" s="147">
        <f t="shared" si="5"/>
        <v>687.57633614070699</v>
      </c>
      <c r="W31" s="147">
        <f t="shared" si="6"/>
        <v>700.17894831014382</v>
      </c>
      <c r="X31" s="147">
        <f t="shared" si="7"/>
        <v>706.90639191401669</v>
      </c>
      <c r="Y31" s="147">
        <f t="shared" si="8"/>
        <v>719.52087984191212</v>
      </c>
      <c r="Z31" s="147">
        <f t="shared" si="9"/>
        <v>728.69029898454585</v>
      </c>
      <c r="AA31" s="147">
        <f t="shared" si="10"/>
        <v>732.41820189513339</v>
      </c>
      <c r="AB31" s="147">
        <f t="shared" si="11"/>
        <v>741.93963851977003</v>
      </c>
      <c r="AC31" s="147">
        <f t="shared" si="12"/>
        <v>741.93963851977003</v>
      </c>
      <c r="AD31" s="136"/>
      <c r="AE31" s="144" t="s">
        <v>145</v>
      </c>
      <c r="AF31" s="36" t="s">
        <v>28</v>
      </c>
      <c r="AG31" s="16">
        <v>3.3425620394659199</v>
      </c>
      <c r="AH31" s="16">
        <v>1.5844713555851</v>
      </c>
      <c r="AI31" s="16">
        <v>-2.09906289585876</v>
      </c>
      <c r="AJ31" s="159">
        <v>-3.35352609815688</v>
      </c>
      <c r="AK31" s="159">
        <v>-0.41934930249295499</v>
      </c>
      <c r="AL31" s="159">
        <v>1.3824231834679701</v>
      </c>
      <c r="AM31" s="159">
        <v>1.8329037093065099</v>
      </c>
      <c r="AN31" s="159">
        <v>0.96081774810701204</v>
      </c>
      <c r="AO31" s="159">
        <v>1.7844636959273299</v>
      </c>
      <c r="AP31" s="159">
        <v>1.2743784648262499</v>
      </c>
      <c r="AQ31" s="159">
        <v>0.51158947989049497</v>
      </c>
      <c r="AR31" s="39">
        <f>INDEX('Tabla trabajo'!$K$7:$M$40,MATCH(insumos!$AF31,'Tabla trabajo'!$K$7:$K$40,0),MATCH(insumos!AR$3,'Tabla trabajo'!$K$7:$M$7,0))</f>
        <v>1.3</v>
      </c>
      <c r="AS31" s="39">
        <f>INDEX('Tabla trabajo'!$K$7:$M$40,MATCH(insumos!$AF31,'Tabla trabajo'!$K$7:$K$40,0),MATCH(insumos!AS$3,'Tabla trabajo'!$K$7:$M$7,0))</f>
        <v>0</v>
      </c>
      <c r="AT31" s="30"/>
      <c r="AU31" s="162" t="s">
        <v>145</v>
      </c>
      <c r="AV31" s="30">
        <v>3.3425620394659199</v>
      </c>
      <c r="AW31" s="30">
        <v>1.5844713555851</v>
      </c>
      <c r="AX31" s="30">
        <v>-2.09906289585876</v>
      </c>
      <c r="AY31" s="30">
        <v>-3.35352609815688</v>
      </c>
      <c r="AZ31" s="30">
        <v>-0.41934930249295499</v>
      </c>
      <c r="BA31" s="30">
        <v>1.3824231834679701</v>
      </c>
      <c r="BB31" s="30">
        <v>1.8329037093065099</v>
      </c>
      <c r="BC31" s="30">
        <v>0.96081774810701204</v>
      </c>
      <c r="BD31" s="30">
        <v>1.7844636959273299</v>
      </c>
      <c r="BE31" s="30">
        <v>1.2743784648262499</v>
      </c>
      <c r="BF31" s="30">
        <v>0.51158947989049497</v>
      </c>
    </row>
    <row r="32" spans="1:58" x14ac:dyDescent="0.25">
      <c r="A32" s="21" t="s">
        <v>29</v>
      </c>
      <c r="B32" s="23" t="s">
        <v>43</v>
      </c>
      <c r="C32" s="23" t="s">
        <v>81</v>
      </c>
      <c r="D32" s="23" t="s">
        <v>112</v>
      </c>
      <c r="E32" s="23"/>
      <c r="F32" s="23"/>
      <c r="G32" s="23"/>
      <c r="H32" s="23"/>
      <c r="I32" s="23"/>
      <c r="J32" s="23"/>
      <c r="K32" s="23"/>
      <c r="L32" s="23"/>
      <c r="M32" s="23" t="s">
        <v>36</v>
      </c>
      <c r="O32" s="15" t="s">
        <v>29</v>
      </c>
      <c r="P32" s="147">
        <v>1305.93349926014</v>
      </c>
      <c r="Q32" s="147">
        <f t="shared" si="0"/>
        <v>1332.1016715955243</v>
      </c>
      <c r="R32" s="147">
        <f t="shared" si="1"/>
        <v>1402.8550084191249</v>
      </c>
      <c r="S32" s="147">
        <f t="shared" si="2"/>
        <v>1387.8219322472471</v>
      </c>
      <c r="T32" s="147">
        <f t="shared" si="3"/>
        <v>1390.1375334744027</v>
      </c>
      <c r="U32" s="147">
        <f t="shared" si="4"/>
        <v>1439.0187201379567</v>
      </c>
      <c r="V32" s="147">
        <f t="shared" si="5"/>
        <v>1429.9627098396186</v>
      </c>
      <c r="W32" s="147">
        <f t="shared" si="6"/>
        <v>1411.0413927421096</v>
      </c>
      <c r="X32" s="147">
        <f t="shared" si="7"/>
        <v>1461.3157282541342</v>
      </c>
      <c r="Y32" s="147">
        <f t="shared" si="8"/>
        <v>1447.6541921001244</v>
      </c>
      <c r="Z32" s="147">
        <f t="shared" si="9"/>
        <v>1496.3700075029442</v>
      </c>
      <c r="AA32" s="147">
        <f t="shared" si="10"/>
        <v>1553.496202393165</v>
      </c>
      <c r="AB32" s="147">
        <f t="shared" si="11"/>
        <v>1586.1196226434213</v>
      </c>
      <c r="AC32" s="147">
        <f t="shared" si="12"/>
        <v>1586.1196226434213</v>
      </c>
      <c r="AD32" s="136"/>
      <c r="AE32" s="144" t="s">
        <v>144</v>
      </c>
      <c r="AF32" s="36" t="s">
        <v>29</v>
      </c>
      <c r="AG32" s="16">
        <v>2.0037905720474698</v>
      </c>
      <c r="AH32" s="16">
        <v>5.3114066540323401</v>
      </c>
      <c r="AI32" s="16">
        <v>-1.0716058382126501</v>
      </c>
      <c r="AJ32" s="159">
        <v>0.166851465115991</v>
      </c>
      <c r="AK32" s="159">
        <v>3.5162842155181702</v>
      </c>
      <c r="AL32" s="159">
        <v>-0.62931844955220795</v>
      </c>
      <c r="AM32" s="159">
        <v>-1.3232035330229901</v>
      </c>
      <c r="AN32" s="159">
        <v>3.5629242182843002</v>
      </c>
      <c r="AO32" s="159">
        <v>-0.93487915649355102</v>
      </c>
      <c r="AP32" s="159">
        <v>3.3651555508672502</v>
      </c>
      <c r="AQ32" s="159">
        <v>3.8176516906770699</v>
      </c>
      <c r="AR32" s="39">
        <f>INDEX('Tabla trabajo'!$K$7:$M$40,MATCH(insumos!$AF32,'Tabla trabajo'!$K$7:$K$40,0),MATCH(insumos!AR$3,'Tabla trabajo'!$K$7:$M$7,0))</f>
        <v>2.1</v>
      </c>
      <c r="AS32" s="39">
        <f>INDEX('Tabla trabajo'!$K$7:$M$40,MATCH(insumos!$AF32,'Tabla trabajo'!$K$7:$K$40,0),MATCH(insumos!AS$3,'Tabla trabajo'!$K$7:$M$7,0))</f>
        <v>0</v>
      </c>
      <c r="AT32" s="30"/>
      <c r="AU32" s="162" t="s">
        <v>144</v>
      </c>
      <c r="AV32" s="30">
        <v>2.0037905720474698</v>
      </c>
      <c r="AW32" s="30">
        <v>5.3114066540323401</v>
      </c>
      <c r="AX32" s="30">
        <v>-1.0716058382126501</v>
      </c>
      <c r="AY32" s="30">
        <v>0.166851465115991</v>
      </c>
      <c r="AZ32" s="30">
        <v>3.5162842155181702</v>
      </c>
      <c r="BA32" s="30">
        <v>-0.62931844955220795</v>
      </c>
      <c r="BB32" s="30">
        <v>-1.3232035330229901</v>
      </c>
      <c r="BC32" s="30">
        <v>3.5629242182843002</v>
      </c>
      <c r="BD32" s="30">
        <v>-0.93487915649355102</v>
      </c>
      <c r="BE32" s="30">
        <v>3.3651555508672502</v>
      </c>
      <c r="BF32" s="30">
        <v>3.8176516906770699</v>
      </c>
    </row>
    <row r="33" spans="1:58" x14ac:dyDescent="0.25">
      <c r="A33" s="21" t="s">
        <v>30</v>
      </c>
      <c r="B33" s="23" t="s">
        <v>43</v>
      </c>
      <c r="C33" s="23" t="s">
        <v>81</v>
      </c>
      <c r="D33" s="23" t="s">
        <v>112</v>
      </c>
      <c r="E33" s="23"/>
      <c r="F33" s="23"/>
      <c r="G33" s="23"/>
      <c r="H33" s="23"/>
      <c r="I33" s="23"/>
      <c r="J33" s="23"/>
      <c r="K33" s="23"/>
      <c r="L33" s="23"/>
      <c r="M33" s="23" t="s">
        <v>36</v>
      </c>
      <c r="O33" s="15" t="s">
        <v>30</v>
      </c>
      <c r="P33" s="147">
        <v>3684.0542587456398</v>
      </c>
      <c r="Q33" s="147">
        <f t="shared" si="0"/>
        <v>3872.36424302368</v>
      </c>
      <c r="R33" s="147">
        <f t="shared" si="1"/>
        <v>4032.8120357503776</v>
      </c>
      <c r="S33" s="147">
        <f t="shared" si="2"/>
        <v>4154.3488368277858</v>
      </c>
      <c r="T33" s="147">
        <f t="shared" si="3"/>
        <v>4368.9885921218447</v>
      </c>
      <c r="U33" s="147">
        <f t="shared" si="4"/>
        <v>4624.4430953603314</v>
      </c>
      <c r="V33" s="147">
        <f t="shared" si="5"/>
        <v>4749.1614704833346</v>
      </c>
      <c r="W33" s="147">
        <f t="shared" si="6"/>
        <v>4888.3552148824874</v>
      </c>
      <c r="X33" s="147">
        <f t="shared" si="7"/>
        <v>4900.771664279514</v>
      </c>
      <c r="Y33" s="147">
        <f t="shared" si="8"/>
        <v>4773.3996556025522</v>
      </c>
      <c r="Z33" s="147">
        <f t="shared" si="9"/>
        <v>4528.0826666452385</v>
      </c>
      <c r="AA33" s="147">
        <f t="shared" si="10"/>
        <v>4596.0039066449162</v>
      </c>
      <c r="AB33" s="147">
        <f t="shared" si="11"/>
        <v>4720.0960121243288</v>
      </c>
      <c r="AC33" s="147">
        <f t="shared" si="12"/>
        <v>4720.0960121243288</v>
      </c>
      <c r="AD33" s="136"/>
      <c r="AE33" s="144" t="s">
        <v>146</v>
      </c>
      <c r="AF33" s="36" t="s">
        <v>30</v>
      </c>
      <c r="AG33" s="16">
        <v>5.1114878080584099</v>
      </c>
      <c r="AH33" s="16">
        <v>4.1434065252450099</v>
      </c>
      <c r="AI33" s="16">
        <v>3.0136986301369899</v>
      </c>
      <c r="AJ33" s="159">
        <v>5.1666281221091497</v>
      </c>
      <c r="AK33" s="159">
        <v>5.8469940548511001</v>
      </c>
      <c r="AL33" s="159">
        <v>2.6969382594010498</v>
      </c>
      <c r="AM33" s="159">
        <v>2.9309120202431602</v>
      </c>
      <c r="AN33" s="159">
        <v>0.254000555426592</v>
      </c>
      <c r="AO33" s="159">
        <v>-2.5990194484134901</v>
      </c>
      <c r="AP33" s="159">
        <v>-5.1392509879072197</v>
      </c>
      <c r="AQ33" s="161">
        <v>1.5</v>
      </c>
      <c r="AR33" s="39">
        <f>INDEX('Tabla trabajo'!$K$7:$M$40,MATCH(insumos!$AF33,'Tabla trabajo'!$K$7:$K$40,0),MATCH(insumos!AR$3,'Tabla trabajo'!$K$7:$M$7,0))</f>
        <v>2.7</v>
      </c>
      <c r="AS33" s="39">
        <f>INDEX('Tabla trabajo'!$K$7:$M$40,MATCH(insumos!$AF33,'Tabla trabajo'!$K$7:$K$40,0),MATCH(insumos!AS$3,'Tabla trabajo'!$K$7:$M$7,0))</f>
        <v>0</v>
      </c>
      <c r="AT33" s="30"/>
      <c r="AU33" s="162" t="s">
        <v>146</v>
      </c>
      <c r="AV33" s="30">
        <v>5.1114878080584099</v>
      </c>
      <c r="AW33" s="30">
        <v>4.1434065252450099</v>
      </c>
      <c r="AX33" s="30">
        <v>3.0136986301369899</v>
      </c>
      <c r="AY33" s="30">
        <v>5.1666281221091497</v>
      </c>
      <c r="AZ33" s="30">
        <v>5.8469940548511001</v>
      </c>
      <c r="BA33" s="30">
        <v>2.6969382594010498</v>
      </c>
      <c r="BB33" s="30">
        <v>2.9309120202431602</v>
      </c>
      <c r="BC33" s="30">
        <v>0.254000555426592</v>
      </c>
      <c r="BD33" s="30">
        <v>-2.5990194484134901</v>
      </c>
      <c r="BE33" s="30">
        <v>-5.1392509879072197</v>
      </c>
      <c r="BF33" s="163">
        <v>-0.66889892105679305</v>
      </c>
    </row>
    <row r="34" spans="1:58" x14ac:dyDescent="0.25">
      <c r="A34" s="21" t="s">
        <v>31</v>
      </c>
      <c r="B34" s="23" t="s">
        <v>43</v>
      </c>
      <c r="C34" s="23" t="s">
        <v>81</v>
      </c>
      <c r="D34" s="23" t="s">
        <v>112</v>
      </c>
      <c r="E34" s="23"/>
      <c r="F34" s="23"/>
      <c r="G34" s="23"/>
      <c r="H34" s="23"/>
      <c r="I34" s="23"/>
      <c r="J34" s="23"/>
      <c r="K34" s="23"/>
      <c r="L34" s="23"/>
      <c r="M34" s="23" t="s">
        <v>36</v>
      </c>
      <c r="O34" s="15" t="s">
        <v>31</v>
      </c>
      <c r="P34" s="147">
        <v>20708.498644236999</v>
      </c>
      <c r="Q34" s="147">
        <f t="shared" si="0"/>
        <v>21634.368691417891</v>
      </c>
      <c r="R34" s="147">
        <f t="shared" si="1"/>
        <v>22368.153811770328</v>
      </c>
      <c r="S34" s="147">
        <f t="shared" si="2"/>
        <v>21385.807225574361</v>
      </c>
      <c r="T34" s="147">
        <f t="shared" si="3"/>
        <v>22096.503410505371</v>
      </c>
      <c r="U34" s="147">
        <f t="shared" si="4"/>
        <v>22031.46137380019</v>
      </c>
      <c r="V34" s="147">
        <f t="shared" si="5"/>
        <v>22316.543846301818</v>
      </c>
      <c r="W34" s="147">
        <f t="shared" si="6"/>
        <v>22535.435618983392</v>
      </c>
      <c r="X34" s="147">
        <f t="shared" si="7"/>
        <v>22478.609640494586</v>
      </c>
      <c r="Y34" s="147">
        <f t="shared" si="8"/>
        <v>22819.646788154121</v>
      </c>
      <c r="Z34" s="147">
        <f t="shared" si="9"/>
        <v>21460.266432183118</v>
      </c>
      <c r="AA34" s="147">
        <f t="shared" si="10"/>
        <v>20958.951578330958</v>
      </c>
      <c r="AB34" s="147">
        <f t="shared" si="11"/>
        <v>21273.335852005919</v>
      </c>
      <c r="AC34" s="147">
        <f t="shared" si="12"/>
        <v>21273.335852005919</v>
      </c>
      <c r="AD34" s="136"/>
      <c r="AE34" s="144" t="s">
        <v>148</v>
      </c>
      <c r="AF34" s="36" t="s">
        <v>31</v>
      </c>
      <c r="AG34" s="16">
        <v>4.4709665489852002</v>
      </c>
      <c r="AH34" s="16">
        <v>3.3917565648380599</v>
      </c>
      <c r="AI34" s="16">
        <v>-4.3917195601500501</v>
      </c>
      <c r="AJ34" s="159">
        <v>3.3232142113444301</v>
      </c>
      <c r="AK34" s="159">
        <v>-0.29435443018671598</v>
      </c>
      <c r="AL34" s="159">
        <v>1.29397894976067</v>
      </c>
      <c r="AM34" s="159">
        <v>0.98084978654904298</v>
      </c>
      <c r="AN34" s="159">
        <v>-0.25216276911433899</v>
      </c>
      <c r="AO34" s="159">
        <v>1.5171629967948099</v>
      </c>
      <c r="AP34" s="159">
        <v>-5.9570613366227496</v>
      </c>
      <c r="AQ34" s="159">
        <v>-2.3360141190994601</v>
      </c>
      <c r="AR34" s="39">
        <f>INDEX('Tabla trabajo'!$K$7:$M$40,MATCH(insumos!$AF34,'Tabla trabajo'!$K$7:$K$40,0),MATCH(insumos!AR$3,'Tabla trabajo'!$K$7:$M$7,0))</f>
        <v>1.5</v>
      </c>
      <c r="AS34" s="39">
        <f>INDEX('Tabla trabajo'!$K$7:$M$40,MATCH(insumos!$AF34,'Tabla trabajo'!$K$7:$K$40,0),MATCH(insumos!AS$3,'Tabla trabajo'!$K$7:$M$7,0))</f>
        <v>0</v>
      </c>
      <c r="AT34" s="30"/>
      <c r="AU34" s="162" t="s">
        <v>148</v>
      </c>
      <c r="AV34" s="30">
        <v>4.4709665489852002</v>
      </c>
      <c r="AW34" s="30">
        <v>3.3917565648380599</v>
      </c>
      <c r="AX34" s="30">
        <v>-4.3917195601500501</v>
      </c>
      <c r="AY34" s="30">
        <v>3.3232142113444301</v>
      </c>
      <c r="AZ34" s="30">
        <v>-0.29435443018671598</v>
      </c>
      <c r="BA34" s="30">
        <v>1.29397894976067</v>
      </c>
      <c r="BB34" s="30">
        <v>0.98084978654904298</v>
      </c>
      <c r="BC34" s="30">
        <v>-0.25216276911433899</v>
      </c>
      <c r="BD34" s="30">
        <v>1.5171629967948099</v>
      </c>
      <c r="BE34" s="30">
        <v>-5.9570613366227496</v>
      </c>
      <c r="BF34" s="30">
        <v>-2.3360141190994601</v>
      </c>
    </row>
    <row r="35" spans="1:58" x14ac:dyDescent="0.25">
      <c r="A35" s="21" t="s">
        <v>17</v>
      </c>
      <c r="B35" s="23" t="s">
        <v>43</v>
      </c>
      <c r="C35" s="23" t="s">
        <v>81</v>
      </c>
      <c r="D35" s="23" t="s">
        <v>112</v>
      </c>
      <c r="E35" s="23" t="s">
        <v>44</v>
      </c>
      <c r="F35" s="23" t="s">
        <v>82</v>
      </c>
      <c r="G35" s="23" t="s">
        <v>113</v>
      </c>
      <c r="H35" s="23" t="s">
        <v>37</v>
      </c>
      <c r="I35" s="23" t="s">
        <v>83</v>
      </c>
      <c r="J35" s="23" t="s">
        <v>111</v>
      </c>
      <c r="K35" s="23"/>
      <c r="L35" s="23"/>
      <c r="M35" s="23"/>
      <c r="O35" s="15" t="s">
        <v>17</v>
      </c>
      <c r="P35" s="147">
        <v>31393.5104782487</v>
      </c>
      <c r="Q35" s="147">
        <f t="shared" si="0"/>
        <v>33447.120372213998</v>
      </c>
      <c r="R35" s="147">
        <f t="shared" si="1"/>
        <v>35847.334115074169</v>
      </c>
      <c r="S35" s="147">
        <f t="shared" si="2"/>
        <v>37368.513657463998</v>
      </c>
      <c r="T35" s="147">
        <f t="shared" si="3"/>
        <v>40284.531860235911</v>
      </c>
      <c r="U35" s="147">
        <f t="shared" si="4"/>
        <v>42364.072982081532</v>
      </c>
      <c r="V35" s="147">
        <f t="shared" si="5"/>
        <v>43862.989598275635</v>
      </c>
      <c r="W35" s="147">
        <f t="shared" si="6"/>
        <v>45897.152685098059</v>
      </c>
      <c r="X35" s="147">
        <f t="shared" si="7"/>
        <v>47383.665640403255</v>
      </c>
      <c r="Y35" s="147">
        <f t="shared" si="8"/>
        <v>47559.336437699691</v>
      </c>
      <c r="Z35" s="147">
        <f t="shared" si="9"/>
        <v>48362.993230493339</v>
      </c>
      <c r="AA35" s="147">
        <f t="shared" si="10"/>
        <v>49647.845354496174</v>
      </c>
      <c r="AB35" s="147">
        <f t="shared" si="11"/>
        <v>50789.745797649579</v>
      </c>
      <c r="AC35" s="147">
        <f t="shared" si="12"/>
        <v>51551.591984614315</v>
      </c>
      <c r="AD35" s="136"/>
      <c r="AE35" s="144" t="s">
        <v>127</v>
      </c>
      <c r="AF35" s="36" t="s">
        <v>17</v>
      </c>
      <c r="AG35" s="16">
        <v>6.5415108494737</v>
      </c>
      <c r="AH35" s="16">
        <v>7.17614466103376</v>
      </c>
      <c r="AI35" s="16">
        <v>4.2434941954307304</v>
      </c>
      <c r="AJ35" s="16">
        <v>7.8034096552552299</v>
      </c>
      <c r="AK35" s="16">
        <v>5.1621330218269099</v>
      </c>
      <c r="AL35" s="16">
        <v>3.5381787224002101</v>
      </c>
      <c r="AM35" s="16">
        <v>4.6375386298392902</v>
      </c>
      <c r="AN35" s="16">
        <v>3.2387912285195801</v>
      </c>
      <c r="AO35" s="16">
        <v>0.37074125634266603</v>
      </c>
      <c r="AP35" s="16">
        <v>1.68979816160051</v>
      </c>
      <c r="AQ35" s="16">
        <v>2.6566844568105101</v>
      </c>
      <c r="AR35" s="39">
        <f>INDEX('Tabla trabajo'!$K$7:$M$40,MATCH(insumos!$AF35,'Tabla trabajo'!$K$7:$K$40,0),MATCH(insumos!AR$3,'Tabla trabajo'!$K$7:$M$7,0))</f>
        <v>2.2999999999999998</v>
      </c>
      <c r="AS35" s="39">
        <f>INDEX('Tabla trabajo'!$K$7:$M$40,MATCH(insumos!$AF35,'Tabla trabajo'!$K$7:$K$40,0),MATCH(insumos!AS$3,'Tabla trabajo'!$K$7:$M$7,0))</f>
        <v>1.5</v>
      </c>
      <c r="AT35" s="30"/>
      <c r="AU35" s="162" t="s">
        <v>127</v>
      </c>
      <c r="AV35" s="30">
        <v>6.5415108494737</v>
      </c>
      <c r="AW35" s="30">
        <v>7.17614466103376</v>
      </c>
      <c r="AX35" s="30">
        <v>4.2434941954307304</v>
      </c>
      <c r="AY35" s="30">
        <v>7.8034096552552299</v>
      </c>
      <c r="AZ35" s="30">
        <v>5.1621330218269099</v>
      </c>
      <c r="BA35" s="30">
        <v>3.5381787224002101</v>
      </c>
      <c r="BB35" s="30">
        <v>4.6375386298392902</v>
      </c>
      <c r="BC35" s="30">
        <v>3.2387912285195801</v>
      </c>
      <c r="BD35" s="30">
        <v>0.37074125634266603</v>
      </c>
      <c r="BE35" s="30">
        <v>1.68979816160051</v>
      </c>
      <c r="BF35" s="30">
        <v>2.6566844568105101</v>
      </c>
    </row>
    <row r="36" spans="1:58" x14ac:dyDescent="0.25">
      <c r="A36" s="21" t="s">
        <v>32</v>
      </c>
      <c r="B36" s="23" t="s">
        <v>43</v>
      </c>
      <c r="C36" s="23"/>
      <c r="D36" s="23" t="s">
        <v>112</v>
      </c>
      <c r="E36" s="23" t="s">
        <v>44</v>
      </c>
      <c r="F36" s="23"/>
      <c r="G36" s="23" t="s">
        <v>113</v>
      </c>
      <c r="H36" s="23" t="s">
        <v>37</v>
      </c>
      <c r="I36" s="23"/>
      <c r="J36" s="23" t="s">
        <v>111</v>
      </c>
      <c r="K36" s="23"/>
      <c r="L36" s="23"/>
      <c r="M36" s="23"/>
      <c r="O36" s="15" t="s">
        <v>32</v>
      </c>
      <c r="P36" s="147">
        <v>219478.81241795301</v>
      </c>
      <c r="Q36" s="147">
        <f t="shared" si="0"/>
        <v>238691.06322951044</v>
      </c>
      <c r="R36" s="147">
        <f t="shared" si="1"/>
        <v>251288.82935375956</v>
      </c>
      <c r="S36" s="147">
        <f t="shared" si="2"/>
        <v>243241.80049338858</v>
      </c>
      <c r="T36" s="147">
        <f t="shared" ref="T36" si="13">S36*(1+AJ36/100)</f>
        <v>239620.4378493948</v>
      </c>
      <c r="U36" s="147">
        <f t="shared" ref="U36" si="14">T36*(1+AK36/100)</f>
        <v>249628.00658165713</v>
      </c>
      <c r="V36" s="147">
        <f t="shared" ref="V36" si="15">U36*(1+AL36/100)</f>
        <v>263671.97082970705</v>
      </c>
      <c r="W36" s="147">
        <f t="shared" ref="W36" si="16">V36*(1+AM36/100)</f>
        <v>267213.33334472158</v>
      </c>
      <c r="X36" s="147">
        <f t="shared" ref="X36" si="17">W36*(1+AN36/100)</f>
        <v>256807.01343286649</v>
      </c>
      <c r="Y36" s="147">
        <f t="shared" ref="Y36" si="18">X36*(1+AO36/100)</f>
        <v>240884.97860002876</v>
      </c>
      <c r="Z36" s="147">
        <f t="shared" ref="Z36" si="19">Y36*(1+AP36/100)</f>
        <v>201138.95713102401</v>
      </c>
      <c r="AA36" s="147">
        <f>Z36*(1+AQ36/100)</f>
        <v>174990.89270399089</v>
      </c>
      <c r="AB36" s="147">
        <f t="shared" si="11"/>
        <v>153991.98557951199</v>
      </c>
      <c r="AC36" s="147">
        <f t="shared" si="12"/>
        <v>139824.7229061969</v>
      </c>
      <c r="AD36" s="136"/>
      <c r="AE36" s="144" t="s">
        <v>128</v>
      </c>
      <c r="AF36" s="36" t="s">
        <v>32</v>
      </c>
      <c r="AG36" s="16">
        <v>8.7535788078584993</v>
      </c>
      <c r="AH36" s="16">
        <v>5.2778541239878196</v>
      </c>
      <c r="AI36" s="16">
        <v>-3.20230265749001</v>
      </c>
      <c r="AJ36" s="16">
        <v>-1.48879125078348</v>
      </c>
      <c r="AK36" s="16">
        <v>4.1764253592392802</v>
      </c>
      <c r="AL36" s="16">
        <v>5.6259569750864102</v>
      </c>
      <c r="AM36" s="16">
        <v>1.3430940360747501</v>
      </c>
      <c r="AN36" s="16">
        <v>-3.8943864745066099</v>
      </c>
      <c r="AO36" s="16">
        <v>-6.2</v>
      </c>
      <c r="AP36" s="16">
        <v>-16.5</v>
      </c>
      <c r="AQ36" s="16">
        <v>-13</v>
      </c>
      <c r="AR36" s="39">
        <f>INDEX('Tabla trabajo'!$K$7:$M$40,MATCH(insumos!$AF36,'Tabla trabajo'!$K$7:$K$40,0),MATCH(insumos!AR$3,'Tabla trabajo'!$K$7:$M$7,0))</f>
        <v>-12</v>
      </c>
      <c r="AS36" s="39">
        <f>INDEX('Tabla trabajo'!$K$7:$M$40,MATCH(insumos!$AF36,'Tabla trabajo'!$K$7:$K$40,0),MATCH(insumos!AS$3,'Tabla trabajo'!$K$7:$M$7,0))</f>
        <v>-9.1999999999999993</v>
      </c>
      <c r="AT36" s="30"/>
      <c r="AU36" s="162" t="s">
        <v>128</v>
      </c>
      <c r="AV36" s="30">
        <v>8.7535788078584993</v>
      </c>
      <c r="AW36" s="30">
        <v>5.2778541239878196</v>
      </c>
      <c r="AX36" s="30">
        <v>-3.20230265749001</v>
      </c>
      <c r="AY36" s="30">
        <v>-1.48879125078348</v>
      </c>
      <c r="AZ36" s="30">
        <v>4.1764253592392802</v>
      </c>
      <c r="BA36" s="30">
        <v>5.6259569750864102</v>
      </c>
      <c r="BB36" s="30">
        <v>1.3430940360747501</v>
      </c>
      <c r="BC36" s="30">
        <v>-3.8943864745066099</v>
      </c>
      <c r="BD36" s="163">
        <v>-5.7</v>
      </c>
      <c r="BE36" s="163">
        <v>-9.6999999999999904</v>
      </c>
      <c r="BF36" s="163">
        <v>-9.4999999999999396</v>
      </c>
    </row>
    <row r="37" spans="1:58" x14ac:dyDescent="0.25">
      <c r="AO37" s="135"/>
      <c r="AP37" s="135"/>
      <c r="AQ37" s="135"/>
    </row>
    <row r="38" spans="1:58" x14ac:dyDescent="0.25">
      <c r="O38" s="4" t="s">
        <v>42</v>
      </c>
      <c r="P38" s="152"/>
      <c r="Q38" s="152"/>
      <c r="R38" s="152"/>
      <c r="S38" s="152"/>
      <c r="T38" s="118"/>
      <c r="U38" s="96"/>
      <c r="V38" s="96"/>
      <c r="W38" s="96"/>
      <c r="X38" s="96"/>
      <c r="Y38" s="96"/>
      <c r="Z38" s="96"/>
      <c r="AA38" s="96"/>
      <c r="AB38" s="96"/>
      <c r="AC38" s="96"/>
      <c r="AF38" s="4" t="s">
        <v>42</v>
      </c>
      <c r="AG38" s="36"/>
      <c r="AH38" s="36"/>
      <c r="AI38" s="36"/>
      <c r="AJ38" s="36"/>
      <c r="AK38" s="118"/>
      <c r="AL38" s="96"/>
      <c r="AM38" s="96"/>
      <c r="AN38" s="96"/>
      <c r="AO38" s="96"/>
      <c r="AP38" s="96"/>
      <c r="AQ38" s="96"/>
      <c r="AR38" s="96"/>
      <c r="AS38" s="96"/>
    </row>
    <row r="39" spans="1:58" x14ac:dyDescent="0.25">
      <c r="A39" s="19"/>
      <c r="N39" s="19"/>
      <c r="O39" s="5" t="s">
        <v>33</v>
      </c>
      <c r="P39" s="8">
        <f t="shared" ref="P39:R39" si="20">SUMIF($B$4:$B$36,"=ALC",P$4:P$36)</f>
        <v>4433492.7203006968</v>
      </c>
      <c r="Q39" s="8">
        <f t="shared" si="20"/>
        <v>4682574.3930457179</v>
      </c>
      <c r="R39" s="8">
        <f t="shared" si="20"/>
        <v>4870166.3404496973</v>
      </c>
      <c r="S39" s="8">
        <f>SUMIF($B$4:$B$36,"=ALC",S$4:S$36)</f>
        <v>4782565.038290048</v>
      </c>
      <c r="T39" s="8">
        <f>SUMIF($B$4:$B$36,"=ALC",T$4:T$36)</f>
        <v>5080221.5782314232</v>
      </c>
      <c r="U39" s="8">
        <f t="shared" ref="U39:AC39" si="21">SUMIF($B$4:$B$36,"=ALC",U$4:U$36)</f>
        <v>5308425.5893758154</v>
      </c>
      <c r="V39" s="8">
        <f t="shared" si="21"/>
        <v>5455279.5386930574</v>
      </c>
      <c r="W39" s="8">
        <f t="shared" si="21"/>
        <v>5612057.5260455497</v>
      </c>
      <c r="X39" s="8">
        <f t="shared" si="21"/>
        <v>5679160.0793758379</v>
      </c>
      <c r="Y39" s="8">
        <f t="shared" si="21"/>
        <v>5669053.0841552317</v>
      </c>
      <c r="Z39" s="8">
        <f t="shared" si="21"/>
        <v>5606326.8585548364</v>
      </c>
      <c r="AA39" s="8">
        <f t="shared" si="21"/>
        <v>5674969.9782891124</v>
      </c>
      <c r="AB39" s="8">
        <f t="shared" si="21"/>
        <v>5750600.2298851209</v>
      </c>
      <c r="AC39" s="8">
        <f t="shared" si="21"/>
        <v>5872321.1955566043</v>
      </c>
      <c r="AE39" s="5" t="s">
        <v>33</v>
      </c>
      <c r="AF39" s="5" t="s">
        <v>33</v>
      </c>
      <c r="AG39" s="3">
        <f t="shared" ref="AG39:AG50" si="22">100*(Q39/P39-1)</f>
        <v>5.6181816111818828</v>
      </c>
      <c r="AH39" s="3">
        <f t="shared" ref="AH39:AH50" si="23">100*(R39/Q39-1)</f>
        <v>4.0061712139070282</v>
      </c>
      <c r="AI39" s="3">
        <f t="shared" ref="AI39:AI50" si="24">100*(S39/R39-1)</f>
        <v>-1.7987332677339429</v>
      </c>
      <c r="AJ39" s="3">
        <f t="shared" ref="AJ39:AJ50" si="25">100*(T39/S39-1)</f>
        <v>6.2237844662494934</v>
      </c>
      <c r="AK39" s="3">
        <f>100*(U39/T39-1)</f>
        <v>4.4920090124068279</v>
      </c>
      <c r="AL39" s="3">
        <f t="shared" ref="AL39:AL50" si="26">100*(V39/U39-1)</f>
        <v>2.7664313428665599</v>
      </c>
      <c r="AM39" s="3">
        <f t="shared" ref="AM39:AM50" si="27">100*(W39/V39-1)</f>
        <v>2.8738763291688674</v>
      </c>
      <c r="AN39" s="3">
        <f t="shared" ref="AN39:AN50" si="28">100*(X39/W39-1)</f>
        <v>1.1956854151773388</v>
      </c>
      <c r="AO39" s="3">
        <f t="shared" ref="AO39:AO50" si="29">100*(Y39/X39-1)</f>
        <v>-0.17796637318447939</v>
      </c>
      <c r="AP39" s="3">
        <f t="shared" ref="AP39:AP50" si="30">100*(Z39/Y39-1)</f>
        <v>-1.1064674235581329</v>
      </c>
      <c r="AQ39" s="3">
        <f t="shared" ref="AQ39:AQ50" si="31">100*(AA39/Z39-1)</f>
        <v>1.2243866878637544</v>
      </c>
      <c r="AR39" s="3">
        <f t="shared" ref="AR39:AR50" si="32">100*(AB39/AA39-1)</f>
        <v>1.3326987082812547</v>
      </c>
      <c r="AS39" s="3">
        <f t="shared" ref="AS39:AS50" si="33">100*(AC39/AB39-1)</f>
        <v>2.1166654054461276</v>
      </c>
    </row>
    <row r="40" spans="1:58" x14ac:dyDescent="0.25">
      <c r="A40" s="19"/>
      <c r="N40" s="19"/>
      <c r="O40" s="51" t="s">
        <v>65</v>
      </c>
      <c r="P40" s="8">
        <f t="shared" ref="P40:R40" si="34">SUMIF($C$4:$C$36,"=ALCsinV",P$4:P$36)</f>
        <v>4214013.9078827435</v>
      </c>
      <c r="Q40" s="8">
        <f t="shared" si="34"/>
        <v>4443883.3298162073</v>
      </c>
      <c r="R40" s="8">
        <f t="shared" si="34"/>
        <v>4618877.5110959373</v>
      </c>
      <c r="S40" s="8">
        <f>SUMIF($C$4:$C$36,"=ALCsinV",S$4:S$36)</f>
        <v>4539323.2377966596</v>
      </c>
      <c r="T40" s="8">
        <f>SUMIF($C$4:$C$36,"=ALCsinV",T$4:T$36)</f>
        <v>4840601.1403820282</v>
      </c>
      <c r="U40" s="8">
        <f t="shared" ref="U40:AC40" si="35">SUMIF($C$4:$C$36,"=ALCsinV",U$4:U$36)</f>
        <v>5058797.5827941578</v>
      </c>
      <c r="V40" s="8">
        <f t="shared" si="35"/>
        <v>5191607.5678633507</v>
      </c>
      <c r="W40" s="8">
        <f t="shared" si="35"/>
        <v>5344844.1927008284</v>
      </c>
      <c r="X40" s="8">
        <f t="shared" si="35"/>
        <v>5422353.065942971</v>
      </c>
      <c r="Y40" s="8">
        <f t="shared" si="35"/>
        <v>5428168.1055552028</v>
      </c>
      <c r="Z40" s="8">
        <f t="shared" si="35"/>
        <v>5405187.9014238119</v>
      </c>
      <c r="AA40" s="8">
        <f t="shared" si="35"/>
        <v>5499979.085585122</v>
      </c>
      <c r="AB40" s="8">
        <f t="shared" si="35"/>
        <v>5596608.2443056088</v>
      </c>
      <c r="AC40" s="8">
        <f t="shared" si="35"/>
        <v>5732496.4726504078</v>
      </c>
      <c r="AE40" s="51" t="s">
        <v>65</v>
      </c>
      <c r="AF40" s="51" t="s">
        <v>65</v>
      </c>
      <c r="AG40" s="3">
        <f t="shared" si="22"/>
        <v>5.4548804763902004</v>
      </c>
      <c r="AH40" s="3">
        <f t="shared" si="23"/>
        <v>3.9378662375226581</v>
      </c>
      <c r="AI40" s="3">
        <f t="shared" si="24"/>
        <v>-1.7223724402338991</v>
      </c>
      <c r="AJ40" s="3">
        <f t="shared" si="25"/>
        <v>6.6370665141618268</v>
      </c>
      <c r="AK40" s="3">
        <f t="shared" ref="AK40:AK50" si="36">100*(U40/T40-1)</f>
        <v>4.5076310996139846</v>
      </c>
      <c r="AL40" s="3">
        <f t="shared" si="26"/>
        <v>2.6253271236015063</v>
      </c>
      <c r="AM40" s="3">
        <f t="shared" si="27"/>
        <v>2.9516218788575355</v>
      </c>
      <c r="AN40" s="3">
        <f t="shared" si="28"/>
        <v>1.4501615098152509</v>
      </c>
      <c r="AO40" s="3">
        <f t="shared" si="29"/>
        <v>0.10724199515437238</v>
      </c>
      <c r="AP40" s="3">
        <f t="shared" si="30"/>
        <v>-0.42335100322100638</v>
      </c>
      <c r="AQ40" s="3">
        <f t="shared" si="31"/>
        <v>1.7537074730804569</v>
      </c>
      <c r="AR40" s="3">
        <f t="shared" si="32"/>
        <v>1.756900475744394</v>
      </c>
      <c r="AS40" s="3">
        <f t="shared" si="33"/>
        <v>2.4280461024418054</v>
      </c>
    </row>
    <row r="41" spans="1:58" x14ac:dyDescent="0.25">
      <c r="A41" s="19"/>
      <c r="N41" s="19"/>
      <c r="O41" s="119" t="s">
        <v>114</v>
      </c>
      <c r="P41" s="8">
        <f t="shared" ref="P41:R41" si="37">SUMIF($D$4:$D$36,"=ALCsinB",P$4:P$36)</f>
        <v>2588404.3057428966</v>
      </c>
      <c r="Q41" s="8">
        <f t="shared" si="37"/>
        <v>2725491.4975118362</v>
      </c>
      <c r="R41" s="8">
        <f t="shared" si="37"/>
        <v>2813385.8186654062</v>
      </c>
      <c r="S41" s="8">
        <f>SUMIF($D$4:$D$36,"=ALCsinB",S$4:S$36)</f>
        <v>2728372.193868225</v>
      </c>
      <c r="T41" s="8">
        <f>SUMIF($D$4:$D$36,"=ALCsinB",T$4:T$36)</f>
        <v>2871384.460803465</v>
      </c>
      <c r="U41" s="8">
        <f t="shared" ref="U41:AC41" si="38">SUMIF($D$4:$D$36,"=ALCsinB",U$4:U$36)</f>
        <v>3011799.9397654044</v>
      </c>
      <c r="V41" s="8">
        <f t="shared" si="38"/>
        <v>3114531.6686348133</v>
      </c>
      <c r="W41" s="8">
        <f t="shared" si="38"/>
        <v>3200974.3333334909</v>
      </c>
      <c r="X41" s="8">
        <f t="shared" si="38"/>
        <v>3255926.094511346</v>
      </c>
      <c r="Y41" s="8">
        <f t="shared" si="38"/>
        <v>3331741.2428642553</v>
      </c>
      <c r="Z41" s="8">
        <f t="shared" si="38"/>
        <v>3349949.4818302151</v>
      </c>
      <c r="AA41" s="8">
        <f t="shared" si="38"/>
        <v>3396357.4368921909</v>
      </c>
      <c r="AB41" s="8">
        <f t="shared" si="38"/>
        <v>3440087.1129086432</v>
      </c>
      <c r="AC41" s="8">
        <f t="shared" si="38"/>
        <v>3506355.7637726911</v>
      </c>
      <c r="AE41" s="119" t="s">
        <v>114</v>
      </c>
      <c r="AF41" s="119" t="s">
        <v>114</v>
      </c>
      <c r="AG41" s="3">
        <f t="shared" si="22"/>
        <v>5.296204749187905</v>
      </c>
      <c r="AH41" s="3">
        <f t="shared" si="23"/>
        <v>3.224898013213795</v>
      </c>
      <c r="AI41" s="3">
        <f t="shared" si="24"/>
        <v>-3.0217549343271144</v>
      </c>
      <c r="AJ41" s="3">
        <f t="shared" si="25"/>
        <v>5.2416700058975696</v>
      </c>
      <c r="AK41" s="3">
        <f t="shared" ref="AK41" si="39">100*(U41/T41-1)</f>
        <v>4.8901664294250802</v>
      </c>
      <c r="AL41" s="3">
        <f t="shared" ref="AL41" si="40">100*(V41/U41-1)</f>
        <v>3.410974530978006</v>
      </c>
      <c r="AM41" s="3">
        <f t="shared" ref="AM41" si="41">100*(W41/V41-1)</f>
        <v>2.7754626985882602</v>
      </c>
      <c r="AN41" s="3">
        <f t="shared" ref="AN41" si="42">100*(X41/W41-1)</f>
        <v>1.7167198313842169</v>
      </c>
      <c r="AO41" s="3">
        <f t="shared" ref="AO41" si="43">100*(Y41/X41-1)</f>
        <v>2.3285279257632574</v>
      </c>
      <c r="AP41" s="3">
        <f t="shared" ref="AP41" si="44">100*(Z41/Y41-1)</f>
        <v>0.54650819612589441</v>
      </c>
      <c r="AQ41" s="3">
        <f t="shared" ref="AQ41" si="45">100*(AA41/Z41-1)</f>
        <v>1.3853329822938409</v>
      </c>
      <c r="AR41" s="3">
        <f t="shared" si="32"/>
        <v>1.287546344252477</v>
      </c>
      <c r="AS41" s="3">
        <f t="shared" si="33"/>
        <v>1.9263654869488667</v>
      </c>
    </row>
    <row r="42" spans="1:58" x14ac:dyDescent="0.25">
      <c r="A42" s="19"/>
      <c r="N42" s="19"/>
      <c r="O42" s="10" t="s">
        <v>34</v>
      </c>
      <c r="P42" s="8">
        <f t="shared" ref="P42:R42" si="46">SUMIF($E$4:$E$36,"=AL",P$4:P$36)</f>
        <v>4373538.6113419645</v>
      </c>
      <c r="Q42" s="8">
        <f t="shared" si="46"/>
        <v>4618809.7870537918</v>
      </c>
      <c r="R42" s="8">
        <f t="shared" si="46"/>
        <v>4805617.6152542336</v>
      </c>
      <c r="S42" s="8">
        <f>SUMIF($E$4:$E$36,"=AL",S$4:S$36)</f>
        <v>4720305.9541321397</v>
      </c>
      <c r="T42" s="8">
        <f>SUMIF($E$4:$E$36,"=AL",T$4:T$36)</f>
        <v>5017055.8336045239</v>
      </c>
      <c r="U42" s="8">
        <f t="shared" ref="U42:AC42" si="47">SUMIF($E$4:$E$36,"=AL",U$4:U$36)</f>
        <v>5244562.7467144579</v>
      </c>
      <c r="V42" s="8">
        <f t="shared" si="47"/>
        <v>5390565.1123319184</v>
      </c>
      <c r="W42" s="8">
        <f t="shared" si="47"/>
        <v>5546777.9462409187</v>
      </c>
      <c r="X42" s="8">
        <f t="shared" si="47"/>
        <v>5613443.772373938</v>
      </c>
      <c r="Y42" s="8">
        <f t="shared" si="47"/>
        <v>5602602.7093184814</v>
      </c>
      <c r="Z42" s="8">
        <f t="shared" si="47"/>
        <v>5541101.9918400301</v>
      </c>
      <c r="AA42" s="8">
        <f t="shared" si="47"/>
        <v>5609745.997176392</v>
      </c>
      <c r="AB42" s="8">
        <f t="shared" si="47"/>
        <v>5684238.1386775747</v>
      </c>
      <c r="AC42" s="8">
        <f t="shared" si="47"/>
        <v>5805959.1043490591</v>
      </c>
      <c r="AE42" s="10" t="s">
        <v>34</v>
      </c>
      <c r="AF42" s="10" t="s">
        <v>34</v>
      </c>
      <c r="AG42" s="3">
        <f t="shared" si="22"/>
        <v>5.6080715756289923</v>
      </c>
      <c r="AH42" s="3">
        <f t="shared" si="23"/>
        <v>4.0445014367998411</v>
      </c>
      <c r="AI42" s="3">
        <f t="shared" si="24"/>
        <v>-1.7752486350826824</v>
      </c>
      <c r="AJ42" s="3">
        <f t="shared" si="25"/>
        <v>6.2866662109605453</v>
      </c>
      <c r="AK42" s="3">
        <f t="shared" si="36"/>
        <v>4.5346697476651432</v>
      </c>
      <c r="AL42" s="3">
        <f t="shared" si="26"/>
        <v>2.7838806144311334</v>
      </c>
      <c r="AM42" s="3">
        <f t="shared" si="27"/>
        <v>2.8978934611444407</v>
      </c>
      <c r="AN42" s="3">
        <f t="shared" si="28"/>
        <v>1.2018838103695639</v>
      </c>
      <c r="AO42" s="3">
        <f t="shared" si="29"/>
        <v>-0.19312677734139028</v>
      </c>
      <c r="AP42" s="3">
        <f t="shared" si="30"/>
        <v>-1.0977169124657182</v>
      </c>
      <c r="AQ42" s="3">
        <f t="shared" si="31"/>
        <v>1.2388150486572602</v>
      </c>
      <c r="AR42" s="3">
        <f t="shared" si="32"/>
        <v>1.327905782876404</v>
      </c>
      <c r="AS42" s="3">
        <f t="shared" si="33"/>
        <v>2.141376956803609</v>
      </c>
    </row>
    <row r="43" spans="1:58" x14ac:dyDescent="0.25">
      <c r="A43" s="19"/>
      <c r="N43" s="19"/>
      <c r="O43" s="50" t="s">
        <v>66</v>
      </c>
      <c r="P43" s="8">
        <f t="shared" ref="P43:R43" si="48">SUMIF($F$4:$F$36,"=ALsinV",P$4:P$36)</f>
        <v>4154059.7989240112</v>
      </c>
      <c r="Q43" s="8">
        <f t="shared" si="48"/>
        <v>4380118.7238242812</v>
      </c>
      <c r="R43" s="8">
        <f t="shared" si="48"/>
        <v>4554328.7859004736</v>
      </c>
      <c r="S43" s="8">
        <f>SUMIF($F$4:$F$36,"=ALsinV",S$4:S$36)</f>
        <v>4477064.1536387512</v>
      </c>
      <c r="T43" s="8">
        <f>SUMIF($F$4:$F$36,"=ALsinV",T$4:T$36)</f>
        <v>4777435.3957551289</v>
      </c>
      <c r="U43" s="8">
        <f t="shared" ref="U43:AC43" si="49">SUMIF($F$4:$F$36,"=ALsinV",U$4:U$36)</f>
        <v>4994934.7401328003</v>
      </c>
      <c r="V43" s="8">
        <f t="shared" si="49"/>
        <v>5126893.1415022118</v>
      </c>
      <c r="W43" s="8">
        <f t="shared" si="49"/>
        <v>5279564.6128961975</v>
      </c>
      <c r="X43" s="8">
        <f t="shared" si="49"/>
        <v>5356636.7589410711</v>
      </c>
      <c r="Y43" s="8">
        <f t="shared" si="49"/>
        <v>5361717.7307184525</v>
      </c>
      <c r="Z43" s="8">
        <f t="shared" si="49"/>
        <v>5339963.0347090056</v>
      </c>
      <c r="AA43" s="8">
        <f t="shared" si="49"/>
        <v>5434755.1044724016</v>
      </c>
      <c r="AB43" s="8">
        <f t="shared" si="49"/>
        <v>5530246.1530980626</v>
      </c>
      <c r="AC43" s="8">
        <f t="shared" si="49"/>
        <v>5666134.3814428626</v>
      </c>
      <c r="AE43" s="50" t="s">
        <v>66</v>
      </c>
      <c r="AF43" s="50" t="s">
        <v>66</v>
      </c>
      <c r="AG43" s="3">
        <f t="shared" si="22"/>
        <v>5.4418794105665969</v>
      </c>
      <c r="AH43" s="3">
        <f t="shared" si="23"/>
        <v>3.977290869506156</v>
      </c>
      <c r="AI43" s="3">
        <f t="shared" si="24"/>
        <v>-1.6965097579454969</v>
      </c>
      <c r="AJ43" s="3">
        <f t="shared" si="25"/>
        <v>6.709111860107031</v>
      </c>
      <c r="AK43" s="3">
        <f t="shared" si="36"/>
        <v>4.5526381072766631</v>
      </c>
      <c r="AL43" s="3">
        <f t="shared" si="26"/>
        <v>2.6418443530235924</v>
      </c>
      <c r="AM43" s="3">
        <f t="shared" si="27"/>
        <v>2.9778555390224559</v>
      </c>
      <c r="AN43" s="3">
        <f t="shared" si="28"/>
        <v>1.4598201119958354</v>
      </c>
      <c r="AO43" s="3">
        <f t="shared" si="29"/>
        <v>9.4853767504399222E-2</v>
      </c>
      <c r="AP43" s="3">
        <f t="shared" si="30"/>
        <v>-0.40574116546288064</v>
      </c>
      <c r="AQ43" s="3">
        <f t="shared" si="31"/>
        <v>1.7751446807264593</v>
      </c>
      <c r="AR43" s="3">
        <f t="shared" si="32"/>
        <v>1.7570441867211128</v>
      </c>
      <c r="AS43" s="3">
        <f t="shared" si="33"/>
        <v>2.4571822769348994</v>
      </c>
    </row>
    <row r="44" spans="1:58" x14ac:dyDescent="0.25">
      <c r="A44" s="19"/>
      <c r="N44" s="19"/>
      <c r="O44" s="50" t="s">
        <v>115</v>
      </c>
      <c r="P44" s="8">
        <f t="shared" ref="P44:R44" si="50">SUMIF($G$4:$G$36,"=ALsinB",P$4:P$36)</f>
        <v>2528450.1967841643</v>
      </c>
      <c r="Q44" s="8">
        <f t="shared" si="50"/>
        <v>2661726.8915199102</v>
      </c>
      <c r="R44" s="8">
        <f t="shared" si="50"/>
        <v>2748837.093469942</v>
      </c>
      <c r="S44" s="8">
        <f>SUMIF($G$4:$G$36,"=ALsinB",S$4:S$36)</f>
        <v>2666113.1097103171</v>
      </c>
      <c r="T44" s="8">
        <f>SUMIF($G$4:$G$36,"=ALsinB",T$4:T$36)</f>
        <v>2808218.7161765671</v>
      </c>
      <c r="U44" s="8">
        <f t="shared" ref="U44:AC44" si="51">SUMIF($G$4:$G$36,"=ALsinB",U$4:U$36)</f>
        <v>2947937.0971040456</v>
      </c>
      <c r="V44" s="8">
        <f t="shared" si="51"/>
        <v>3049817.2422736739</v>
      </c>
      <c r="W44" s="8">
        <f t="shared" si="51"/>
        <v>3135694.7535288599</v>
      </c>
      <c r="X44" s="8">
        <f t="shared" si="51"/>
        <v>3190209.7875094446</v>
      </c>
      <c r="Y44" s="8">
        <f t="shared" si="51"/>
        <v>3265290.8680275059</v>
      </c>
      <c r="Z44" s="8">
        <f t="shared" si="51"/>
        <v>3284724.6151154093</v>
      </c>
      <c r="AA44" s="8">
        <f t="shared" si="51"/>
        <v>3331133.4557794719</v>
      </c>
      <c r="AB44" s="8">
        <f t="shared" si="51"/>
        <v>3373725.0217010975</v>
      </c>
      <c r="AC44" s="8">
        <f t="shared" si="51"/>
        <v>3439993.6725651454</v>
      </c>
      <c r="AE44" s="50" t="s">
        <v>115</v>
      </c>
      <c r="AF44" s="50" t="s">
        <v>115</v>
      </c>
      <c r="AG44" s="3">
        <f t="shared" si="22"/>
        <v>5.2710824561723824</v>
      </c>
      <c r="AH44" s="3">
        <f t="shared" si="23"/>
        <v>3.2726949645945691</v>
      </c>
      <c r="AI44" s="3">
        <f t="shared" si="24"/>
        <v>-3.0094174717061883</v>
      </c>
      <c r="AJ44" s="3">
        <f t="shared" si="25"/>
        <v>5.3300666782922113</v>
      </c>
      <c r="AK44" s="3">
        <f t="shared" ref="AK44" si="52">100*(U44/T44-1)</f>
        <v>4.9753382855345141</v>
      </c>
      <c r="AL44" s="3">
        <f t="shared" ref="AL44" si="53">100*(V44/U44-1)</f>
        <v>3.4559809729221236</v>
      </c>
      <c r="AM44" s="3">
        <f t="shared" ref="AM44" si="54">100*(W44/V44-1)</f>
        <v>2.8158248325451662</v>
      </c>
      <c r="AN44" s="3">
        <f t="shared" ref="AN44" si="55">100*(X44/W44-1)</f>
        <v>1.7385312750622273</v>
      </c>
      <c r="AO44" s="3">
        <f t="shared" ref="AO44" si="56">100*(Y44/X44-1)</f>
        <v>2.3534841129265072</v>
      </c>
      <c r="AP44" s="3">
        <f t="shared" ref="AP44" si="57">100*(Z44/Y44-1)</f>
        <v>0.59516128496213128</v>
      </c>
      <c r="AQ44" s="3">
        <f t="shared" ref="AQ44" si="58">100*(AA44/Z44-1)</f>
        <v>1.4128685385222717</v>
      </c>
      <c r="AR44" s="3">
        <f t="shared" si="32"/>
        <v>1.2785908006096136</v>
      </c>
      <c r="AS44" s="3">
        <f t="shared" si="33"/>
        <v>1.9642576214060847</v>
      </c>
    </row>
    <row r="45" spans="1:58" x14ac:dyDescent="0.25">
      <c r="A45" s="19"/>
      <c r="N45" s="19"/>
      <c r="O45" s="11" t="s">
        <v>39</v>
      </c>
      <c r="P45" s="8">
        <f t="shared" ref="P45:R45" si="59">SUMIF($H$4:$H$36,"=ASUR",P$4:P$36)</f>
        <v>3110594.4341843254</v>
      </c>
      <c r="Q45" s="8">
        <f t="shared" si="59"/>
        <v>3315195.4249786879</v>
      </c>
      <c r="R45" s="8">
        <f t="shared" si="59"/>
        <v>3479650.2039226093</v>
      </c>
      <c r="S45" s="8">
        <f>SUMIF($H$4:$H$36,"=ASUR",S$4:S$36)</f>
        <v>3449679.193946573</v>
      </c>
      <c r="T45" s="8">
        <f>SUMIF($H$4:$H$36,"=ASUR",T$4:T$36)</f>
        <v>3683868.3488084557</v>
      </c>
      <c r="U45" s="8">
        <f t="shared" ref="U45:AC45" si="60">SUMIF($H$4:$H$36,"=ASUR",U$4:U$36)</f>
        <v>3860164.9551504492</v>
      </c>
      <c r="V45" s="8">
        <f t="shared" si="60"/>
        <v>3954572.3326979838</v>
      </c>
      <c r="W45" s="8">
        <f t="shared" si="60"/>
        <v>4083041.232546872</v>
      </c>
      <c r="X45" s="8">
        <f t="shared" si="60"/>
        <v>4105115.1083733835</v>
      </c>
      <c r="Y45" s="8">
        <f t="shared" si="60"/>
        <v>4040058.3139916677</v>
      </c>
      <c r="Z45" s="8">
        <f t="shared" si="60"/>
        <v>3930743.5124279</v>
      </c>
      <c r="AA45" s="8">
        <f t="shared" si="60"/>
        <v>3961733.6798750204</v>
      </c>
      <c r="AB45" s="8">
        <f t="shared" si="60"/>
        <v>3995906.328571904</v>
      </c>
      <c r="AC45" s="8">
        <f t="shared" si="60"/>
        <v>4074697.4656455955</v>
      </c>
      <c r="AE45" s="11" t="s">
        <v>39</v>
      </c>
      <c r="AF45" s="11" t="s">
        <v>39</v>
      </c>
      <c r="AG45" s="3">
        <f t="shared" si="22"/>
        <v>6.5775527836695824</v>
      </c>
      <c r="AH45" s="3">
        <f t="shared" si="23"/>
        <v>4.9606360368628533</v>
      </c>
      <c r="AI45" s="3">
        <f t="shared" si="24"/>
        <v>-0.86132249564194741</v>
      </c>
      <c r="AJ45" s="3">
        <f t="shared" si="25"/>
        <v>6.7887227100083214</v>
      </c>
      <c r="AK45" s="3">
        <f t="shared" si="36"/>
        <v>4.7856380752318906</v>
      </c>
      <c r="AL45" s="3">
        <f t="shared" si="26"/>
        <v>2.4456824680917144</v>
      </c>
      <c r="AM45" s="3">
        <f t="shared" si="27"/>
        <v>3.2486167666388566</v>
      </c>
      <c r="AN45" s="3">
        <f t="shared" si="28"/>
        <v>0.5406233875512978</v>
      </c>
      <c r="AO45" s="3">
        <f t="shared" si="29"/>
        <v>-1.5847739384704851</v>
      </c>
      <c r="AP45" s="3">
        <f t="shared" si="30"/>
        <v>-2.7057728643466561</v>
      </c>
      <c r="AQ45" s="3">
        <f t="shared" si="31"/>
        <v>0.78840472162933217</v>
      </c>
      <c r="AR45" s="3">
        <f t="shared" si="32"/>
        <v>0.86256804364399642</v>
      </c>
      <c r="AS45" s="3">
        <f t="shared" si="33"/>
        <v>1.9717963984869247</v>
      </c>
    </row>
    <row r="46" spans="1:58" x14ac:dyDescent="0.25">
      <c r="A46" s="19"/>
      <c r="N46" s="19"/>
      <c r="O46" s="49" t="s">
        <v>64</v>
      </c>
      <c r="P46" s="8">
        <f t="shared" ref="P46:R46" si="61">SUMIF($I$4:$I$36,"=ASURsinV",P$4:P$36)</f>
        <v>2891115.6217663726</v>
      </c>
      <c r="Q46" s="8">
        <f t="shared" si="61"/>
        <v>3076504.3617491773</v>
      </c>
      <c r="R46" s="8">
        <f t="shared" si="61"/>
        <v>3228361.3745688498</v>
      </c>
      <c r="S46" s="8">
        <f>SUMIF($I$4:$I$36,"=ASURsinV",S$4:S$36)</f>
        <v>3206437.3934531845</v>
      </c>
      <c r="T46" s="8">
        <f>SUMIF($I$4:$I$36,"=ASURsinV",T$4:T$36)</f>
        <v>3444247.9109590608</v>
      </c>
      <c r="U46" s="8">
        <f t="shared" ref="U46:AC46" si="62">SUMIF($I$4:$I$36,"=ASURsinV",U$4:U$36)</f>
        <v>3610536.9485687921</v>
      </c>
      <c r="V46" s="8">
        <f t="shared" si="62"/>
        <v>3690900.3618682767</v>
      </c>
      <c r="W46" s="8">
        <f t="shared" si="62"/>
        <v>3815827.8992021503</v>
      </c>
      <c r="X46" s="8">
        <f t="shared" si="62"/>
        <v>3848308.0949405171</v>
      </c>
      <c r="Y46" s="8">
        <f t="shared" si="62"/>
        <v>3799173.3353916388</v>
      </c>
      <c r="Z46" s="8">
        <f t="shared" si="62"/>
        <v>3729604.555296876</v>
      </c>
      <c r="AA46" s="8">
        <f t="shared" si="62"/>
        <v>3786742.7871710295</v>
      </c>
      <c r="AB46" s="8">
        <f t="shared" si="62"/>
        <v>3841914.3429923919</v>
      </c>
      <c r="AC46" s="8">
        <f t="shared" si="62"/>
        <v>3934872.7427393985</v>
      </c>
      <c r="AE46" s="49" t="s">
        <v>64</v>
      </c>
      <c r="AF46" s="49" t="s">
        <v>64</v>
      </c>
      <c r="AG46" s="3">
        <f t="shared" si="22"/>
        <v>6.4123599411613386</v>
      </c>
      <c r="AH46" s="3">
        <f t="shared" si="23"/>
        <v>4.9360246228720595</v>
      </c>
      <c r="AI46" s="3">
        <f t="shared" si="24"/>
        <v>-0.67910554525802969</v>
      </c>
      <c r="AJ46" s="3">
        <f t="shared" si="25"/>
        <v>7.4166586876585061</v>
      </c>
      <c r="AK46" s="3">
        <f t="shared" si="36"/>
        <v>4.8280217309742746</v>
      </c>
      <c r="AL46" s="3">
        <f t="shared" si="26"/>
        <v>2.2258022683119272</v>
      </c>
      <c r="AM46" s="3">
        <f t="shared" si="27"/>
        <v>3.384744238141324</v>
      </c>
      <c r="AN46" s="3">
        <f t="shared" si="28"/>
        <v>0.85119655803025385</v>
      </c>
      <c r="AO46" s="3">
        <f t="shared" si="29"/>
        <v>-1.276788612987545</v>
      </c>
      <c r="AP46" s="3">
        <f t="shared" si="30"/>
        <v>-1.8311557266073364</v>
      </c>
      <c r="AQ46" s="3">
        <f t="shared" si="31"/>
        <v>1.5320185029537248</v>
      </c>
      <c r="AR46" s="3">
        <f t="shared" si="32"/>
        <v>1.4569660238946236</v>
      </c>
      <c r="AS46" s="3">
        <f t="shared" si="33"/>
        <v>2.4195854318449728</v>
      </c>
    </row>
    <row r="47" spans="1:58" x14ac:dyDescent="0.25">
      <c r="A47" s="19"/>
      <c r="N47" s="19"/>
      <c r="O47" s="49" t="s">
        <v>116</v>
      </c>
      <c r="P47" s="8">
        <f t="shared" ref="P47:R47" si="63">SUMIF($J$4:$J$36,"=ASURsinB",P$4:P$36)</f>
        <v>1265506.0196265252</v>
      </c>
      <c r="Q47" s="8">
        <f t="shared" si="63"/>
        <v>1358112.5294448063</v>
      </c>
      <c r="R47" s="8">
        <f t="shared" si="63"/>
        <v>1422869.6821383191</v>
      </c>
      <c r="S47" s="8">
        <f>SUMIF($J$4:$J$36,"=ASURsinB",S$4:S$36)</f>
        <v>1395486.3495247504</v>
      </c>
      <c r="T47" s="8">
        <f>SUMIF($J$4:$J$36,"=ASURsinB",T$4:T$36)</f>
        <v>1475031.231380499</v>
      </c>
      <c r="U47" s="8">
        <f t="shared" ref="U47:AC47" si="64">SUMIF($J$4:$J$36,"=ASURsinB",U$4:U$36)</f>
        <v>1563539.3055400369</v>
      </c>
      <c r="V47" s="8">
        <f t="shared" si="64"/>
        <v>1613824.4626397383</v>
      </c>
      <c r="W47" s="8">
        <f t="shared" si="64"/>
        <v>1671958.0398348146</v>
      </c>
      <c r="X47" s="8">
        <f t="shared" si="64"/>
        <v>1681881.1235088916</v>
      </c>
      <c r="Y47" s="8">
        <f t="shared" si="64"/>
        <v>1702746.472700692</v>
      </c>
      <c r="Z47" s="8">
        <f t="shared" si="64"/>
        <v>1674366.1357032808</v>
      </c>
      <c r="AA47" s="8">
        <f t="shared" si="64"/>
        <v>1683121.1384781005</v>
      </c>
      <c r="AB47" s="8">
        <f t="shared" si="64"/>
        <v>1685393.211595427</v>
      </c>
      <c r="AC47" s="8">
        <f t="shared" si="64"/>
        <v>1708732.0338616828</v>
      </c>
      <c r="AE47" s="49" t="s">
        <v>116</v>
      </c>
      <c r="AF47" s="49" t="s">
        <v>116</v>
      </c>
      <c r="AG47" s="3">
        <f t="shared" si="22"/>
        <v>7.3177455011720127</v>
      </c>
      <c r="AH47" s="3">
        <f t="shared" si="23"/>
        <v>4.7681728346903318</v>
      </c>
      <c r="AI47" s="3">
        <f t="shared" si="24"/>
        <v>-1.9245144483236554</v>
      </c>
      <c r="AJ47" s="3">
        <f t="shared" si="25"/>
        <v>5.7001547799330643</v>
      </c>
      <c r="AK47" s="3">
        <f t="shared" ref="AK47" si="65">100*(U47/T47-1)</f>
        <v>6.0004203488425167</v>
      </c>
      <c r="AL47" s="3">
        <f t="shared" ref="AL47" si="66">100*(V47/U47-1)</f>
        <v>3.2161108404200389</v>
      </c>
      <c r="AM47" s="3">
        <f t="shared" ref="AM47" si="67">100*(W47/V47-1)</f>
        <v>3.6022243150278577</v>
      </c>
      <c r="AN47" s="3">
        <f t="shared" ref="AN47" si="68">100*(X47/W47-1)</f>
        <v>0.59350076004642816</v>
      </c>
      <c r="AO47" s="3">
        <f t="shared" ref="AO47" si="69">100*(Y47/X47-1)</f>
        <v>1.2405959553353663</v>
      </c>
      <c r="AP47" s="3">
        <f t="shared" ref="AP47" si="70">100*(Z47/Y47-1)</f>
        <v>-1.6667388511689474</v>
      </c>
      <c r="AQ47" s="3">
        <f t="shared" ref="AQ47" si="71">100*(AA47/Z47-1)</f>
        <v>0.52288460618814536</v>
      </c>
      <c r="AR47" s="3">
        <f t="shared" si="32"/>
        <v>0.1349916571887988</v>
      </c>
      <c r="AS47" s="3">
        <f t="shared" si="33"/>
        <v>1.3847701596093831</v>
      </c>
    </row>
    <row r="48" spans="1:58" x14ac:dyDescent="0.25">
      <c r="A48" s="19"/>
      <c r="N48" s="19"/>
      <c r="O48" s="6" t="s">
        <v>41</v>
      </c>
      <c r="P48" s="8">
        <f t="shared" ref="P48:R48" si="72">SUMIF($K$4:$K$36,"=ACMEX",P$4:P$36)</f>
        <v>1262944.1771576388</v>
      </c>
      <c r="Q48" s="8">
        <f t="shared" si="72"/>
        <v>1303614.3620751041</v>
      </c>
      <c r="R48" s="8">
        <f t="shared" si="72"/>
        <v>1325967.4113316238</v>
      </c>
      <c r="S48" s="8">
        <f>SUMIF($K$4:$K$36,"=ACMEX",S$4:S$36)</f>
        <v>1270626.760185567</v>
      </c>
      <c r="T48" s="8">
        <f>SUMIF($K$4:$K$36,"=ACMEX",T$4:T$36)</f>
        <v>1333187.4847960682</v>
      </c>
      <c r="U48" s="8">
        <f t="shared" ref="U48:AC48" si="73">SUMIF($K$4:$K$36,"=ACMEX",U$4:U$36)</f>
        <v>1384397.7915640085</v>
      </c>
      <c r="V48" s="8">
        <f t="shared" si="73"/>
        <v>1435992.7796339353</v>
      </c>
      <c r="W48" s="8">
        <f t="shared" si="73"/>
        <v>1463736.7136940453</v>
      </c>
      <c r="X48" s="8">
        <f t="shared" si="73"/>
        <v>1508328.6640005538</v>
      </c>
      <c r="Y48" s="8">
        <f t="shared" si="73"/>
        <v>1562544.3953268132</v>
      </c>
      <c r="Z48" s="8">
        <f t="shared" si="73"/>
        <v>1610358.4794121285</v>
      </c>
      <c r="AA48" s="8">
        <f t="shared" si="73"/>
        <v>1648012.3173013714</v>
      </c>
      <c r="AB48" s="8">
        <f t="shared" si="73"/>
        <v>1688331.8101056702</v>
      </c>
      <c r="AC48" s="8">
        <f t="shared" si="73"/>
        <v>1731261.6387034634</v>
      </c>
      <c r="AE48" s="6" t="s">
        <v>41</v>
      </c>
      <c r="AF48" s="6" t="s">
        <v>41</v>
      </c>
      <c r="AG48" s="3">
        <f t="shared" si="22"/>
        <v>3.2202678196748824</v>
      </c>
      <c r="AH48" s="3">
        <f t="shared" si="23"/>
        <v>1.7146979894374414</v>
      </c>
      <c r="AI48" s="3">
        <f t="shared" si="24"/>
        <v>-4.1736056763627456</v>
      </c>
      <c r="AJ48" s="3">
        <f t="shared" si="25"/>
        <v>4.9236114467921865</v>
      </c>
      <c r="AK48" s="3">
        <f t="shared" si="36"/>
        <v>3.8411931819007261</v>
      </c>
      <c r="AL48" s="3">
        <f t="shared" si="26"/>
        <v>3.7268903767635919</v>
      </c>
      <c r="AM48" s="3">
        <f t="shared" si="27"/>
        <v>1.9320385487719971</v>
      </c>
      <c r="AN48" s="3">
        <f t="shared" si="28"/>
        <v>3.0464461189862124</v>
      </c>
      <c r="AO48" s="3">
        <f t="shared" si="29"/>
        <v>3.5944242538269222</v>
      </c>
      <c r="AP48" s="3">
        <f t="shared" si="30"/>
        <v>3.0600144372419313</v>
      </c>
      <c r="AQ48" s="3">
        <f t="shared" si="31"/>
        <v>2.338227069974419</v>
      </c>
      <c r="AR48" s="3">
        <f t="shared" si="32"/>
        <v>2.4465528795514224</v>
      </c>
      <c r="AS48" s="3">
        <f t="shared" si="33"/>
        <v>2.5427364657132356</v>
      </c>
    </row>
    <row r="49" spans="1:45" x14ac:dyDescent="0.25">
      <c r="A49" s="19"/>
      <c r="N49" s="19"/>
      <c r="O49" s="18" t="s">
        <v>40</v>
      </c>
      <c r="P49" s="8">
        <f t="shared" ref="P49:R49" si="74">SUMIF($L$4:$L$36,"=ACENT",P$4:P$36)</f>
        <v>236032.19479252881</v>
      </c>
      <c r="Q49" s="8">
        <f t="shared" si="74"/>
        <v>253171.24902970967</v>
      </c>
      <c r="R49" s="8">
        <f t="shared" si="74"/>
        <v>263511.59281977697</v>
      </c>
      <c r="S49" s="8">
        <f>SUMIF($L$4:$L$36,"=ACENT",S$4:S$36)</f>
        <v>264329.63780698658</v>
      </c>
      <c r="T49" s="8">
        <f>SUMIF($L$4:$L$36,"=ACENT",T$4:T$36)</f>
        <v>275386.88682241272</v>
      </c>
      <c r="U49" s="8">
        <f t="shared" ref="U49:AC49" si="75">SUMIF($L$4:$L$36,"=ACENT",U$4:U$36)</f>
        <v>287849.87380826968</v>
      </c>
      <c r="V49" s="8">
        <f t="shared" si="75"/>
        <v>299505.04837914323</v>
      </c>
      <c r="W49" s="8">
        <f t="shared" si="75"/>
        <v>311859.89342670748</v>
      </c>
      <c r="X49" s="8">
        <f t="shared" si="75"/>
        <v>324149.29983293969</v>
      </c>
      <c r="Y49" s="8">
        <f t="shared" si="75"/>
        <v>339429.31314435764</v>
      </c>
      <c r="Z49" s="8">
        <f t="shared" si="75"/>
        <v>351799.23977791326</v>
      </c>
      <c r="AA49" s="8">
        <f t="shared" si="75"/>
        <v>363759.97292455239</v>
      </c>
      <c r="AB49" s="8">
        <f t="shared" si="75"/>
        <v>375825.91415256087</v>
      </c>
      <c r="AC49" s="8">
        <f t="shared" si="75"/>
        <v>388568.10714343283</v>
      </c>
      <c r="AE49" s="18" t="s">
        <v>40</v>
      </c>
      <c r="AF49" s="18" t="s">
        <v>40</v>
      </c>
      <c r="AG49" s="3">
        <f t="shared" si="22"/>
        <v>7.2613205381774293</v>
      </c>
      <c r="AH49" s="3">
        <f t="shared" si="23"/>
        <v>4.0843278333132726</v>
      </c>
      <c r="AI49" s="3">
        <f t="shared" si="24"/>
        <v>0.31043984761955912</v>
      </c>
      <c r="AJ49" s="3">
        <f t="shared" si="25"/>
        <v>4.1831287278879303</v>
      </c>
      <c r="AK49" s="3">
        <f t="shared" si="36"/>
        <v>4.52562833679655</v>
      </c>
      <c r="AL49" s="3">
        <f t="shared" si="26"/>
        <v>4.0490462673041794</v>
      </c>
      <c r="AM49" s="3">
        <f t="shared" si="27"/>
        <v>4.1250874115231095</v>
      </c>
      <c r="AN49" s="3">
        <f t="shared" si="28"/>
        <v>3.9406819104555568</v>
      </c>
      <c r="AO49" s="3">
        <f t="shared" si="29"/>
        <v>4.7138813254549605</v>
      </c>
      <c r="AP49" s="3">
        <f t="shared" si="30"/>
        <v>3.6443306911135176</v>
      </c>
      <c r="AQ49" s="3">
        <f t="shared" si="31"/>
        <v>3.3998746427621018</v>
      </c>
      <c r="AR49" s="3">
        <f t="shared" si="32"/>
        <v>3.3170063025353969</v>
      </c>
      <c r="AS49" s="3">
        <f t="shared" si="33"/>
        <v>3.3904508739382555</v>
      </c>
    </row>
    <row r="50" spans="1:45" x14ac:dyDescent="0.25">
      <c r="A50" s="19"/>
      <c r="N50" s="19"/>
      <c r="O50" s="7" t="s">
        <v>35</v>
      </c>
      <c r="P50" s="9">
        <f t="shared" ref="P50:R50" si="76">SUMIF($M$4:$M$36,"=CAR",P$4:P$36)</f>
        <v>59954.108958732584</v>
      </c>
      <c r="Q50" s="9">
        <f t="shared" si="76"/>
        <v>63764.605991926881</v>
      </c>
      <c r="R50" s="9">
        <f t="shared" si="76"/>
        <v>64548.725195463499</v>
      </c>
      <c r="S50" s="9">
        <f>SUMIF($M$4:$M$36,"=CAR",S$4:S$36)</f>
        <v>62259.084157908241</v>
      </c>
      <c r="T50" s="9">
        <f>SUMIF($M$4:$M$36,"=CAR",T$4:T$36)</f>
        <v>63165.744626897766</v>
      </c>
      <c r="U50" s="9">
        <f t="shared" ref="U50:AC50" si="77">SUMIF($M$4:$M$36,"=CAR",U$4:U$36)</f>
        <v>63862.842661358154</v>
      </c>
      <c r="V50" s="9">
        <f t="shared" si="77"/>
        <v>64714.426361139791</v>
      </c>
      <c r="W50" s="9">
        <f t="shared" si="77"/>
        <v>65279.579804630659</v>
      </c>
      <c r="X50" s="9">
        <f t="shared" si="77"/>
        <v>65716.307001900932</v>
      </c>
      <c r="Y50" s="9">
        <f t="shared" si="77"/>
        <v>66450.374836749033</v>
      </c>
      <c r="Z50" s="9">
        <f t="shared" si="77"/>
        <v>65224.866714805707</v>
      </c>
      <c r="AA50" s="9">
        <f t="shared" si="77"/>
        <v>65223.981112719674</v>
      </c>
      <c r="AB50" s="9">
        <f t="shared" si="77"/>
        <v>66362.091207545702</v>
      </c>
      <c r="AC50" s="9">
        <f t="shared" si="77"/>
        <v>66362.091207545702</v>
      </c>
      <c r="AE50" s="7" t="s">
        <v>35</v>
      </c>
      <c r="AF50" s="7" t="s">
        <v>35</v>
      </c>
      <c r="AG50" s="2">
        <f t="shared" si="22"/>
        <v>6.3556895421748694</v>
      </c>
      <c r="AH50" s="2">
        <f t="shared" si="23"/>
        <v>1.2297091644162261</v>
      </c>
      <c r="AI50" s="2">
        <f t="shared" si="24"/>
        <v>-3.5471514435364448</v>
      </c>
      <c r="AJ50" s="2">
        <f t="shared" si="25"/>
        <v>1.4562701672417022</v>
      </c>
      <c r="AK50" s="2">
        <f t="shared" si="36"/>
        <v>1.1036013880275641</v>
      </c>
      <c r="AL50" s="2">
        <f t="shared" si="26"/>
        <v>1.333457241008329</v>
      </c>
      <c r="AM50" s="2">
        <f t="shared" si="27"/>
        <v>0.87330364382280923</v>
      </c>
      <c r="AN50" s="2">
        <f t="shared" si="28"/>
        <v>0.66901042956666323</v>
      </c>
      <c r="AO50" s="2">
        <f t="shared" si="29"/>
        <v>1.1170253904055683</v>
      </c>
      <c r="AP50" s="2">
        <f t="shared" si="30"/>
        <v>-1.8442456117878536</v>
      </c>
      <c r="AQ50" s="2">
        <f t="shared" si="31"/>
        <v>-1.3577675672449274E-3</v>
      </c>
      <c r="AR50" s="2">
        <f t="shared" si="32"/>
        <v>1.7449258315881622</v>
      </c>
      <c r="AS50" s="2">
        <f t="shared" si="33"/>
        <v>0</v>
      </c>
    </row>
    <row r="52" spans="1:45" x14ac:dyDescent="0.25">
      <c r="R52" s="162"/>
      <c r="S52" s="162"/>
      <c r="T52" s="162"/>
      <c r="U52" s="162"/>
      <c r="V52" s="162"/>
      <c r="W52" s="162"/>
      <c r="X52" s="162"/>
      <c r="Y52" s="162"/>
      <c r="Z52" s="162"/>
      <c r="AA52" s="162"/>
    </row>
    <row r="55" spans="1:45" x14ac:dyDescent="0.25"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  <c r="AA55" s="153"/>
    </row>
    <row r="56" spans="1:45" x14ac:dyDescent="0.25"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  <c r="AA56" s="153"/>
    </row>
    <row r="57" spans="1:45" x14ac:dyDescent="0.25"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  <c r="AA57" s="153"/>
    </row>
  </sheetData>
  <autoFilter ref="A3:M36" xr:uid="{00000000-0009-0000-0000-000003000000}"/>
  <conditionalFormatting sqref="AR4:AS36">
    <cfRule type="cellIs" dxfId="3" priority="3" operator="lessThan">
      <formula>0</formula>
    </cfRule>
    <cfRule type="cellIs" dxfId="2" priority="4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/>
  <dimension ref="A1:AC54"/>
  <sheetViews>
    <sheetView zoomScale="80" zoomScaleNormal="80" workbookViewId="0">
      <pane ySplit="3" topLeftCell="A4" activePane="bottomLeft" state="frozen"/>
      <selection pane="bottomLeft" activeCell="U35" sqref="U35"/>
    </sheetView>
  </sheetViews>
  <sheetFormatPr defaultRowHeight="15" x14ac:dyDescent="0.25"/>
  <cols>
    <col min="1" max="1" width="3.42578125" bestFit="1" customWidth="1"/>
    <col min="2" max="2" width="10.85546875" customWidth="1"/>
    <col min="3" max="4" width="2" bestFit="1" customWidth="1"/>
    <col min="5" max="5" width="13.85546875" bestFit="1" customWidth="1"/>
    <col min="6" max="6" width="16.28515625" bestFit="1" customWidth="1"/>
    <col min="7" max="8" width="3" bestFit="1" customWidth="1"/>
    <col min="9" max="9" width="13.5703125" bestFit="1" customWidth="1"/>
    <col min="10" max="10" width="16.28515625" bestFit="1" customWidth="1"/>
    <col min="11" max="11" width="13.5703125" bestFit="1" customWidth="1"/>
    <col min="12" max="12" width="14.5703125" bestFit="1" customWidth="1"/>
    <col min="13" max="13" width="14.5703125" style="135" customWidth="1"/>
    <col min="14" max="14" width="15.85546875" bestFit="1" customWidth="1"/>
    <col min="15" max="15" width="17.28515625" customWidth="1"/>
    <col min="16" max="16" width="3.42578125" bestFit="1" customWidth="1"/>
    <col min="17" max="18" width="17.28515625" customWidth="1"/>
    <col min="20" max="20" width="16.42578125" bestFit="1" customWidth="1"/>
    <col min="21" max="21" width="13.85546875" customWidth="1"/>
    <col min="22" max="22" width="16" customWidth="1"/>
    <col min="23" max="23" width="12.85546875" bestFit="1" customWidth="1"/>
  </cols>
  <sheetData>
    <row r="1" spans="1:29" x14ac:dyDescent="0.25">
      <c r="A1" s="34" t="s">
        <v>55</v>
      </c>
    </row>
    <row r="2" spans="1:29" x14ac:dyDescent="0.25">
      <c r="X2" s="92"/>
      <c r="Y2" s="92" t="s">
        <v>80</v>
      </c>
      <c r="Z2" s="92"/>
    </row>
    <row r="3" spans="1:29" ht="38.25" x14ac:dyDescent="0.25">
      <c r="A3" s="100"/>
      <c r="B3" s="63" t="s">
        <v>56</v>
      </c>
      <c r="C3" s="100"/>
      <c r="D3" s="100"/>
      <c r="E3" s="64" t="str">
        <f>Gráfico!B1</f>
        <v>Chile</v>
      </c>
      <c r="F3" s="64" t="str">
        <f>CONCATENATE("Calc.Arrastre ",U22)</f>
        <v>Calc.Arrastre 2018</v>
      </c>
      <c r="G3" s="100"/>
      <c r="H3" s="100"/>
      <c r="I3" s="64" t="str">
        <f>CONCATENATE("Dinámica ",U22)</f>
        <v>Dinámica 2018</v>
      </c>
      <c r="J3" s="64" t="str">
        <f>CONCATENATE("Calc.Arrastre ",U23)</f>
        <v>Calc.Arrastre 2019</v>
      </c>
      <c r="K3" s="64" t="str">
        <f>CONCATENATE("Dinámica ",U23)</f>
        <v>Dinámica 2019</v>
      </c>
      <c r="L3" s="64" t="s">
        <v>68</v>
      </c>
      <c r="M3" s="64"/>
      <c r="N3" s="93" t="s">
        <v>79</v>
      </c>
      <c r="O3" s="65"/>
      <c r="P3" s="64"/>
      <c r="Q3" s="64"/>
      <c r="R3" s="64" t="s">
        <v>69</v>
      </c>
      <c r="X3" s="93"/>
      <c r="Y3" s="93"/>
      <c r="Z3" s="93" t="s">
        <v>79</v>
      </c>
    </row>
    <row r="4" spans="1:29" x14ac:dyDescent="0.25">
      <c r="A4" s="156">
        <v>29</v>
      </c>
      <c r="B4" s="155">
        <f ca="1">IF(ISBLANK(Datos2!B2),"",OFFSET(Datos2!$B$1,COUNT(Datos2!$B$2:$B$1048576)-Datos1!A4,0,1,1))</f>
        <v>41153</v>
      </c>
      <c r="C4" s="101">
        <f ca="1">IF(AND(MONTH(B4)=12,YEAR(B4)=$U$22),1,0)</f>
        <v>0</v>
      </c>
      <c r="D4" s="101">
        <f ca="1">IF(AND(MONTH(B4)=12,YEAR(B4)=$U$23),1,0)</f>
        <v>0</v>
      </c>
      <c r="E4" s="66">
        <f ca="1">IF(INDEX(Datos2!$1:$1048576,MATCH(Datos1!B4,Datos2!$B:$B,0),MATCH(Datos1!$E$3,Datos2!$1:$1,0))&gt;0,INDEX(Datos2!$1:$1048576,MATCH(Datos1!B4,Datos2!$B:$B,0),MATCH(Datos1!$E$3,Datos2!$1:$1,0)),"")</f>
        <v>33250.037076368397</v>
      </c>
      <c r="F4" s="66">
        <f ca="1">IF(ISBLANK(INDEX(Datos2!$1:$1048576,MATCH(Datos1!B4,Datos2!$B:$B,0),$U$24)),IF(YEAR(B4)=$U$22,$U$25,""),INDEX(Datos2!$1:$1048576,MATCH(Datos1!B4,Datos2!$B:$B,0),$U$24))</f>
        <v>33250.037076368397</v>
      </c>
      <c r="G4" s="101">
        <f t="shared" ref="G4:G33" ca="1" si="0">IF(AND(YEAR(B4)=$U$22,LEN(E4)=0),1,99)</f>
        <v>99</v>
      </c>
      <c r="H4" s="101">
        <f t="shared" ref="H4:H33" ca="1" si="1">IF(AND(G4=1,MONTH(B4)=6,$U$28=3),1,IF(AND(G4=1,MONTH(B4)=9,$U$28=3),2,IF(AND(G4=1,MONTH(B4)=12,$U$28=3),3,IF(AND(G4=1,MONTH(B4)=9,$U$28=2),1,IF(AND(G4=1,MONTH(B4)=12,$U$28=2),2,IF(AND(G4=1,MONTH(B4)=12,$U$28=1),1,99))))))</f>
        <v>99</v>
      </c>
      <c r="I4" s="66">
        <f t="shared" ref="I4:I33" ca="1" si="2">IF(AND(YEAR(B4)=$U$22,LEN(E4)=0),$U$25*(1+$U$36)^H4,E4)</f>
        <v>33250.037076368397</v>
      </c>
      <c r="J4" s="66">
        <f t="shared" ref="J4:J33" ca="1" si="3">IF(YEAR(B4)=$U$23,$U$27,I4)</f>
        <v>33250.037076368397</v>
      </c>
      <c r="K4" s="66">
        <f t="shared" ref="K4:K33" ca="1" si="4">IF(AND(LEN(I3)=0,LEN(I4)=0),K3*(1+$V$36),IF(AND(LEN(I4)=0,YEAR(B4)=$U$23),I3*(1+$V$36),I4))</f>
        <v>33250.037076368397</v>
      </c>
      <c r="L4" s="66"/>
      <c r="M4" s="66"/>
      <c r="N4" s="104"/>
      <c r="O4" s="67"/>
      <c r="P4" s="68">
        <v>15</v>
      </c>
      <c r="Q4" s="80">
        <f t="shared" ref="Q4:Q19" ca="1" si="5">OFFSET($B$3,COUNT($B$3:$B$9987)-P4,0,1,1)</f>
        <v>42430</v>
      </c>
      <c r="R4" s="69">
        <f t="shared" ref="R4:R19" ca="1" si="6">INDEX($B$3:$L$1048576,MATCH(Q4,$B$3:$B$1048576,0),MATCH($L$3,$B$3:$L$3,0))</f>
        <v>0.4841776461523839</v>
      </c>
      <c r="X4" s="106">
        <v>15</v>
      </c>
      <c r="Y4" s="107">
        <f t="shared" ref="Y4:Y19" ca="1" si="7">OFFSET($B$3,COUNT($N$3:$N$9987)-X4+1,0,1,1)</f>
        <v>41883</v>
      </c>
      <c r="Z4" s="105">
        <f t="shared" ref="Z4:Z19" ca="1" si="8">INDEX($B$3:$N$1048576,MATCH(Y4,$B$3:$B$1048576,0),MATCH($N$3,$B$3:$N$3,0))</f>
        <v>8.2927399904897392E-2</v>
      </c>
    </row>
    <row r="5" spans="1:29" x14ac:dyDescent="0.25">
      <c r="A5" s="156">
        <v>28</v>
      </c>
      <c r="B5" s="155">
        <f ca="1">IF(ISBLANK(Datos2!B3),"",OFFSET(Datos2!$B$1,COUNT(Datos2!$B$2:$B$1048576)-Datos1!A5,0,1,1))</f>
        <v>41244</v>
      </c>
      <c r="C5" s="101">
        <f t="shared" ref="C5:C33" ca="1" si="9">IF(AND(MONTH(B5)=12,YEAR(B5)=$U$22),1,0)</f>
        <v>0</v>
      </c>
      <c r="D5" s="101">
        <f t="shared" ref="D5:D33" ca="1" si="10">IF(AND(MONTH(B5)=12,YEAR(B5)=$U$23),1,0)</f>
        <v>0</v>
      </c>
      <c r="E5" s="66">
        <f ca="1">IF(INDEX(Datos2!$1:$1048576,MATCH(Datos1!B5,Datos2!$B:$B,0),MATCH(Datos1!$E$3,Datos2!$1:$1,0))&gt;0,INDEX(Datos2!$1:$1048576,MATCH(Datos1!B5,Datos2!$B:$B,0),MATCH(Datos1!$E$3,Datos2!$1:$1,0)),"")</f>
        <v>33585.390063226703</v>
      </c>
      <c r="F5" s="66">
        <f ca="1">IF(ISBLANK(INDEX(Datos2!$1:$1048576,MATCH(Datos1!B5,Datos2!$B:$B,0),$U$24)),IF(YEAR(B5)=$U$22,$U$25,""),INDEX(Datos2!$1:$1048576,MATCH(Datos1!B5,Datos2!$B:$B,0),$U$24))</f>
        <v>33585.390063226703</v>
      </c>
      <c r="G5" s="101">
        <f t="shared" ca="1" si="0"/>
        <v>99</v>
      </c>
      <c r="H5" s="101">
        <f t="shared" ca="1" si="1"/>
        <v>99</v>
      </c>
      <c r="I5" s="66">
        <f t="shared" ca="1" si="2"/>
        <v>33585.390063226703</v>
      </c>
      <c r="J5" s="66">
        <f t="shared" ca="1" si="3"/>
        <v>33585.390063226703</v>
      </c>
      <c r="K5" s="66">
        <f t="shared" ca="1" si="4"/>
        <v>33585.390063226703</v>
      </c>
      <c r="L5" s="69">
        <f ca="1">100*(K5/K4-1)</f>
        <v>1.0085792869585886</v>
      </c>
      <c r="M5" s="69"/>
      <c r="N5" s="105">
        <f t="shared" ref="N5:N33" ca="1" si="11">IF(AND(LEN(E5)&gt;0,LEN(E4)&gt;0),100*(E5/E4-1),"")</f>
        <v>1.0085792869585886</v>
      </c>
      <c r="O5" s="70"/>
      <c r="P5" s="68">
        <v>14</v>
      </c>
      <c r="Q5" s="80">
        <f t="shared" ca="1" si="5"/>
        <v>42522</v>
      </c>
      <c r="R5" s="69">
        <f t="shared" ca="1" si="6"/>
        <v>-0.56326460968191272</v>
      </c>
      <c r="X5" s="106">
        <v>14</v>
      </c>
      <c r="Y5" s="107">
        <f t="shared" ca="1" si="7"/>
        <v>41974</v>
      </c>
      <c r="Z5" s="105">
        <f t="shared" ca="1" si="8"/>
        <v>1.1821634342254805</v>
      </c>
    </row>
    <row r="6" spans="1:29" x14ac:dyDescent="0.25">
      <c r="A6" s="156">
        <v>27</v>
      </c>
      <c r="B6" s="155">
        <f ca="1">IF(ISBLANK(Datos2!B4),"",OFFSET(Datos2!$B$1,COUNT(Datos2!$B$2:$B$1048576)-Datos1!A6,0,1,1))</f>
        <v>41334</v>
      </c>
      <c r="C6" s="101">
        <f t="shared" ca="1" si="9"/>
        <v>0</v>
      </c>
      <c r="D6" s="101">
        <f t="shared" ca="1" si="10"/>
        <v>0</v>
      </c>
      <c r="E6" s="66">
        <f ca="1">IF(INDEX(Datos2!$1:$1048576,MATCH(Datos1!B6,Datos2!$B:$B,0),MATCH(Datos1!$E$3,Datos2!$1:$1,0))&gt;0,INDEX(Datos2!$1:$1048576,MATCH(Datos1!B6,Datos2!$B:$B,0),MATCH(Datos1!$E$3,Datos2!$1:$1,0)),"")</f>
        <v>33893.880828768699</v>
      </c>
      <c r="F6" s="66">
        <f ca="1">IF(ISBLANK(INDEX(Datos2!$1:$1048576,MATCH(Datos1!B6,Datos2!$B:$B,0),$U$24)),IF(YEAR(B6)=$U$22,$U$25,""),INDEX(Datos2!$1:$1048576,MATCH(Datos1!B6,Datos2!$B:$B,0),$U$24))</f>
        <v>33893.880828768699</v>
      </c>
      <c r="G6" s="101">
        <f t="shared" ca="1" si="0"/>
        <v>99</v>
      </c>
      <c r="H6" s="101">
        <f t="shared" ca="1" si="1"/>
        <v>99</v>
      </c>
      <c r="I6" s="66">
        <f t="shared" ca="1" si="2"/>
        <v>33893.880828768699</v>
      </c>
      <c r="J6" s="66">
        <f t="shared" ca="1" si="3"/>
        <v>33893.880828768699</v>
      </c>
      <c r="K6" s="66">
        <f t="shared" ca="1" si="4"/>
        <v>33893.880828768699</v>
      </c>
      <c r="L6" s="69">
        <f t="shared" ref="L6:L33" ca="1" si="12">100*(K6/K5-1)</f>
        <v>0.91852667174994185</v>
      </c>
      <c r="M6" s="69"/>
      <c r="N6" s="105">
        <f t="shared" ca="1" si="11"/>
        <v>0.91852667174994185</v>
      </c>
      <c r="O6" s="70"/>
      <c r="P6" s="68">
        <v>13</v>
      </c>
      <c r="Q6" s="80">
        <f t="shared" ca="1" si="5"/>
        <v>42614</v>
      </c>
      <c r="R6" s="69">
        <f t="shared" ca="1" si="6"/>
        <v>0.34412118572177963</v>
      </c>
      <c r="X6" s="106">
        <v>13</v>
      </c>
      <c r="Y6" s="107">
        <f t="shared" ca="1" si="7"/>
        <v>42064</v>
      </c>
      <c r="Z6" s="105">
        <f t="shared" ca="1" si="8"/>
        <v>0.35620633820334646</v>
      </c>
    </row>
    <row r="7" spans="1:29" x14ac:dyDescent="0.25">
      <c r="A7" s="156">
        <v>26</v>
      </c>
      <c r="B7" s="155">
        <f ca="1">IF(ISBLANK(Datos2!B5),"",OFFSET(Datos2!$B$1,COUNT(Datos2!$B$2:$B$1048576)-Datos1!A7,0,1,1))</f>
        <v>41426</v>
      </c>
      <c r="C7" s="101">
        <f t="shared" ca="1" si="9"/>
        <v>0</v>
      </c>
      <c r="D7" s="101">
        <f t="shared" ca="1" si="10"/>
        <v>0</v>
      </c>
      <c r="E7" s="66">
        <f ca="1">IF(INDEX(Datos2!$1:$1048576,MATCH(Datos1!B7,Datos2!$B:$B,0),MATCH(Datos1!$E$3,Datos2!$1:$1,0))&gt;0,INDEX(Datos2!$1:$1048576,MATCH(Datos1!B7,Datos2!$B:$B,0),MATCH(Datos1!$E$3,Datos2!$1:$1,0)),"")</f>
        <v>34430.265170419203</v>
      </c>
      <c r="F7" s="66">
        <f ca="1">IF(ISBLANK(INDEX(Datos2!$1:$1048576,MATCH(Datos1!B7,Datos2!$B:$B,0),$U$24)),IF(YEAR(B7)=$U$22,$U$25,""),INDEX(Datos2!$1:$1048576,MATCH(Datos1!B7,Datos2!$B:$B,0),$U$24))</f>
        <v>34430.265170419203</v>
      </c>
      <c r="G7" s="101">
        <f t="shared" ca="1" si="0"/>
        <v>99</v>
      </c>
      <c r="H7" s="101">
        <f t="shared" ca="1" si="1"/>
        <v>99</v>
      </c>
      <c r="I7" s="66">
        <f t="shared" ca="1" si="2"/>
        <v>34430.265170419203</v>
      </c>
      <c r="J7" s="66">
        <f t="shared" ca="1" si="3"/>
        <v>34430.265170419203</v>
      </c>
      <c r="K7" s="66">
        <f t="shared" ca="1" si="4"/>
        <v>34430.265170419203</v>
      </c>
      <c r="L7" s="69">
        <f t="shared" ca="1" si="12"/>
        <v>1.5825403539957872</v>
      </c>
      <c r="M7" s="69"/>
      <c r="N7" s="105">
        <f t="shared" ca="1" si="11"/>
        <v>1.5825403539957872</v>
      </c>
      <c r="O7" s="70"/>
      <c r="P7" s="68">
        <v>12</v>
      </c>
      <c r="Q7" s="80">
        <f t="shared" ca="1" si="5"/>
        <v>42705</v>
      </c>
      <c r="R7" s="69">
        <f t="shared" ca="1" si="6"/>
        <v>0.22826812790051054</v>
      </c>
      <c r="X7" s="106">
        <v>12</v>
      </c>
      <c r="Y7" s="107">
        <f t="shared" ca="1" si="7"/>
        <v>42156</v>
      </c>
      <c r="Z7" s="105">
        <f t="shared" ca="1" si="8"/>
        <v>0.94797126881960292</v>
      </c>
      <c r="AC7" s="29"/>
    </row>
    <row r="8" spans="1:29" x14ac:dyDescent="0.25">
      <c r="A8" s="156">
        <v>25</v>
      </c>
      <c r="B8" s="155">
        <f ca="1">IF(ISBLANK(Datos2!B6),"",OFFSET(Datos2!$B$1,COUNT(Datos2!$B$2:$B$1048576)-Datos1!A8,0,1,1))</f>
        <v>41518</v>
      </c>
      <c r="C8" s="101">
        <f t="shared" ca="1" si="9"/>
        <v>0</v>
      </c>
      <c r="D8" s="101">
        <f t="shared" ca="1" si="10"/>
        <v>0</v>
      </c>
      <c r="E8" s="66">
        <f ca="1">IF(INDEX(Datos2!$1:$1048576,MATCH(Datos1!B8,Datos2!$B:$B,0),MATCH(Datos1!$E$3,Datos2!$1:$1,0))&gt;0,INDEX(Datos2!$1:$1048576,MATCH(Datos1!B8,Datos2!$B:$B,0),MATCH(Datos1!$E$3,Datos2!$1:$1,0)),"")</f>
        <v>34699.112499538103</v>
      </c>
      <c r="F8" s="66">
        <f ca="1">IF(ISBLANK(INDEX(Datos2!$1:$1048576,MATCH(Datos1!B8,Datos2!$B:$B,0),$U$24)),IF(YEAR(B8)=$U$22,$U$25,""),INDEX(Datos2!$1:$1048576,MATCH(Datos1!B8,Datos2!$B:$B,0),$U$24))</f>
        <v>34699.112499538103</v>
      </c>
      <c r="G8" s="101">
        <f t="shared" ca="1" si="0"/>
        <v>99</v>
      </c>
      <c r="H8" s="101">
        <f t="shared" ca="1" si="1"/>
        <v>99</v>
      </c>
      <c r="I8" s="66">
        <f t="shared" ca="1" si="2"/>
        <v>34699.112499538103</v>
      </c>
      <c r="J8" s="66">
        <f t="shared" ca="1" si="3"/>
        <v>34699.112499538103</v>
      </c>
      <c r="K8" s="66">
        <f t="shared" ca="1" si="4"/>
        <v>34699.112499538103</v>
      </c>
      <c r="L8" s="69">
        <f t="shared" ca="1" si="12"/>
        <v>0.78084594407910046</v>
      </c>
      <c r="M8" s="69">
        <f t="shared" ref="M8:M32" ca="1" si="13">100*(SUM(J5:J8)/SUM(J1:J4)-1)</f>
        <v>310.85262024878693</v>
      </c>
      <c r="N8" s="105">
        <f t="shared" ca="1" si="11"/>
        <v>0.78084594407910046</v>
      </c>
      <c r="O8" s="70"/>
      <c r="P8" s="68">
        <v>11</v>
      </c>
      <c r="Q8" s="80">
        <f t="shared" ca="1" si="5"/>
        <v>42795</v>
      </c>
      <c r="R8" s="69">
        <f t="shared" ca="1" si="6"/>
        <v>-0.5224441177080541</v>
      </c>
      <c r="X8" s="106">
        <v>11</v>
      </c>
      <c r="Y8" s="107">
        <f t="shared" ca="1" si="7"/>
        <v>42248</v>
      </c>
      <c r="Z8" s="105">
        <f t="shared" ca="1" si="8"/>
        <v>-9.3781977256202076E-2</v>
      </c>
      <c r="AC8" s="29"/>
    </row>
    <row r="9" spans="1:29" x14ac:dyDescent="0.25">
      <c r="A9" s="156">
        <v>24</v>
      </c>
      <c r="B9" s="155">
        <f ca="1">IF(ISBLANK(Datos2!B7),"",OFFSET(Datos2!$B$1,COUNT(Datos2!$B$2:$B$1048576)-Datos1!A9,0,1,1))</f>
        <v>41609</v>
      </c>
      <c r="C9" s="101">
        <f t="shared" ca="1" si="9"/>
        <v>0</v>
      </c>
      <c r="D9" s="101">
        <f t="shared" ca="1" si="10"/>
        <v>0</v>
      </c>
      <c r="E9" s="66">
        <f ca="1">IF(INDEX(Datos2!$1:$1048576,MATCH(Datos1!B9,Datos2!$B:$B,0),MATCH(Datos1!$E$3,Datos2!$1:$1,0))&gt;0,INDEX(Datos2!$1:$1048576,MATCH(Datos1!B9,Datos2!$B:$B,0),MATCH(Datos1!$E$3,Datos2!$1:$1,0)),"")</f>
        <v>34882.662031887601</v>
      </c>
      <c r="F9" s="66">
        <f ca="1">IF(ISBLANK(INDEX(Datos2!$1:$1048576,MATCH(Datos1!B9,Datos2!$B:$B,0),$U$24)),IF(YEAR(B9)=$U$22,$U$25,""),INDEX(Datos2!$1:$1048576,MATCH(Datos1!B9,Datos2!$B:$B,0),$U$24))</f>
        <v>34882.662031887601</v>
      </c>
      <c r="G9" s="101">
        <f t="shared" ca="1" si="0"/>
        <v>99</v>
      </c>
      <c r="H9" s="101">
        <f t="shared" ca="1" si="1"/>
        <v>99</v>
      </c>
      <c r="I9" s="66">
        <f t="shared" ca="1" si="2"/>
        <v>34882.662031887601</v>
      </c>
      <c r="J9" s="66">
        <f t="shared" ca="1" si="3"/>
        <v>34882.662031887601</v>
      </c>
      <c r="K9" s="66">
        <f t="shared" ca="1" si="4"/>
        <v>34882.662031887601</v>
      </c>
      <c r="L9" s="69">
        <f t="shared" ca="1" si="12"/>
        <v>0.52897471758661663</v>
      </c>
      <c r="M9" s="69">
        <f t="shared" ca="1" si="13"/>
        <v>106.33655896681545</v>
      </c>
      <c r="N9" s="105">
        <f t="shared" ca="1" si="11"/>
        <v>0.52897471758661663</v>
      </c>
      <c r="O9" s="70"/>
      <c r="P9" s="68">
        <v>10</v>
      </c>
      <c r="Q9" s="80">
        <f t="shared" ca="1" si="5"/>
        <v>42887</v>
      </c>
      <c r="R9" s="69">
        <f t="shared" ca="1" si="6"/>
        <v>0.8198140321287628</v>
      </c>
      <c r="X9" s="106">
        <v>10</v>
      </c>
      <c r="Y9" s="107">
        <f t="shared" ca="1" si="7"/>
        <v>42339</v>
      </c>
      <c r="Z9" s="105">
        <f t="shared" ca="1" si="8"/>
        <v>0.94696699475360635</v>
      </c>
      <c r="AC9" s="29"/>
    </row>
    <row r="10" spans="1:29" x14ac:dyDescent="0.25">
      <c r="A10" s="156">
        <v>23</v>
      </c>
      <c r="B10" s="155">
        <f ca="1">IF(ISBLANK(Datos2!B8),"",OFFSET(Datos2!$B$1,COUNT(Datos2!$B$2:$B$1048576)-Datos1!A10,0,1,1))</f>
        <v>41699</v>
      </c>
      <c r="C10" s="101">
        <f t="shared" ca="1" si="9"/>
        <v>0</v>
      </c>
      <c r="D10" s="101">
        <f t="shared" ca="1" si="10"/>
        <v>0</v>
      </c>
      <c r="E10" s="66">
        <f ca="1">IF(INDEX(Datos2!$1:$1048576,MATCH(Datos1!B10,Datos2!$B:$B,0),MATCH(Datos1!$E$3,Datos2!$1:$1,0))&gt;0,INDEX(Datos2!$1:$1048576,MATCH(Datos1!B10,Datos2!$B:$B,0),MATCH(Datos1!$E$3,Datos2!$1:$1,0)),"")</f>
        <v>34874.651511909302</v>
      </c>
      <c r="F10" s="66">
        <f ca="1">IF(ISBLANK(INDEX(Datos2!$1:$1048576,MATCH(Datos1!B10,Datos2!$B:$B,0),$U$24)),IF(YEAR(B10)=$U$22,$U$25,""),INDEX(Datos2!$1:$1048576,MATCH(Datos1!B10,Datos2!$B:$B,0),$U$24))</f>
        <v>34874.651511909302</v>
      </c>
      <c r="G10" s="101">
        <f t="shared" ca="1" si="0"/>
        <v>99</v>
      </c>
      <c r="H10" s="101">
        <f t="shared" ca="1" si="1"/>
        <v>99</v>
      </c>
      <c r="I10" s="66">
        <f t="shared" ca="1" si="2"/>
        <v>34874.651511909302</v>
      </c>
      <c r="J10" s="66">
        <f t="shared" ca="1" si="3"/>
        <v>34874.651511909302</v>
      </c>
      <c r="K10" s="66">
        <f t="shared" ca="1" si="4"/>
        <v>34874.651511909302</v>
      </c>
      <c r="L10" s="69">
        <f t="shared" ca="1" si="12"/>
        <v>-2.2964187684348936E-2</v>
      </c>
      <c r="M10" s="69">
        <f t="shared" ca="1" si="13"/>
        <v>37.881113267823267</v>
      </c>
      <c r="N10" s="105">
        <f t="shared" ca="1" si="11"/>
        <v>-2.2964187684348936E-2</v>
      </c>
      <c r="O10" s="70"/>
      <c r="P10" s="68">
        <v>9</v>
      </c>
      <c r="Q10" s="80">
        <f t="shared" ca="1" si="5"/>
        <v>42979</v>
      </c>
      <c r="R10" s="69">
        <f t="shared" ca="1" si="6"/>
        <v>2.3604885884476401</v>
      </c>
      <c r="X10" s="106">
        <v>9</v>
      </c>
      <c r="Y10" s="107">
        <f t="shared" ca="1" si="7"/>
        <v>42430</v>
      </c>
      <c r="Z10" s="105">
        <f t="shared" ca="1" si="8"/>
        <v>0.4841776461523839</v>
      </c>
      <c r="AC10" s="29"/>
    </row>
    <row r="11" spans="1:29" x14ac:dyDescent="0.25">
      <c r="A11" s="156">
        <v>22</v>
      </c>
      <c r="B11" s="155">
        <f ca="1">IF(ISBLANK(Datos2!B9),"",OFFSET(Datos2!$B$1,COUNT(Datos2!$B$2:$B$1048576)-Datos1!A11,0,1,1))</f>
        <v>41791</v>
      </c>
      <c r="C11" s="101">
        <f t="shared" ca="1" si="9"/>
        <v>0</v>
      </c>
      <c r="D11" s="101">
        <f t="shared" ca="1" si="10"/>
        <v>0</v>
      </c>
      <c r="E11" s="66">
        <f ca="1">IF(INDEX(Datos2!$1:$1048576,MATCH(Datos1!B11,Datos2!$B:$B,0),MATCH(Datos1!$E$3,Datos2!$1:$1,0))&gt;0,INDEX(Datos2!$1:$1048576,MATCH(Datos1!B11,Datos2!$B:$B,0),MATCH(Datos1!$E$3,Datos2!$1:$1,0)),"")</f>
        <v>34992.2956893382</v>
      </c>
      <c r="F11" s="66">
        <f ca="1">IF(ISBLANK(INDEX(Datos2!$1:$1048576,MATCH(Datos1!B11,Datos2!$B:$B,0),$U$24)),IF(YEAR(B11)=$U$22,$U$25,""),INDEX(Datos2!$1:$1048576,MATCH(Datos1!B11,Datos2!$B:$B,0),$U$24))</f>
        <v>34992.2956893382</v>
      </c>
      <c r="G11" s="101">
        <f t="shared" ca="1" si="0"/>
        <v>99</v>
      </c>
      <c r="H11" s="101">
        <f t="shared" ca="1" si="1"/>
        <v>99</v>
      </c>
      <c r="I11" s="66">
        <f t="shared" ca="1" si="2"/>
        <v>34992.2956893382</v>
      </c>
      <c r="J11" s="66">
        <f t="shared" ca="1" si="3"/>
        <v>34992.2956893382</v>
      </c>
      <c r="K11" s="66">
        <f t="shared" ca="1" si="4"/>
        <v>34992.2956893382</v>
      </c>
      <c r="L11" s="69">
        <f t="shared" ca="1" si="12"/>
        <v>0.33733434551661556</v>
      </c>
      <c r="M11" s="69">
        <f t="shared" ca="1" si="13"/>
        <v>3.1733960786381576</v>
      </c>
      <c r="N11" s="105">
        <f t="shared" ca="1" si="11"/>
        <v>0.33733434551661556</v>
      </c>
      <c r="O11" s="70"/>
      <c r="P11" s="68">
        <v>8</v>
      </c>
      <c r="Q11" s="80">
        <f t="shared" ca="1" si="5"/>
        <v>43070</v>
      </c>
      <c r="R11" s="69">
        <f t="shared" ca="1" si="6"/>
        <v>0.65412378089442225</v>
      </c>
      <c r="X11" s="106">
        <v>8</v>
      </c>
      <c r="Y11" s="107">
        <f t="shared" ca="1" si="7"/>
        <v>42522</v>
      </c>
      <c r="Z11" s="105">
        <f t="shared" ca="1" si="8"/>
        <v>-0.56326460968191272</v>
      </c>
      <c r="AC11" s="29"/>
    </row>
    <row r="12" spans="1:29" x14ac:dyDescent="0.25">
      <c r="A12" s="156">
        <v>21</v>
      </c>
      <c r="B12" s="155">
        <f ca="1">IF(ISBLANK(Datos2!B10),"",OFFSET(Datos2!$B$1,COUNT(Datos2!$B$2:$B$1048576)-Datos1!A12,0,1,1))</f>
        <v>41883</v>
      </c>
      <c r="C12" s="101">
        <f t="shared" ca="1" si="9"/>
        <v>0</v>
      </c>
      <c r="D12" s="101">
        <f t="shared" ca="1" si="10"/>
        <v>0</v>
      </c>
      <c r="E12" s="66">
        <f ca="1">IF(INDEX(Datos2!$1:$1048576,MATCH(Datos1!B12,Datos2!$B:$B,0),MATCH(Datos1!$E$3,Datos2!$1:$1,0))&gt;0,INDEX(Datos2!$1:$1048576,MATCH(Datos1!B12,Datos2!$B:$B,0),MATCH(Datos1!$E$3,Datos2!$1:$1,0)),"")</f>
        <v>35021.313890320402</v>
      </c>
      <c r="F12" s="66">
        <f ca="1">IF(ISBLANK(INDEX(Datos2!$1:$1048576,MATCH(Datos1!B12,Datos2!$B:$B,0),$U$24)),IF(YEAR(B12)=$U$22,$U$25,""),INDEX(Datos2!$1:$1048576,MATCH(Datos1!B12,Datos2!$B:$B,0),$U$24))</f>
        <v>35021.313890320402</v>
      </c>
      <c r="G12" s="101">
        <f t="shared" ca="1" si="0"/>
        <v>99</v>
      </c>
      <c r="H12" s="101">
        <f t="shared" ca="1" si="1"/>
        <v>99</v>
      </c>
      <c r="I12" s="66">
        <f t="shared" ca="1" si="2"/>
        <v>35021.313890320402</v>
      </c>
      <c r="J12" s="66">
        <f t="shared" ca="1" si="3"/>
        <v>35021.313890320402</v>
      </c>
      <c r="K12" s="66">
        <f t="shared" ca="1" si="4"/>
        <v>35021.313890320402</v>
      </c>
      <c r="L12" s="69">
        <f t="shared" ca="1" si="12"/>
        <v>8.2927399904897392E-2</v>
      </c>
      <c r="M12" s="69">
        <f t="shared" ca="1" si="13"/>
        <v>2.3148421383208939</v>
      </c>
      <c r="N12" s="105">
        <f t="shared" ca="1" si="11"/>
        <v>8.2927399904897392E-2</v>
      </c>
      <c r="O12" s="70"/>
      <c r="P12" s="68">
        <v>7</v>
      </c>
      <c r="Q12" s="80">
        <f t="shared" ca="1" si="5"/>
        <v>43160</v>
      </c>
      <c r="R12" s="69">
        <f t="shared" ca="1" si="6"/>
        <v>1.2083745911895871</v>
      </c>
      <c r="X12" s="106">
        <v>7</v>
      </c>
      <c r="Y12" s="107">
        <f t="shared" ca="1" si="7"/>
        <v>42614</v>
      </c>
      <c r="Z12" s="105">
        <f t="shared" ca="1" si="8"/>
        <v>0.34412118572177963</v>
      </c>
      <c r="AC12" s="29"/>
    </row>
    <row r="13" spans="1:29" x14ac:dyDescent="0.25">
      <c r="A13" s="156">
        <v>20</v>
      </c>
      <c r="B13" s="155">
        <f ca="1">IF(ISBLANK(Datos2!B11),"",OFFSET(Datos2!$B$1,COUNT(Datos2!$B$2:$B$1048576)-Datos1!A13,0,1,1))</f>
        <v>41974</v>
      </c>
      <c r="C13" s="101">
        <f t="shared" ca="1" si="9"/>
        <v>0</v>
      </c>
      <c r="D13" s="101">
        <f t="shared" ca="1" si="10"/>
        <v>0</v>
      </c>
      <c r="E13" s="66">
        <f ca="1">IF(INDEX(Datos2!$1:$1048576,MATCH(Datos1!B13,Datos2!$B:$B,0),MATCH(Datos1!$E$3,Datos2!$1:$1,0))&gt;0,INDEX(Datos2!$1:$1048576,MATCH(Datos1!B13,Datos2!$B:$B,0),MATCH(Datos1!$E$3,Datos2!$1:$1,0)),"")</f>
        <v>35435.323057317102</v>
      </c>
      <c r="F13" s="66">
        <f ca="1">IF(ISBLANK(INDEX(Datos2!$1:$1048576,MATCH(Datos1!B13,Datos2!$B:$B,0),$U$24)),IF(YEAR(B13)=$U$22,$U$25,""),INDEX(Datos2!$1:$1048576,MATCH(Datos1!B13,Datos2!$B:$B,0),$U$24))</f>
        <v>35435.323057317102</v>
      </c>
      <c r="G13" s="101">
        <f t="shared" ca="1" si="0"/>
        <v>99</v>
      </c>
      <c r="H13" s="101">
        <f t="shared" ca="1" si="1"/>
        <v>99</v>
      </c>
      <c r="I13" s="66">
        <f t="shared" ca="1" si="2"/>
        <v>35435.323057317102</v>
      </c>
      <c r="J13" s="66">
        <f t="shared" ca="1" si="3"/>
        <v>35435.323057317102</v>
      </c>
      <c r="K13" s="66">
        <f t="shared" ca="1" si="4"/>
        <v>35435.323057317102</v>
      </c>
      <c r="L13" s="69">
        <f t="shared" ca="1" si="12"/>
        <v>1.1821634342254805</v>
      </c>
      <c r="M13" s="69">
        <f t="shared" ca="1" si="13"/>
        <v>1.753125325561844</v>
      </c>
      <c r="N13" s="105">
        <f t="shared" ca="1" si="11"/>
        <v>1.1821634342254805</v>
      </c>
      <c r="O13" s="70"/>
      <c r="P13" s="68">
        <v>6</v>
      </c>
      <c r="Q13" s="80">
        <f t="shared" ca="1" si="5"/>
        <v>43252</v>
      </c>
      <c r="R13" s="69">
        <f t="shared" ca="1" si="6"/>
        <v>0.68931995911192256</v>
      </c>
      <c r="X13" s="106">
        <v>6</v>
      </c>
      <c r="Y13" s="107">
        <f t="shared" ca="1" si="7"/>
        <v>42705</v>
      </c>
      <c r="Z13" s="105">
        <f t="shared" ca="1" si="8"/>
        <v>0.22826812790051054</v>
      </c>
      <c r="AC13" s="29"/>
    </row>
    <row r="14" spans="1:29" x14ac:dyDescent="0.25">
      <c r="A14" s="156">
        <v>19</v>
      </c>
      <c r="B14" s="155">
        <f ca="1">IF(ISBLANK(Datos2!B12),"",OFFSET(Datos2!$B$1,COUNT(Datos2!$B$2:$B$1048576)-Datos1!A14,0,1,1))</f>
        <v>42064</v>
      </c>
      <c r="C14" s="101">
        <f t="shared" ca="1" si="9"/>
        <v>0</v>
      </c>
      <c r="D14" s="101">
        <f t="shared" ca="1" si="10"/>
        <v>0</v>
      </c>
      <c r="E14" s="66">
        <f ca="1">IF(INDEX(Datos2!$1:$1048576,MATCH(Datos1!B14,Datos2!$B:$B,0),MATCH(Datos1!$E$3,Datos2!$1:$1,0))&gt;0,INDEX(Datos2!$1:$1048576,MATCH(Datos1!B14,Datos2!$B:$B,0),MATCH(Datos1!$E$3,Datos2!$1:$1,0)),"")</f>
        <v>35561.545924010097</v>
      </c>
      <c r="F14" s="66">
        <f ca="1">IF(ISBLANK(INDEX(Datos2!$1:$1048576,MATCH(Datos1!B14,Datos2!$B:$B,0),$U$24)),IF(YEAR(B14)=$U$22,$U$25,""),INDEX(Datos2!$1:$1048576,MATCH(Datos1!B14,Datos2!$B:$B,0),$U$24))</f>
        <v>35561.545924010097</v>
      </c>
      <c r="G14" s="101">
        <f t="shared" ca="1" si="0"/>
        <v>99</v>
      </c>
      <c r="H14" s="101">
        <f t="shared" ca="1" si="1"/>
        <v>99</v>
      </c>
      <c r="I14" s="66">
        <f t="shared" ca="1" si="2"/>
        <v>35561.545924010097</v>
      </c>
      <c r="J14" s="66">
        <f t="shared" ca="1" si="3"/>
        <v>35561.545924010097</v>
      </c>
      <c r="K14" s="66">
        <f t="shared" ca="1" si="4"/>
        <v>35561.545924010097</v>
      </c>
      <c r="L14" s="69">
        <f t="shared" ca="1" si="12"/>
        <v>0.35620633820334646</v>
      </c>
      <c r="M14" s="69">
        <f t="shared" ca="1" si="13"/>
        <v>1.5291510861634494</v>
      </c>
      <c r="N14" s="105">
        <f t="shared" ca="1" si="11"/>
        <v>0.35620633820334646</v>
      </c>
      <c r="O14" s="70"/>
      <c r="P14" s="68">
        <v>5</v>
      </c>
      <c r="Q14" s="80">
        <f t="shared" ca="1" si="5"/>
        <v>43344</v>
      </c>
      <c r="R14" s="69">
        <f t="shared" ca="1" si="6"/>
        <v>0.33372868632177699</v>
      </c>
      <c r="X14" s="106">
        <v>5</v>
      </c>
      <c r="Y14" s="107">
        <f t="shared" ca="1" si="7"/>
        <v>42795</v>
      </c>
      <c r="Z14" s="105">
        <f t="shared" ca="1" si="8"/>
        <v>-0.5224441177080541</v>
      </c>
      <c r="AC14" s="29"/>
    </row>
    <row r="15" spans="1:29" x14ac:dyDescent="0.25">
      <c r="A15" s="156">
        <v>18</v>
      </c>
      <c r="B15" s="155">
        <f ca="1">IF(ISBLANK(Datos2!B13),"",OFFSET(Datos2!$B$1,COUNT(Datos2!$B$2:$B$1048576)-Datos1!A15,0,1,1))</f>
        <v>42156</v>
      </c>
      <c r="C15" s="101">
        <f t="shared" ca="1" si="9"/>
        <v>0</v>
      </c>
      <c r="D15" s="101">
        <f t="shared" ca="1" si="10"/>
        <v>0</v>
      </c>
      <c r="E15" s="66">
        <f ca="1">IF(INDEX(Datos2!$1:$1048576,MATCH(Datos1!B15,Datos2!$B:$B,0),MATCH(Datos1!$E$3,Datos2!$1:$1,0))&gt;0,INDEX(Datos2!$1:$1048576,MATCH(Datos1!B15,Datos2!$B:$B,0),MATCH(Datos1!$E$3,Datos2!$1:$1,0)),"")</f>
        <v>35898.659162117801</v>
      </c>
      <c r="F15" s="66">
        <f ca="1">IF(ISBLANK(INDEX(Datos2!$1:$1048576,MATCH(Datos1!B15,Datos2!$B:$B,0),$U$24)),IF(YEAR(B15)=$U$22,$U$25,""),INDEX(Datos2!$1:$1048576,MATCH(Datos1!B15,Datos2!$B:$B,0),$U$24))</f>
        <v>35898.659162117801</v>
      </c>
      <c r="G15" s="101">
        <f t="shared" ca="1" si="0"/>
        <v>99</v>
      </c>
      <c r="H15" s="101">
        <f t="shared" ca="1" si="1"/>
        <v>99</v>
      </c>
      <c r="I15" s="66">
        <f t="shared" ca="1" si="2"/>
        <v>35898.659162117801</v>
      </c>
      <c r="J15" s="66">
        <f t="shared" ca="1" si="3"/>
        <v>35898.659162117801</v>
      </c>
      <c r="K15" s="66">
        <f t="shared" ca="1" si="4"/>
        <v>35898.659162117801</v>
      </c>
      <c r="L15" s="69">
        <f t="shared" ca="1" si="12"/>
        <v>0.94797126881960292</v>
      </c>
      <c r="M15" s="69">
        <f t="shared" ca="1" si="13"/>
        <v>1.7699124598816063</v>
      </c>
      <c r="N15" s="105">
        <f t="shared" ca="1" si="11"/>
        <v>0.94797126881960292</v>
      </c>
      <c r="O15" s="70"/>
      <c r="P15" s="68">
        <v>4</v>
      </c>
      <c r="Q15" s="80">
        <f t="shared" ca="1" si="5"/>
        <v>43435</v>
      </c>
      <c r="R15" s="69">
        <f t="shared" ca="1" si="6"/>
        <v>0.33372868632177699</v>
      </c>
      <c r="X15" s="106">
        <v>4</v>
      </c>
      <c r="Y15" s="107">
        <f t="shared" ca="1" si="7"/>
        <v>42887</v>
      </c>
      <c r="Z15" s="105">
        <f t="shared" ca="1" si="8"/>
        <v>0.8198140321287628</v>
      </c>
      <c r="AC15" s="29"/>
    </row>
    <row r="16" spans="1:29" x14ac:dyDescent="0.25">
      <c r="A16" s="156">
        <v>17</v>
      </c>
      <c r="B16" s="155">
        <f ca="1">IF(ISBLANK(Datos2!B14),"",OFFSET(Datos2!$B$1,COUNT(Datos2!$B$2:$B$1048576)-Datos1!A16,0,1,1))</f>
        <v>42248</v>
      </c>
      <c r="C16" s="101">
        <f t="shared" ca="1" si="9"/>
        <v>0</v>
      </c>
      <c r="D16" s="101">
        <f t="shared" ca="1" si="10"/>
        <v>0</v>
      </c>
      <c r="E16" s="66">
        <f ca="1">IF(INDEX(Datos2!$1:$1048576,MATCH(Datos1!B16,Datos2!$B:$B,0),MATCH(Datos1!$E$3,Datos2!$1:$1,0))&gt;0,INDEX(Datos2!$1:$1048576,MATCH(Datos1!B16,Datos2!$B:$B,0),MATCH(Datos1!$E$3,Datos2!$1:$1,0)),"")</f>
        <v>35864.992689747101</v>
      </c>
      <c r="F16" s="66">
        <f ca="1">IF(ISBLANK(INDEX(Datos2!$1:$1048576,MATCH(Datos1!B16,Datos2!$B:$B,0),$U$24)),IF(YEAR(B16)=$U$22,$U$25,""),INDEX(Datos2!$1:$1048576,MATCH(Datos1!B16,Datos2!$B:$B,0),$U$24))</f>
        <v>35864.992689747101</v>
      </c>
      <c r="G16" s="101">
        <f t="shared" ca="1" si="0"/>
        <v>99</v>
      </c>
      <c r="H16" s="101">
        <f t="shared" ca="1" si="1"/>
        <v>99</v>
      </c>
      <c r="I16" s="66">
        <f t="shared" ca="1" si="2"/>
        <v>35864.992689747101</v>
      </c>
      <c r="J16" s="66">
        <f t="shared" ca="1" si="3"/>
        <v>35864.992689747101</v>
      </c>
      <c r="K16" s="66">
        <f t="shared" ca="1" si="4"/>
        <v>35864.992689747101</v>
      </c>
      <c r="L16" s="69">
        <f t="shared" ca="1" si="12"/>
        <v>-9.3781977256202076E-2</v>
      </c>
      <c r="M16" s="69">
        <f t="shared" ca="1" si="13"/>
        <v>2.138926783145001</v>
      </c>
      <c r="N16" s="105">
        <f t="shared" ca="1" si="11"/>
        <v>-9.3781977256202076E-2</v>
      </c>
      <c r="O16" s="70"/>
      <c r="P16" s="68">
        <v>3</v>
      </c>
      <c r="Q16" s="80">
        <f t="shared" ca="1" si="5"/>
        <v>43525</v>
      </c>
      <c r="R16" s="69">
        <f t="shared" ca="1" si="6"/>
        <v>1.0690798331483231</v>
      </c>
      <c r="X16" s="106">
        <v>3</v>
      </c>
      <c r="Y16" s="107">
        <f t="shared" ca="1" si="7"/>
        <v>42979</v>
      </c>
      <c r="Z16" s="105">
        <f t="shared" ca="1" si="8"/>
        <v>2.3604885884476401</v>
      </c>
      <c r="AC16" s="29"/>
    </row>
    <row r="17" spans="1:29" x14ac:dyDescent="0.25">
      <c r="A17" s="156">
        <v>16</v>
      </c>
      <c r="B17" s="155">
        <f ca="1">IF(ISBLANK(Datos2!B15),"",OFFSET(Datos2!$B$1,COUNT(Datos2!$B$2:$B$1048576)-Datos1!A17,0,1,1))</f>
        <v>42339</v>
      </c>
      <c r="C17" s="101">
        <f t="shared" ca="1" si="9"/>
        <v>0</v>
      </c>
      <c r="D17" s="101">
        <f t="shared" ca="1" si="10"/>
        <v>0</v>
      </c>
      <c r="E17" s="66">
        <f ca="1">IF(INDEX(Datos2!$1:$1048576,MATCH(Datos1!B17,Datos2!$B:$B,0),MATCH(Datos1!$E$3,Datos2!$1:$1,0))&gt;0,INDEX(Datos2!$1:$1048576,MATCH(Datos1!B17,Datos2!$B:$B,0),MATCH(Datos1!$E$3,Datos2!$1:$1,0)),"")</f>
        <v>36204.6223331898</v>
      </c>
      <c r="F17" s="66">
        <f ca="1">IF(ISBLANK(INDEX(Datos2!$1:$1048576,MATCH(Datos1!B17,Datos2!$B:$B,0),$U$24)),IF(YEAR(B17)=$U$22,$U$25,""),INDEX(Datos2!$1:$1048576,MATCH(Datos1!B17,Datos2!$B:$B,0),$U$24))</f>
        <v>36204.6223331898</v>
      </c>
      <c r="G17" s="101">
        <f t="shared" ca="1" si="0"/>
        <v>99</v>
      </c>
      <c r="H17" s="101">
        <f t="shared" ca="1" si="1"/>
        <v>99</v>
      </c>
      <c r="I17" s="66">
        <f t="shared" ca="1" si="2"/>
        <v>36204.6223331898</v>
      </c>
      <c r="J17" s="66">
        <f t="shared" ca="1" si="3"/>
        <v>36204.6223331898</v>
      </c>
      <c r="K17" s="66">
        <f t="shared" ca="1" si="4"/>
        <v>36204.6223331898</v>
      </c>
      <c r="L17" s="69">
        <f t="shared" ca="1" si="12"/>
        <v>0.94696699475360635</v>
      </c>
      <c r="M17" s="69">
        <f t="shared" ca="1" si="13"/>
        <v>2.2848874475569048</v>
      </c>
      <c r="N17" s="105">
        <f t="shared" ca="1" si="11"/>
        <v>0.94696699475360635</v>
      </c>
      <c r="O17" s="70"/>
      <c r="P17" s="68">
        <v>2</v>
      </c>
      <c r="Q17" s="80">
        <f t="shared" ca="1" si="5"/>
        <v>43617</v>
      </c>
      <c r="R17" s="69">
        <f t="shared" ca="1" si="6"/>
        <v>1.0690798331483231</v>
      </c>
      <c r="X17" s="106">
        <v>2</v>
      </c>
      <c r="Y17" s="107">
        <f t="shared" ca="1" si="7"/>
        <v>43070</v>
      </c>
      <c r="Z17" s="105">
        <f t="shared" ca="1" si="8"/>
        <v>0.65412378089442225</v>
      </c>
      <c r="AC17" s="29"/>
    </row>
    <row r="18" spans="1:29" x14ac:dyDescent="0.25">
      <c r="A18" s="156">
        <v>15</v>
      </c>
      <c r="B18" s="155">
        <f ca="1">IF(ISBLANK(Datos2!B16),"",OFFSET(Datos2!$B$1,COUNT(Datos2!$B$2:$B$1048576)-Datos1!A18,0,1,1))</f>
        <v>42430</v>
      </c>
      <c r="C18" s="101">
        <f t="shared" ca="1" si="9"/>
        <v>0</v>
      </c>
      <c r="D18" s="101">
        <f t="shared" ca="1" si="10"/>
        <v>0</v>
      </c>
      <c r="E18" s="66">
        <f ca="1">IF(INDEX(Datos2!$1:$1048576,MATCH(Datos1!B18,Datos2!$B:$B,0),MATCH(Datos1!$E$3,Datos2!$1:$1,0))&gt;0,INDEX(Datos2!$1:$1048576,MATCH(Datos1!B18,Datos2!$B:$B,0),MATCH(Datos1!$E$3,Datos2!$1:$1,0)),"")</f>
        <v>36379.917021401001</v>
      </c>
      <c r="F18" s="66">
        <f ca="1">IF(ISBLANK(INDEX(Datos2!$1:$1048576,MATCH(Datos1!B18,Datos2!$B:$B,0),$U$24)),IF(YEAR(B18)=$U$22,$U$25,""),INDEX(Datos2!$1:$1048576,MATCH(Datos1!B18,Datos2!$B:$B,0),$U$24))</f>
        <v>36379.917021401001</v>
      </c>
      <c r="G18" s="101">
        <f t="shared" ca="1" si="0"/>
        <v>99</v>
      </c>
      <c r="H18" s="101">
        <f t="shared" ca="1" si="1"/>
        <v>99</v>
      </c>
      <c r="I18" s="66">
        <f t="shared" ca="1" si="2"/>
        <v>36379.917021401001</v>
      </c>
      <c r="J18" s="66">
        <f t="shared" ca="1" si="3"/>
        <v>36379.917021401001</v>
      </c>
      <c r="K18" s="66">
        <f t="shared" ca="1" si="4"/>
        <v>36379.917021401001</v>
      </c>
      <c r="L18" s="69">
        <f t="shared" ca="1" si="12"/>
        <v>0.4841776461523839</v>
      </c>
      <c r="M18" s="69">
        <f t="shared" ca="1" si="13"/>
        <v>2.3669961832136988</v>
      </c>
      <c r="N18" s="105">
        <f t="shared" ca="1" si="11"/>
        <v>0.4841776461523839</v>
      </c>
      <c r="O18" s="70"/>
      <c r="P18" s="68">
        <v>1</v>
      </c>
      <c r="Q18" s="80">
        <f t="shared" ca="1" si="5"/>
        <v>43709</v>
      </c>
      <c r="R18" s="69">
        <f t="shared" ca="1" si="6"/>
        <v>1.0690798331483231</v>
      </c>
      <c r="X18" s="106">
        <v>1</v>
      </c>
      <c r="Y18" s="107">
        <f t="shared" ca="1" si="7"/>
        <v>43160</v>
      </c>
      <c r="Z18" s="105">
        <f t="shared" ca="1" si="8"/>
        <v>1.2083745911895871</v>
      </c>
      <c r="AC18" s="29"/>
    </row>
    <row r="19" spans="1:29" x14ac:dyDescent="0.25">
      <c r="A19" s="156">
        <v>14</v>
      </c>
      <c r="B19" s="155">
        <f ca="1">IF(ISBLANK(Datos2!B17),"",OFFSET(Datos2!$B$1,COUNT(Datos2!$B$2:$B$1048576)-Datos1!A19,0,1,1))</f>
        <v>42522</v>
      </c>
      <c r="C19" s="101">
        <f t="shared" ca="1" si="9"/>
        <v>0</v>
      </c>
      <c r="D19" s="101">
        <f t="shared" ca="1" si="10"/>
        <v>0</v>
      </c>
      <c r="E19" s="66">
        <f ca="1">IF(INDEX(Datos2!$1:$1048576,MATCH(Datos1!B19,Datos2!$B:$B,0),MATCH(Datos1!$E$3,Datos2!$1:$1,0))&gt;0,INDEX(Datos2!$1:$1048576,MATCH(Datos1!B19,Datos2!$B:$B,0),MATCH(Datos1!$E$3,Datos2!$1:$1,0)),"")</f>
        <v>36175.001823787803</v>
      </c>
      <c r="F19" s="66">
        <f ca="1">IF(ISBLANK(INDEX(Datos2!$1:$1048576,MATCH(Datos1!B19,Datos2!$B:$B,0),$U$24)),IF(YEAR(B19)=$U$22,$U$25,""),INDEX(Datos2!$1:$1048576,MATCH(Datos1!B19,Datos2!$B:$B,0),$U$24))</f>
        <v>36175.001823787803</v>
      </c>
      <c r="G19" s="101">
        <f t="shared" ca="1" si="0"/>
        <v>99</v>
      </c>
      <c r="H19" s="101">
        <f t="shared" ca="1" si="1"/>
        <v>99</v>
      </c>
      <c r="I19" s="66">
        <f t="shared" ca="1" si="2"/>
        <v>36175.001823787803</v>
      </c>
      <c r="J19" s="66">
        <f t="shared" ca="1" si="3"/>
        <v>36175.001823787803</v>
      </c>
      <c r="K19" s="66">
        <f t="shared" ca="1" si="4"/>
        <v>36175.001823787803</v>
      </c>
      <c r="L19" s="69">
        <f t="shared" ca="1" si="12"/>
        <v>-0.56326460968191272</v>
      </c>
      <c r="M19" s="69">
        <f t="shared" ca="1" si="13"/>
        <v>1.9079425637980707</v>
      </c>
      <c r="N19" s="105">
        <f t="shared" ca="1" si="11"/>
        <v>-0.56326460968191272</v>
      </c>
      <c r="O19" s="70"/>
      <c r="P19" s="68">
        <v>0</v>
      </c>
      <c r="Q19" s="80">
        <f t="shared" ca="1" si="5"/>
        <v>43800</v>
      </c>
      <c r="R19" s="69">
        <f t="shared" ca="1" si="6"/>
        <v>1.0690798331483231</v>
      </c>
      <c r="X19" s="106">
        <v>0</v>
      </c>
      <c r="Y19" s="107">
        <f t="shared" ca="1" si="7"/>
        <v>43252</v>
      </c>
      <c r="Z19" s="105">
        <f t="shared" ca="1" si="8"/>
        <v>0.68931995911192256</v>
      </c>
      <c r="AC19" s="29"/>
    </row>
    <row r="20" spans="1:29" x14ac:dyDescent="0.25">
      <c r="A20" s="156">
        <v>13</v>
      </c>
      <c r="B20" s="155">
        <f ca="1">IF(ISBLANK(Datos2!B18),"",OFFSET(Datos2!$B$1,COUNT(Datos2!$B$2:$B$1048576)-Datos1!A20,0,1,1))</f>
        <v>42614</v>
      </c>
      <c r="C20" s="101">
        <f t="shared" ca="1" si="9"/>
        <v>0</v>
      </c>
      <c r="D20" s="101">
        <f t="shared" ca="1" si="10"/>
        <v>0</v>
      </c>
      <c r="E20" s="66">
        <f ca="1">IF(INDEX(Datos2!$1:$1048576,MATCH(Datos1!B20,Datos2!$B:$B,0),MATCH(Datos1!$E$3,Datos2!$1:$1,0))&gt;0,INDEX(Datos2!$1:$1048576,MATCH(Datos1!B20,Datos2!$B:$B,0),MATCH(Datos1!$E$3,Datos2!$1:$1,0)),"")</f>
        <v>36299.4876689987</v>
      </c>
      <c r="F20" s="66">
        <f ca="1">IF(ISBLANK(INDEX(Datos2!$1:$1048576,MATCH(Datos1!B20,Datos2!$B:$B,0),$U$24)),IF(YEAR(B20)=$U$22,$U$25,""),INDEX(Datos2!$1:$1048576,MATCH(Datos1!B20,Datos2!$B:$B,0),$U$24))</f>
        <v>36299.4876689987</v>
      </c>
      <c r="G20" s="101">
        <f t="shared" ca="1" si="0"/>
        <v>99</v>
      </c>
      <c r="H20" s="101">
        <f t="shared" ca="1" si="1"/>
        <v>99</v>
      </c>
      <c r="I20" s="66">
        <f t="shared" ca="1" si="2"/>
        <v>36299.4876689987</v>
      </c>
      <c r="J20" s="66">
        <f t="shared" ca="1" si="3"/>
        <v>36299.4876689987</v>
      </c>
      <c r="K20" s="66">
        <f t="shared" ca="1" si="4"/>
        <v>36299.4876689987</v>
      </c>
      <c r="L20" s="69">
        <f t="shared" ca="1" si="12"/>
        <v>0.34412118572177963</v>
      </c>
      <c r="M20" s="69">
        <f t="shared" ca="1" si="13"/>
        <v>1.6100445702848409</v>
      </c>
      <c r="N20" s="105">
        <f t="shared" ca="1" si="11"/>
        <v>0.34412118572177963</v>
      </c>
      <c r="O20" s="70"/>
      <c r="P20" s="70"/>
      <c r="Q20" s="70"/>
      <c r="R20" s="70"/>
      <c r="AC20" s="29"/>
    </row>
    <row r="21" spans="1:29" x14ac:dyDescent="0.25">
      <c r="A21" s="156">
        <v>12</v>
      </c>
      <c r="B21" s="155">
        <f ca="1">IF(ISBLANK(Datos2!B19),"",OFFSET(Datos2!$B$1,COUNT(Datos2!$B$2:$B$1048576)-Datos1!A21,0,1,1))</f>
        <v>42705</v>
      </c>
      <c r="C21" s="101">
        <f t="shared" ca="1" si="9"/>
        <v>0</v>
      </c>
      <c r="D21" s="101">
        <f t="shared" ca="1" si="10"/>
        <v>0</v>
      </c>
      <c r="E21" s="66">
        <f ca="1">IF(INDEX(Datos2!$1:$1048576,MATCH(Datos1!B21,Datos2!$B:$B,0),MATCH(Datos1!$E$3,Datos2!$1:$1,0))&gt;0,INDEX(Datos2!$1:$1048576,MATCH(Datos1!B21,Datos2!$B:$B,0),MATCH(Datos1!$E$3,Datos2!$1:$1,0)),"")</f>
        <v>36382.347829938197</v>
      </c>
      <c r="F21" s="66">
        <f ca="1">IF(ISBLANK(INDEX(Datos2!$1:$1048576,MATCH(Datos1!B21,Datos2!$B:$B,0),$U$24)),IF(YEAR(B21)=$U$22,$U$25,""),INDEX(Datos2!$1:$1048576,MATCH(Datos1!B21,Datos2!$B:$B,0),$U$24))</f>
        <v>36382.347829938197</v>
      </c>
      <c r="G21" s="101">
        <f t="shared" ca="1" si="0"/>
        <v>99</v>
      </c>
      <c r="H21" s="101">
        <f t="shared" ca="1" si="1"/>
        <v>99</v>
      </c>
      <c r="I21" s="66">
        <f t="shared" ca="1" si="2"/>
        <v>36382.347829938197</v>
      </c>
      <c r="J21" s="66">
        <f t="shared" ca="1" si="3"/>
        <v>36382.347829938197</v>
      </c>
      <c r="K21" s="66">
        <f t="shared" ca="1" si="4"/>
        <v>36382.347829938197</v>
      </c>
      <c r="L21" s="69">
        <f t="shared" ca="1" si="12"/>
        <v>0.22826812790051054</v>
      </c>
      <c r="M21" s="69">
        <f t="shared" ca="1" si="13"/>
        <v>1.1892540753996705</v>
      </c>
      <c r="N21" s="105">
        <f t="shared" ca="1" si="11"/>
        <v>0.22826812790051054</v>
      </c>
      <c r="O21" s="70"/>
      <c r="AC21" s="29"/>
    </row>
    <row r="22" spans="1:29" x14ac:dyDescent="0.25">
      <c r="A22" s="156">
        <v>11</v>
      </c>
      <c r="B22" s="155">
        <f ca="1">IF(ISBLANK(Datos2!B20),"",OFFSET(Datos2!$B$1,COUNT(Datos2!$B$2:$B$1048576)-Datos1!A22,0,1,1))</f>
        <v>42795</v>
      </c>
      <c r="C22" s="101">
        <f t="shared" ca="1" si="9"/>
        <v>0</v>
      </c>
      <c r="D22" s="101">
        <f t="shared" ca="1" si="10"/>
        <v>0</v>
      </c>
      <c r="E22" s="66">
        <f ca="1">IF(INDEX(Datos2!$1:$1048576,MATCH(Datos1!B22,Datos2!$B:$B,0),MATCH(Datos1!$E$3,Datos2!$1:$1,0))&gt;0,INDEX(Datos2!$1:$1048576,MATCH(Datos1!B22,Datos2!$B:$B,0),MATCH(Datos1!$E$3,Datos2!$1:$1,0)),"")</f>
        <v>36192.270393816601</v>
      </c>
      <c r="F22" s="66">
        <f ca="1">IF(ISBLANK(INDEX(Datos2!$1:$1048576,MATCH(Datos1!B22,Datos2!$B:$B,0),$U$24)),IF(YEAR(B22)=$U$22,$U$25,""),INDEX(Datos2!$1:$1048576,MATCH(Datos1!B22,Datos2!$B:$B,0),$U$24))</f>
        <v>36192.270393816601</v>
      </c>
      <c r="G22" s="101">
        <f t="shared" ca="1" si="0"/>
        <v>99</v>
      </c>
      <c r="H22" s="101">
        <f t="shared" ca="1" si="1"/>
        <v>99</v>
      </c>
      <c r="I22" s="66">
        <f t="shared" ca="1" si="2"/>
        <v>36192.270393816601</v>
      </c>
      <c r="J22" s="66">
        <f t="shared" ca="1" si="3"/>
        <v>36192.270393816601</v>
      </c>
      <c r="K22" s="66">
        <f t="shared" ca="1" si="4"/>
        <v>36192.270393816601</v>
      </c>
      <c r="L22" s="69">
        <f t="shared" ca="1" si="12"/>
        <v>-0.5224441177080541</v>
      </c>
      <c r="M22" s="69">
        <f t="shared" ca="1" si="13"/>
        <v>0.48557346249189504</v>
      </c>
      <c r="N22" s="105">
        <f t="shared" ca="1" si="11"/>
        <v>-0.5224441177080541</v>
      </c>
      <c r="O22" s="70"/>
      <c r="P22" s="36">
        <v>7</v>
      </c>
      <c r="Q22" s="154" t="str">
        <f ca="1">ADDRESS(MATCH(1,$C$4:$C$33,0)+COUNTBLANK($C$1:$C$33)-P22,6,4)</f>
        <v>F22</v>
      </c>
      <c r="R22" s="36">
        <f t="shared" ref="R22:R28" ca="1" si="14">INDIRECT(Q22)</f>
        <v>36192.270393816601</v>
      </c>
      <c r="T22" s="102" t="s">
        <v>70</v>
      </c>
      <c r="U22" s="103">
        <v>2018</v>
      </c>
      <c r="AC22" s="29"/>
    </row>
    <row r="23" spans="1:29" x14ac:dyDescent="0.25">
      <c r="A23" s="156">
        <v>10</v>
      </c>
      <c r="B23" s="155">
        <f ca="1">IF(ISBLANK(Datos2!B21),"",OFFSET(Datos2!$B$1,COUNT(Datos2!$B$2:$B$1048576)-Datos1!A23,0,1,1))</f>
        <v>42887</v>
      </c>
      <c r="C23" s="101">
        <f t="shared" ca="1" si="9"/>
        <v>0</v>
      </c>
      <c r="D23" s="101">
        <f t="shared" ca="1" si="10"/>
        <v>0</v>
      </c>
      <c r="E23" s="66">
        <f ca="1">IF(INDEX(Datos2!$1:$1048576,MATCH(Datos1!B23,Datos2!$B:$B,0),MATCH(Datos1!$E$3,Datos2!$1:$1,0))&gt;0,INDEX(Datos2!$1:$1048576,MATCH(Datos1!B23,Datos2!$B:$B,0),MATCH(Datos1!$E$3,Datos2!$1:$1,0)),"")</f>
        <v>36488.979705051097</v>
      </c>
      <c r="F23" s="66">
        <f ca="1">IF(ISBLANK(INDEX(Datos2!$1:$1048576,MATCH(Datos1!B23,Datos2!$B:$B,0),$U$24)),IF(YEAR(B23)=$U$22,$U$25,""),INDEX(Datos2!$1:$1048576,MATCH(Datos1!B23,Datos2!$B:$B,0),$U$24))</f>
        <v>36488.979705051097</v>
      </c>
      <c r="G23" s="101">
        <f t="shared" ca="1" si="0"/>
        <v>99</v>
      </c>
      <c r="H23" s="101">
        <f t="shared" ca="1" si="1"/>
        <v>99</v>
      </c>
      <c r="I23" s="66">
        <f t="shared" ca="1" si="2"/>
        <v>36488.979705051097</v>
      </c>
      <c r="J23" s="66">
        <f t="shared" ca="1" si="3"/>
        <v>36488.979705051097</v>
      </c>
      <c r="K23" s="66">
        <f t="shared" ca="1" si="4"/>
        <v>36488.979705051097</v>
      </c>
      <c r="L23" s="69">
        <f t="shared" ca="1" si="12"/>
        <v>0.8198140321287628</v>
      </c>
      <c r="M23" s="69">
        <f t="shared" ca="1" si="13"/>
        <v>0.5106683561395764</v>
      </c>
      <c r="N23" s="105">
        <f t="shared" ca="1" si="11"/>
        <v>0.8198140321287628</v>
      </c>
      <c r="O23" s="70"/>
      <c r="P23" s="36">
        <v>6</v>
      </c>
      <c r="Q23" s="154" t="str">
        <f t="shared" ref="Q23:Q29" ca="1" si="15">ADDRESS(MATCH(1,$C$4:$C$33,0)+COUNTBLANK($C$1:$C$33)-P23,6,4)</f>
        <v>F23</v>
      </c>
      <c r="R23" s="36">
        <f t="shared" ca="1" si="14"/>
        <v>36488.979705051097</v>
      </c>
      <c r="T23" s="71" t="s">
        <v>71</v>
      </c>
      <c r="U23" s="72">
        <f>U22+1</f>
        <v>2019</v>
      </c>
      <c r="W23" s="28" t="s">
        <v>70</v>
      </c>
      <c r="AC23" s="29"/>
    </row>
    <row r="24" spans="1:29" x14ac:dyDescent="0.25">
      <c r="A24" s="156">
        <v>9</v>
      </c>
      <c r="B24" s="155">
        <f ca="1">IF(ISBLANK(Datos2!B22),"",OFFSET(Datos2!$B$1,COUNT(Datos2!$B$2:$B$1048576)-Datos1!A24,0,1,1))</f>
        <v>42979</v>
      </c>
      <c r="C24" s="101">
        <f t="shared" ca="1" si="9"/>
        <v>0</v>
      </c>
      <c r="D24" s="101">
        <f t="shared" ca="1" si="10"/>
        <v>0</v>
      </c>
      <c r="E24" s="66">
        <f ca="1">IF(INDEX(Datos2!$1:$1048576,MATCH(Datos1!B24,Datos2!$B:$B,0),MATCH(Datos1!$E$3,Datos2!$1:$1,0))&gt;0,INDEX(Datos2!$1:$1048576,MATCH(Datos1!B24,Datos2!$B:$B,0),MATCH(Datos1!$E$3,Datos2!$1:$1,0)),"")</f>
        <v>37350.297907029802</v>
      </c>
      <c r="F24" s="66">
        <f ca="1">IF(ISBLANK(INDEX(Datos2!$1:$1048576,MATCH(Datos1!B24,Datos2!$B:$B,0),$U$24)),IF(YEAR(B24)=$U$22,$U$25,""),INDEX(Datos2!$1:$1048576,MATCH(Datos1!B24,Datos2!$B:$B,0),$U$24))</f>
        <v>37350.297907029802</v>
      </c>
      <c r="G24" s="101">
        <f t="shared" ca="1" si="0"/>
        <v>99</v>
      </c>
      <c r="H24" s="101">
        <f t="shared" ca="1" si="1"/>
        <v>99</v>
      </c>
      <c r="I24" s="66">
        <f t="shared" ca="1" si="2"/>
        <v>37350.297907029802</v>
      </c>
      <c r="J24" s="66">
        <f t="shared" ca="1" si="3"/>
        <v>37350.297907029802</v>
      </c>
      <c r="K24" s="66">
        <f t="shared" ca="1" si="4"/>
        <v>37350.297907029802</v>
      </c>
      <c r="L24" s="69">
        <f t="shared" ca="1" si="12"/>
        <v>2.3604885884476401</v>
      </c>
      <c r="M24" s="69">
        <f t="shared" ca="1" si="13"/>
        <v>0.93401079493227179</v>
      </c>
      <c r="N24" s="105">
        <f t="shared" ca="1" si="11"/>
        <v>2.3604885884476401</v>
      </c>
      <c r="O24" s="70"/>
      <c r="P24" s="36">
        <v>5</v>
      </c>
      <c r="Q24" s="154" t="str">
        <f t="shared" ca="1" si="15"/>
        <v>F24</v>
      </c>
      <c r="R24" s="36">
        <f t="shared" ca="1" si="14"/>
        <v>37350.297907029802</v>
      </c>
      <c r="T24" s="71" t="s">
        <v>72</v>
      </c>
      <c r="U24" s="72">
        <f>MATCH(Datos1!$E$3,Datos2!$1:$1,0)</f>
        <v>6</v>
      </c>
      <c r="W24" s="94">
        <f>U22</f>
        <v>2018</v>
      </c>
      <c r="AC24" s="29"/>
    </row>
    <row r="25" spans="1:29" x14ac:dyDescent="0.25">
      <c r="A25" s="156">
        <v>8</v>
      </c>
      <c r="B25" s="155">
        <f ca="1">IF(ISBLANK(Datos2!B23),"",OFFSET(Datos2!$B$1,COUNT(Datos2!$B$2:$B$1048576)-Datos1!A25,0,1,1))</f>
        <v>43070</v>
      </c>
      <c r="C25" s="101">
        <f t="shared" ca="1" si="9"/>
        <v>0</v>
      </c>
      <c r="D25" s="101">
        <f t="shared" ca="1" si="10"/>
        <v>0</v>
      </c>
      <c r="E25" s="66">
        <f ca="1">IF(INDEX(Datos2!$1:$1048576,MATCH(Datos1!B25,Datos2!$B:$B,0),MATCH(Datos1!$E$3,Datos2!$1:$1,0))&gt;0,INDEX(Datos2!$1:$1048576,MATCH(Datos1!B25,Datos2!$B:$B,0),MATCH(Datos1!$E$3,Datos2!$1:$1,0)),"")</f>
        <v>37594.615087874598</v>
      </c>
      <c r="F25" s="66">
        <f ca="1">IF(ISBLANK(INDEX(Datos2!$1:$1048576,MATCH(Datos1!B25,Datos2!$B:$B,0),$U$24)),IF(YEAR(B25)=$U$22,$U$25,""),INDEX(Datos2!$1:$1048576,MATCH(Datos1!B25,Datos2!$B:$B,0),$U$24))</f>
        <v>37594.615087874598</v>
      </c>
      <c r="G25" s="101">
        <f t="shared" ca="1" si="0"/>
        <v>99</v>
      </c>
      <c r="H25" s="101">
        <f t="shared" ca="1" si="1"/>
        <v>99</v>
      </c>
      <c r="I25" s="66">
        <f t="shared" ca="1" si="2"/>
        <v>37594.615087874598</v>
      </c>
      <c r="J25" s="66">
        <f t="shared" ca="1" si="3"/>
        <v>37594.615087874598</v>
      </c>
      <c r="K25" s="66">
        <f t="shared" ca="1" si="4"/>
        <v>37594.615087874598</v>
      </c>
      <c r="L25" s="69">
        <f t="shared" ca="1" si="12"/>
        <v>0.65412378089442225</v>
      </c>
      <c r="M25" s="69">
        <f t="shared" ca="1" si="13"/>
        <v>1.6451818690363273</v>
      </c>
      <c r="N25" s="105">
        <f t="shared" ca="1" si="11"/>
        <v>0.65412378089442225</v>
      </c>
      <c r="O25" s="70"/>
      <c r="P25" s="36">
        <v>4</v>
      </c>
      <c r="Q25" s="154" t="str">
        <f t="shared" ca="1" si="15"/>
        <v>F25</v>
      </c>
      <c r="R25" s="36">
        <f t="shared" ca="1" si="14"/>
        <v>37594.615087874598</v>
      </c>
      <c r="T25" s="71" t="str">
        <f>CONCATENATE("OFFSET ",U22)</f>
        <v>OFFSET 2018</v>
      </c>
      <c r="U25" s="72">
        <f ca="1">OFFSET(INDIRECT(ADDRESS(1,MATCH($E$3,Datos2!$1:$1,0),,,"Datos2")),U26,0,1,1)</f>
        <v>38311.177518345597</v>
      </c>
      <c r="AC25" s="29"/>
    </row>
    <row r="26" spans="1:29" x14ac:dyDescent="0.25">
      <c r="A26" s="156">
        <v>7</v>
      </c>
      <c r="B26" s="155">
        <f ca="1">IF(ISBLANK(Datos2!B24),"",OFFSET(Datos2!$B$1,COUNT(Datos2!$B$2:$B$1048576)-Datos1!A26,0,1,1))</f>
        <v>43160</v>
      </c>
      <c r="C26" s="101">
        <f t="shared" ca="1" si="9"/>
        <v>0</v>
      </c>
      <c r="D26" s="101">
        <f t="shared" ca="1" si="10"/>
        <v>0</v>
      </c>
      <c r="E26" s="66">
        <f ca="1">IF(INDEX(Datos2!$1:$1048576,MATCH(Datos1!B26,Datos2!$B:$B,0),MATCH(Datos1!$E$3,Datos2!$1:$1,0))&gt;0,INDEX(Datos2!$1:$1048576,MATCH(Datos1!B26,Datos2!$B:$B,0),MATCH(Datos1!$E$3,Datos2!$1:$1,0)),"")</f>
        <v>38048.898864251998</v>
      </c>
      <c r="F26" s="66">
        <f ca="1">IF(ISBLANK(INDEX(Datos2!$1:$1048576,MATCH(Datos1!B26,Datos2!$B:$B,0),$U$24)),IF(YEAR(B26)=$U$22,$U$25,""),INDEX(Datos2!$1:$1048576,MATCH(Datos1!B26,Datos2!$B:$B,0),$U$24))</f>
        <v>38048.898864251998</v>
      </c>
      <c r="G26" s="101">
        <f t="shared" ca="1" si="0"/>
        <v>99</v>
      </c>
      <c r="H26" s="101">
        <f t="shared" ca="1" si="1"/>
        <v>99</v>
      </c>
      <c r="I26" s="66">
        <f t="shared" ca="1" si="2"/>
        <v>38048.898864251998</v>
      </c>
      <c r="J26" s="66">
        <f t="shared" ca="1" si="3"/>
        <v>38048.898864251998</v>
      </c>
      <c r="K26" s="66">
        <f t="shared" ca="1" si="4"/>
        <v>38048.898864251998</v>
      </c>
      <c r="L26" s="69">
        <f t="shared" ca="1" si="12"/>
        <v>1.2083745911895871</v>
      </c>
      <c r="M26" s="69">
        <f t="shared" ca="1" si="13"/>
        <v>3.0566777813832546</v>
      </c>
      <c r="N26" s="105">
        <f t="shared" ca="1" si="11"/>
        <v>1.2083745911895871</v>
      </c>
      <c r="O26" s="70"/>
      <c r="P26" s="36">
        <v>3</v>
      </c>
      <c r="Q26" s="154" t="str">
        <f t="shared" ca="1" si="15"/>
        <v>F26</v>
      </c>
      <c r="R26" s="36">
        <f t="shared" ca="1" si="14"/>
        <v>38048.898864251998</v>
      </c>
      <c r="T26" s="71" t="str">
        <f>CONCATENATE("COUNT ",U22)</f>
        <v>COUNT 2018</v>
      </c>
      <c r="U26" s="72">
        <f ca="1">COUNT(INDIRECT(CONCATENATE(LEFT(ADDRESS(1,MATCH($E$3,Datos2!1:1,0),,,"Datos2"),7),LEFT(RIGHT(ADDRESS(1,MATCH($E$3,Datos2!1:1,0),,,"Datos2"),3),1),":",LEFT(RIGHT(ADDRESS(1,MATCH($E$3,Datos2!1:1,0),,,"Datos2"),3),1))))</f>
        <v>50</v>
      </c>
      <c r="V26" t="str">
        <f>CONCATENATE(LEFT(ADDRESS(1,MATCH($E$3,Datos2!1:1,0),,,"Datos2"),7),LEFT(RIGHT(ADDRESS(1,MATCH($E$3,Datos2!1:1,0),,,"Datos2"),3),1),":",LEFT(RIGHT(ADDRESS(1,MATCH($E$3,Datos2!1:1,0),,,"Datos2"),3),1))</f>
        <v>Datos2!F:F</v>
      </c>
      <c r="AC26" s="29"/>
    </row>
    <row r="27" spans="1:29" x14ac:dyDescent="0.25">
      <c r="A27" s="156">
        <v>6</v>
      </c>
      <c r="B27" s="155">
        <f ca="1">IF(ISBLANK(Datos2!B25),"",OFFSET(Datos2!$B$1,COUNT(Datos2!$B$2:$B$1048576)-Datos1!A27,0,1,1))</f>
        <v>43252</v>
      </c>
      <c r="C27" s="101">
        <f t="shared" ca="1" si="9"/>
        <v>0</v>
      </c>
      <c r="D27" s="101">
        <f t="shared" ca="1" si="10"/>
        <v>0</v>
      </c>
      <c r="E27" s="66">
        <f ca="1">IF(INDEX(Datos2!$1:$1048576,MATCH(Datos1!B27,Datos2!$B:$B,0),MATCH(Datos1!$E$3,Datos2!$1:$1,0))&gt;0,INDEX(Datos2!$1:$1048576,MATCH(Datos1!B27,Datos2!$B:$B,0),MATCH(Datos1!$E$3,Datos2!$1:$1,0)),"")</f>
        <v>38311.177518345597</v>
      </c>
      <c r="F27" s="66">
        <f ca="1">IF(ISBLANK(INDEX(Datos2!$1:$1048576,MATCH(Datos1!B27,Datos2!$B:$B,0),$U$24)),IF(YEAR(B27)=$U$22,$U$25,""),INDEX(Datos2!$1:$1048576,MATCH(Datos1!B27,Datos2!$B:$B,0),$U$24))</f>
        <v>38311.177518345597</v>
      </c>
      <c r="G27" s="101">
        <f t="shared" ca="1" si="0"/>
        <v>99</v>
      </c>
      <c r="H27" s="101">
        <f t="shared" ca="1" si="1"/>
        <v>99</v>
      </c>
      <c r="I27" s="66">
        <f t="shared" ca="1" si="2"/>
        <v>38311.177518345597</v>
      </c>
      <c r="J27" s="66">
        <f t="shared" ca="1" si="3"/>
        <v>38311.177518345597</v>
      </c>
      <c r="K27" s="66">
        <f t="shared" ca="1" si="4"/>
        <v>38311.177518345597</v>
      </c>
      <c r="L27" s="69">
        <f t="shared" ca="1" si="12"/>
        <v>0.68931995911192256</v>
      </c>
      <c r="M27" s="69">
        <f t="shared" ca="1" si="13"/>
        <v>4.0876290945953686</v>
      </c>
      <c r="N27" s="105">
        <f t="shared" ca="1" si="11"/>
        <v>0.68931995911192256</v>
      </c>
      <c r="O27" s="70"/>
      <c r="P27" s="36">
        <v>2</v>
      </c>
      <c r="Q27" s="154" t="str">
        <f t="shared" ca="1" si="15"/>
        <v>F27</v>
      </c>
      <c r="R27" s="36">
        <f t="shared" ca="1" si="14"/>
        <v>38311.177518345597</v>
      </c>
      <c r="T27" s="71" t="str">
        <f>CONCATENATE("OFFSET ",U23)</f>
        <v>OFFSET 2019</v>
      </c>
      <c r="U27" s="72">
        <f ca="1">OFFSET(I3,COUNT(I4:I1048576),0,1,1)</f>
        <v>38567.314987349942</v>
      </c>
      <c r="V27">
        <f ca="1">LOOKUP(1,1/(1-ISBLANK(INDIRECT(V26))),INDIRECT(V26))</f>
        <v>38311.177518345597</v>
      </c>
      <c r="X27">
        <f ca="1">LOOKUP(1,1/(1-ISBLANK(INDIRECT(V26))),INDIRECT(V26))</f>
        <v>38311.177518345597</v>
      </c>
      <c r="AC27" s="29"/>
    </row>
    <row r="28" spans="1:29" x14ac:dyDescent="0.25">
      <c r="A28" s="156">
        <v>5</v>
      </c>
      <c r="B28" s="155">
        <f ca="1">IF(ISBLANK(Datos2!B26),"",OFFSET(Datos2!$B$1,COUNT(Datos2!$B$2:$B$1048576)-Datos1!A28,0,1,1))</f>
        <v>43344</v>
      </c>
      <c r="C28" s="101">
        <f t="shared" ca="1" si="9"/>
        <v>0</v>
      </c>
      <c r="D28" s="101">
        <f t="shared" ca="1" si="10"/>
        <v>0</v>
      </c>
      <c r="E28" s="66" t="str">
        <f ca="1">IF(INDEX(Datos2!$1:$1048576,MATCH(Datos1!B28,Datos2!$B:$B,0),MATCH(Datos1!$E$3,Datos2!$1:$1,0))&gt;0,INDEX(Datos2!$1:$1048576,MATCH(Datos1!B28,Datos2!$B:$B,0),MATCH(Datos1!$E$3,Datos2!$1:$1,0)),"")</f>
        <v/>
      </c>
      <c r="F28" s="66">
        <f ca="1">IF(ISBLANK(INDEX(Datos2!$1:$1048576,MATCH(Datos1!B28,Datos2!$B:$B,0),$U$24)),IF(YEAR(B28)=$U$22,$U$25,""),INDEX(Datos2!$1:$1048576,MATCH(Datos1!B28,Datos2!$B:$B,0),$U$24))</f>
        <v>38311.177518345597</v>
      </c>
      <c r="G28" s="101">
        <f t="shared" ca="1" si="0"/>
        <v>1</v>
      </c>
      <c r="H28" s="101">
        <f t="shared" ca="1" si="1"/>
        <v>1</v>
      </c>
      <c r="I28" s="66">
        <f t="shared" ca="1" si="2"/>
        <v>38439.032907791974</v>
      </c>
      <c r="J28" s="66">
        <f t="shared" ca="1" si="3"/>
        <v>38439.032907791974</v>
      </c>
      <c r="K28" s="66">
        <f t="shared" ca="1" si="4"/>
        <v>38439.032907791974</v>
      </c>
      <c r="L28" s="69">
        <f t="shared" ca="1" si="12"/>
        <v>0.33372868632177699</v>
      </c>
      <c r="M28" s="69">
        <f t="shared" ca="1" si="13"/>
        <v>4.0841946785797001</v>
      </c>
      <c r="N28" s="105" t="str">
        <f t="shared" ca="1" si="11"/>
        <v/>
      </c>
      <c r="O28" s="70"/>
      <c r="P28" s="36">
        <v>1</v>
      </c>
      <c r="Q28" s="154" t="str">
        <f t="shared" ca="1" si="15"/>
        <v>F28</v>
      </c>
      <c r="R28" s="36">
        <f t="shared" ca="1" si="14"/>
        <v>38311.177518345597</v>
      </c>
      <c r="T28" s="20" t="s">
        <v>73</v>
      </c>
      <c r="U28" s="36">
        <f>4-DCOUNT(Datos2!1:1048576,MATCH(E3,Datos2!1:1,0),W23:W24)</f>
        <v>2</v>
      </c>
      <c r="V28">
        <f ca="1">MATCH(V27,INDIRECT(V26),0)</f>
        <v>51</v>
      </c>
      <c r="X28" t="str">
        <f>ADDRESS(1,MATCH($E$3,Datos2!$1:$1,0),,,"Datos2")</f>
        <v>Datos2!$F$1</v>
      </c>
      <c r="AC28" s="29"/>
    </row>
    <row r="29" spans="1:29" x14ac:dyDescent="0.25">
      <c r="A29" s="156">
        <v>4</v>
      </c>
      <c r="B29" s="155">
        <f ca="1">IF(ISBLANK(Datos2!B27),"",OFFSET(Datos2!$B$1,COUNT(Datos2!$B$2:$B$1048576)-Datos1!A29,0,1,1))</f>
        <v>43435</v>
      </c>
      <c r="C29" s="101">
        <f t="shared" ca="1" si="9"/>
        <v>1</v>
      </c>
      <c r="D29" s="101">
        <f t="shared" ca="1" si="10"/>
        <v>0</v>
      </c>
      <c r="E29" s="66" t="str">
        <f ca="1">IF(INDEX(Datos2!$1:$1048576,MATCH(Datos1!B29,Datos2!$B:$B,0),MATCH(Datos1!$E$3,Datos2!$1:$1,0))&gt;0,INDEX(Datos2!$1:$1048576,MATCH(Datos1!B29,Datos2!$B:$B,0),MATCH(Datos1!$E$3,Datos2!$1:$1,0)),"")</f>
        <v/>
      </c>
      <c r="F29" s="66">
        <f ca="1">IF(ISBLANK(INDEX(Datos2!$1:$1048576,MATCH(Datos1!B29,Datos2!$B:$B,0),$U$24)),IF(YEAR(B29)=$U$22,$U$25,""),INDEX(Datos2!$1:$1048576,MATCH(Datos1!B29,Datos2!$B:$B,0),$U$24))</f>
        <v>38311.177518345597</v>
      </c>
      <c r="G29" s="101">
        <f t="shared" ca="1" si="0"/>
        <v>1</v>
      </c>
      <c r="H29" s="101">
        <f t="shared" ca="1" si="1"/>
        <v>2</v>
      </c>
      <c r="I29" s="66">
        <f t="shared" ca="1" si="2"/>
        <v>38567.314987349942</v>
      </c>
      <c r="J29" s="66">
        <f t="shared" ca="1" si="3"/>
        <v>38567.314987349942</v>
      </c>
      <c r="K29" s="66">
        <f t="shared" ca="1" si="4"/>
        <v>38567.314987349942</v>
      </c>
      <c r="L29" s="69">
        <f t="shared" ca="1" si="12"/>
        <v>0.33372868632177699</v>
      </c>
      <c r="M29" s="69">
        <f t="shared" ca="1" si="13"/>
        <v>3.8883766018637411</v>
      </c>
      <c r="N29" s="105" t="str">
        <f t="shared" ca="1" si="11"/>
        <v/>
      </c>
      <c r="O29" s="70"/>
      <c r="P29" s="36">
        <v>0</v>
      </c>
      <c r="Q29" s="154" t="str">
        <f t="shared" ca="1" si="15"/>
        <v>F29</v>
      </c>
      <c r="R29" s="36">
        <f ca="1">INDIRECT(Q29)</f>
        <v>38311.177518345597</v>
      </c>
      <c r="T29" s="20" t="s">
        <v>85</v>
      </c>
      <c r="U29" s="36">
        <f>4-U28</f>
        <v>2</v>
      </c>
      <c r="AC29" s="29"/>
    </row>
    <row r="30" spans="1:29" x14ac:dyDescent="0.25">
      <c r="A30" s="156">
        <v>3</v>
      </c>
      <c r="B30" s="155">
        <f ca="1">IF(ISBLANK(Datos2!B28),"",OFFSET(Datos2!$B$1,COUNT(Datos2!$B$2:$B$1048576)-Datos1!A30,0,1,1))</f>
        <v>43525</v>
      </c>
      <c r="C30" s="101">
        <f t="shared" ca="1" si="9"/>
        <v>0</v>
      </c>
      <c r="D30" s="101">
        <f t="shared" ca="1" si="10"/>
        <v>0</v>
      </c>
      <c r="E30" s="66" t="str">
        <f ca="1">IF(INDEX(Datos2!$1:$1048576,MATCH(Datos1!B30,Datos2!$B:$B,0),MATCH(Datos1!$E$3,Datos2!$1:$1,0))&gt;0,INDEX(Datos2!$1:$1048576,MATCH(Datos1!B30,Datos2!$B:$B,0),MATCH(Datos1!$E$3,Datos2!$1:$1,0)),"")</f>
        <v/>
      </c>
      <c r="F30" s="66" t="str">
        <f ca="1">IF(ISBLANK(INDEX(Datos2!$1:$1048576,MATCH(Datos1!B30,Datos2!$B:$B,0),$U$24)),IF(YEAR(B30)=$U$22,$U$25,""),INDEX(Datos2!$1:$1048576,MATCH(Datos1!B30,Datos2!$B:$B,0),$U$24))</f>
        <v/>
      </c>
      <c r="G30" s="101">
        <f t="shared" ca="1" si="0"/>
        <v>99</v>
      </c>
      <c r="H30" s="101">
        <f t="shared" ca="1" si="1"/>
        <v>99</v>
      </c>
      <c r="I30" s="66" t="str">
        <f t="shared" ca="1" si="2"/>
        <v/>
      </c>
      <c r="J30" s="66">
        <f t="shared" ca="1" si="3"/>
        <v>38567.314987349942</v>
      </c>
      <c r="K30" s="66">
        <f t="shared" ca="1" si="4"/>
        <v>38979.630374066488</v>
      </c>
      <c r="L30" s="69">
        <f t="shared" ca="1" si="12"/>
        <v>1.0690798331483231</v>
      </c>
      <c r="M30" s="69">
        <f t="shared" ca="1" si="13"/>
        <v>2.9448532440198294</v>
      </c>
      <c r="N30" s="105" t="str">
        <f t="shared" ca="1" si="11"/>
        <v/>
      </c>
      <c r="O30" s="70"/>
      <c r="P30" s="70"/>
      <c r="Q30" s="70"/>
      <c r="T30" s="20" t="s">
        <v>74</v>
      </c>
      <c r="U30" s="36">
        <f>IF(IF(U29=0,2/5,IF(U29=1,2/3,IF(U29=2,4/3,IF(U29=3,4))))=FALSE,0.4,IF(U29=0,2/5,IF(U29=1,2/3,IF(U29=2,4/3,IF(U29=3,4)))))</f>
        <v>1.3333333333333333</v>
      </c>
      <c r="V30" s="36">
        <f>2/5</f>
        <v>0.4</v>
      </c>
      <c r="AC30" s="29"/>
    </row>
    <row r="31" spans="1:29" x14ac:dyDescent="0.25">
      <c r="A31" s="156">
        <v>2</v>
      </c>
      <c r="B31" s="155">
        <f ca="1">IF(ISBLANK(Datos2!B29),"",OFFSET(Datos2!$B$1,COUNT(Datos2!$B$2:$B$1048576)-Datos1!A31,0,1,1))</f>
        <v>43617</v>
      </c>
      <c r="C31" s="101">
        <f t="shared" ca="1" si="9"/>
        <v>0</v>
      </c>
      <c r="D31" s="101">
        <f t="shared" ca="1" si="10"/>
        <v>0</v>
      </c>
      <c r="E31" s="66" t="str">
        <f ca="1">IF(INDEX(Datos2!$1:$1048576,MATCH(Datos1!B31,Datos2!$B:$B,0),MATCH(Datos1!$E$3,Datos2!$1:$1,0))&gt;0,INDEX(Datos2!$1:$1048576,MATCH(Datos1!B31,Datos2!$B:$B,0),MATCH(Datos1!$E$3,Datos2!$1:$1,0)),"")</f>
        <v/>
      </c>
      <c r="F31" s="66" t="str">
        <f ca="1">IF(ISBLANK(INDEX(Datos2!$1:$1048576,MATCH(Datos1!B31,Datos2!$B:$B,0),$U$24)),IF(YEAR(B31)=$U$22,$U$25,""),INDEX(Datos2!$1:$1048576,MATCH(Datos1!B31,Datos2!$B:$B,0),$U$24))</f>
        <v/>
      </c>
      <c r="G31" s="101">
        <f t="shared" ca="1" si="0"/>
        <v>99</v>
      </c>
      <c r="H31" s="101">
        <f t="shared" ca="1" si="1"/>
        <v>99</v>
      </c>
      <c r="I31" s="66" t="str">
        <f t="shared" ca="1" si="2"/>
        <v/>
      </c>
      <c r="J31" s="66">
        <f t="shared" ca="1" si="3"/>
        <v>38567.314987349942</v>
      </c>
      <c r="K31" s="66">
        <f t="shared" ca="1" si="4"/>
        <v>39396.353741431391</v>
      </c>
      <c r="L31" s="69">
        <f t="shared" ca="1" si="12"/>
        <v>1.0690798331483231</v>
      </c>
      <c r="M31" s="69">
        <f t="shared" ca="1" si="13"/>
        <v>1.8743522629409703</v>
      </c>
      <c r="N31" s="105" t="str">
        <f t="shared" ca="1" si="11"/>
        <v/>
      </c>
      <c r="O31" s="67">
        <f ca="1">J30*(1+$V$36)</f>
        <v>38979.630374066488</v>
      </c>
      <c r="P31" s="36">
        <v>7</v>
      </c>
      <c r="Q31" s="154" t="str">
        <f ca="1">ADDRESS(MATCH(1,$D$4:$D$33,0)+COUNTBLANK($D$1:$D$33)-P22,10,4)</f>
        <v>J26</v>
      </c>
      <c r="R31" s="36">
        <f t="shared" ref="R31:R37" ca="1" si="16">INDIRECT(Q31)</f>
        <v>38048.898864251998</v>
      </c>
      <c r="T31" s="20" t="s">
        <v>151</v>
      </c>
      <c r="U31" s="36">
        <f>1/U30</f>
        <v>0.75</v>
      </c>
      <c r="V31" s="36">
        <f>1/V30</f>
        <v>2.5</v>
      </c>
      <c r="AC31" s="29"/>
    </row>
    <row r="32" spans="1:29" x14ac:dyDescent="0.25">
      <c r="A32" s="156">
        <v>1</v>
      </c>
      <c r="B32" s="155">
        <f ca="1">IF(ISBLANK(Datos2!B30),"",OFFSET(Datos2!$B$1,COUNT(Datos2!$B$2:$B$1048576)-Datos1!A32,0,1,1))</f>
        <v>43709</v>
      </c>
      <c r="C32" s="101">
        <f t="shared" ca="1" si="9"/>
        <v>0</v>
      </c>
      <c r="D32" s="101">
        <f t="shared" ca="1" si="10"/>
        <v>0</v>
      </c>
      <c r="E32" s="66" t="str">
        <f ca="1">IF(INDEX(Datos2!$1:$1048576,MATCH(Datos1!B32,Datos2!$B:$B,0),MATCH(Datos1!$E$3,Datos2!$1:$1,0))&gt;0,INDEX(Datos2!$1:$1048576,MATCH(Datos1!B32,Datos2!$B:$B,0),MATCH(Datos1!$E$3,Datos2!$1:$1,0)),"")</f>
        <v/>
      </c>
      <c r="F32" s="66" t="str">
        <f ca="1">IF(ISBLANK(INDEX(Datos2!$1:$1048576,MATCH(Datos1!B32,Datos2!$B:$B,0),$U$24)),IF(YEAR(B32)=$U$22,$U$25,""),INDEX(Datos2!$1:$1048576,MATCH(Datos1!B32,Datos2!$B:$B,0),$U$24))</f>
        <v/>
      </c>
      <c r="G32" s="101">
        <f t="shared" ca="1" si="0"/>
        <v>99</v>
      </c>
      <c r="H32" s="101">
        <f t="shared" ca="1" si="1"/>
        <v>99</v>
      </c>
      <c r="I32" s="66" t="str">
        <f t="shared" ca="1" si="2"/>
        <v/>
      </c>
      <c r="J32" s="66">
        <f t="shared" ca="1" si="3"/>
        <v>38567.314987349942</v>
      </c>
      <c r="K32" s="66">
        <f t="shared" ca="1" si="4"/>
        <v>39817.532214276805</v>
      </c>
      <c r="L32" s="69">
        <f t="shared" ca="1" si="12"/>
        <v>1.0690798331483231</v>
      </c>
      <c r="M32" s="69">
        <f t="shared" ca="1" si="13"/>
        <v>1.2307170644902943</v>
      </c>
      <c r="N32" s="105" t="str">
        <f t="shared" ca="1" si="11"/>
        <v/>
      </c>
      <c r="O32" s="67">
        <f t="shared" ref="O32:O33" ca="1" si="17">O31*(1+$V$36)</f>
        <v>39396.353741431391</v>
      </c>
      <c r="P32" s="36">
        <v>6</v>
      </c>
      <c r="Q32" s="154" t="str">
        <f t="shared" ref="Q32:Q38" ca="1" si="18">ADDRESS(MATCH(1,$D$4:$D$33,0)+COUNTBLANK($D$1:$D$33)-P23,10,4)</f>
        <v>J27</v>
      </c>
      <c r="R32" s="36">
        <f t="shared" ca="1" si="16"/>
        <v>38311.177518345597</v>
      </c>
      <c r="AC32" s="29"/>
    </row>
    <row r="33" spans="1:29" x14ac:dyDescent="0.25">
      <c r="A33" s="156">
        <v>0</v>
      </c>
      <c r="B33" s="155">
        <f ca="1">IF(ISBLANK(Datos2!B31),"",OFFSET(Datos2!$B$1,COUNT(Datos2!$B$2:$B$1048576)-Datos1!A33,0,1,1))</f>
        <v>43800</v>
      </c>
      <c r="C33" s="101">
        <f t="shared" ca="1" si="9"/>
        <v>0</v>
      </c>
      <c r="D33" s="101">
        <f t="shared" ca="1" si="10"/>
        <v>1</v>
      </c>
      <c r="E33" s="66" t="str">
        <f ca="1">IF(INDEX(Datos2!$1:$1048576,MATCH(Datos1!B33,Datos2!$B:$B,0),MATCH(Datos1!$E$3,Datos2!$1:$1,0))&gt;0,INDEX(Datos2!$1:$1048576,MATCH(Datos1!B33,Datos2!$B:$B,0),MATCH(Datos1!$E$3,Datos2!$1:$1,0)),"")</f>
        <v/>
      </c>
      <c r="F33" s="66" t="str">
        <f ca="1">IF(ISBLANK(INDEX(Datos2!$1:$1048576,MATCH(Datos1!B33,Datos2!$B:$B,0),$U$24)),IF(YEAR(B33)=$U$22,$U$25,""),INDEX(Datos2!$1:$1048576,MATCH(Datos1!B33,Datos2!$B:$B,0),$U$24))</f>
        <v/>
      </c>
      <c r="G33" s="101">
        <f t="shared" ca="1" si="0"/>
        <v>99</v>
      </c>
      <c r="H33" s="101">
        <f t="shared" ca="1" si="1"/>
        <v>99</v>
      </c>
      <c r="I33" s="66" t="str">
        <f t="shared" ca="1" si="2"/>
        <v/>
      </c>
      <c r="J33" s="66">
        <f t="shared" ca="1" si="3"/>
        <v>38567.314987349942</v>
      </c>
      <c r="K33" s="66">
        <f t="shared" ca="1" si="4"/>
        <v>40243.213421236978</v>
      </c>
      <c r="L33" s="69">
        <f t="shared" ca="1" si="12"/>
        <v>1.0690798331483231</v>
      </c>
      <c r="M33" s="69">
        <f ca="1">100*(SUM(J30:J33)/SUM(J26:J29)-1)</f>
        <v>0.58867882974520391</v>
      </c>
      <c r="N33" s="105" t="str">
        <f t="shared" ca="1" si="11"/>
        <v/>
      </c>
      <c r="O33" s="67">
        <f t="shared" ca="1" si="17"/>
        <v>39817.532214276805</v>
      </c>
      <c r="P33" s="36">
        <v>5</v>
      </c>
      <c r="Q33" s="154" t="str">
        <f t="shared" ca="1" si="18"/>
        <v>J28</v>
      </c>
      <c r="R33" s="36">
        <f t="shared" ca="1" si="16"/>
        <v>38439.032907791974</v>
      </c>
      <c r="T33" s="36"/>
      <c r="U33" s="36">
        <f>U22</f>
        <v>2018</v>
      </c>
      <c r="V33" s="36">
        <f>U23</f>
        <v>2019</v>
      </c>
      <c r="AC33" s="29"/>
    </row>
    <row r="34" spans="1:29" x14ac:dyDescent="0.25">
      <c r="A34" s="135"/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N34" s="135"/>
      <c r="O34" s="135"/>
      <c r="P34" s="36">
        <v>4</v>
      </c>
      <c r="Q34" s="154" t="str">
        <f t="shared" ca="1" si="18"/>
        <v>J29</v>
      </c>
      <c r="R34" s="36">
        <f t="shared" ca="1" si="16"/>
        <v>38567.314987349942</v>
      </c>
      <c r="T34" s="36" t="s">
        <v>57</v>
      </c>
      <c r="U34" s="127">
        <f ca="1">GEOMEAN(R29/R25,R28/R24,R27/R23,R26/R22)-1</f>
        <v>3.640699007639836E-2</v>
      </c>
      <c r="V34" s="113">
        <f ca="1">GEOMEAN(R38/R34,R37/R33,R36/R32,R35/R31)-1</f>
        <v>5.8993838555374545E-3</v>
      </c>
      <c r="AC34" s="29"/>
    </row>
    <row r="35" spans="1:29" x14ac:dyDescent="0.25">
      <c r="A35" s="135"/>
      <c r="B35" s="135"/>
      <c r="C35" s="135"/>
      <c r="D35" s="135"/>
      <c r="E35" s="162"/>
      <c r="F35" s="162"/>
      <c r="G35" s="135"/>
      <c r="H35" s="135"/>
      <c r="I35" s="135"/>
      <c r="J35" s="135"/>
      <c r="K35" s="135"/>
      <c r="L35" s="135"/>
      <c r="N35" s="135"/>
      <c r="O35" s="135"/>
      <c r="P35" s="36">
        <v>3</v>
      </c>
      <c r="Q35" s="154" t="str">
        <f t="shared" ca="1" si="18"/>
        <v>J30</v>
      </c>
      <c r="R35" s="36">
        <f t="shared" ca="1" si="16"/>
        <v>38567.314987349942</v>
      </c>
      <c r="T35" s="36" t="s">
        <v>67</v>
      </c>
      <c r="U35" s="74">
        <f>INDEX('Tabla trabajo'!$K$7:$M$40,MATCH(Datos1!$E$3,'Tabla trabajo'!$K$7:$K$40,0),MATCH(Datos1!U$33,'Tabla trabajo'!$K$7:$M$7,0))/100</f>
        <v>3.9E-2</v>
      </c>
      <c r="V35" s="74">
        <f>INDEX('Tabla trabajo'!$K$7:$M$40,MATCH(Datos1!$E$3,'Tabla trabajo'!$K$7:$K$40,0),MATCH(Datos1!V$33,'Tabla trabajo'!$K$7:$M$7,0))/100</f>
        <v>3.3000000000000002E-2</v>
      </c>
      <c r="AC35" s="29"/>
    </row>
    <row r="36" spans="1:29" x14ac:dyDescent="0.25">
      <c r="A36" s="135"/>
      <c r="B36" s="135"/>
      <c r="C36" s="135"/>
      <c r="D36" s="135"/>
      <c r="E36" s="162"/>
      <c r="F36" s="162"/>
      <c r="G36" s="135"/>
      <c r="H36" s="135"/>
      <c r="I36" s="135"/>
      <c r="J36" s="135"/>
      <c r="K36" s="135"/>
      <c r="L36" s="135"/>
      <c r="N36" s="135"/>
      <c r="O36" s="135"/>
      <c r="P36" s="36">
        <v>2</v>
      </c>
      <c r="Q36" s="154" t="str">
        <f t="shared" ca="1" si="18"/>
        <v>J31</v>
      </c>
      <c r="R36" s="36">
        <f t="shared" ca="1" si="16"/>
        <v>38567.314987349942</v>
      </c>
      <c r="T36" s="126" t="s">
        <v>63</v>
      </c>
      <c r="U36" s="73">
        <f ca="1">(((1+U35)/(1+U34))^U30)-1</f>
        <v>3.3372868632177699E-3</v>
      </c>
      <c r="V36" s="73">
        <f ca="1">(((1+V35)/(1+V34))^V30)-1</f>
        <v>1.0690798331483231E-2</v>
      </c>
      <c r="AC36" s="29"/>
    </row>
    <row r="37" spans="1:29" x14ac:dyDescent="0.25">
      <c r="A37" s="135"/>
      <c r="B37" s="135"/>
      <c r="C37" s="135"/>
      <c r="D37" s="135"/>
      <c r="E37" s="162"/>
      <c r="F37" s="162"/>
      <c r="G37" s="135"/>
      <c r="H37" s="135"/>
      <c r="I37" s="135"/>
      <c r="J37" s="135"/>
      <c r="K37" s="135"/>
      <c r="L37" s="135"/>
      <c r="N37" s="135"/>
      <c r="O37" s="135"/>
      <c r="P37" s="36">
        <v>1</v>
      </c>
      <c r="Q37" s="154" t="str">
        <f t="shared" ca="1" si="18"/>
        <v>J32</v>
      </c>
      <c r="R37" s="36">
        <f t="shared" ca="1" si="16"/>
        <v>38567.314987349942</v>
      </c>
      <c r="T37" s="36" t="s">
        <v>76</v>
      </c>
      <c r="U37" s="74">
        <f>Gráfico!G4</f>
        <v>0</v>
      </c>
      <c r="V37" s="74">
        <f>Gráfico!H4</f>
        <v>0</v>
      </c>
      <c r="AC37" s="29"/>
    </row>
    <row r="38" spans="1:29" x14ac:dyDescent="0.25">
      <c r="A38" s="135"/>
      <c r="B38" s="135"/>
      <c r="C38" s="135"/>
      <c r="D38" s="135"/>
      <c r="E38" s="135"/>
      <c r="F38" s="162"/>
      <c r="G38" s="135"/>
      <c r="H38" s="135"/>
      <c r="I38" s="135"/>
      <c r="J38" s="135"/>
      <c r="K38" s="135"/>
      <c r="L38" s="135"/>
      <c r="N38" s="135"/>
      <c r="O38" s="135"/>
      <c r="P38" s="36">
        <v>0</v>
      </c>
      <c r="Q38" s="154" t="str">
        <f t="shared" ca="1" si="18"/>
        <v>J33</v>
      </c>
      <c r="R38" s="36">
        <f ca="1">INDIRECT(Q38)</f>
        <v>38567.314987349942</v>
      </c>
      <c r="T38" s="126" t="s">
        <v>77</v>
      </c>
      <c r="U38" s="127">
        <f ca="1">((1+U34)*(1+U37)^U31)-1</f>
        <v>3.640699007639836E-2</v>
      </c>
      <c r="V38" s="127">
        <f ca="1">((1+V34)*(1+V37)^V31)-1</f>
        <v>5.8993838555374545E-3</v>
      </c>
      <c r="AC38" s="29"/>
    </row>
    <row r="39" spans="1:29" x14ac:dyDescent="0.25">
      <c r="E39" s="162"/>
      <c r="F39" s="162"/>
      <c r="O39" s="70"/>
      <c r="P39" s="70"/>
      <c r="Q39" s="70"/>
      <c r="R39" s="70"/>
      <c r="AC39" s="29"/>
    </row>
    <row r="40" spans="1:29" x14ac:dyDescent="0.25">
      <c r="E40" s="162"/>
      <c r="F40" s="162"/>
      <c r="O40" s="70"/>
      <c r="Q40" s="35">
        <f ca="1">GEOMEAN(F29/F25,F28/F24,F27/F23,F26/F22)-1</f>
        <v>3.640699007639836E-2</v>
      </c>
      <c r="U40" s="115"/>
      <c r="AC40" s="29"/>
    </row>
    <row r="41" spans="1:29" x14ac:dyDescent="0.25">
      <c r="E41" s="162"/>
      <c r="F41" s="162"/>
      <c r="O41" s="70"/>
      <c r="U41" s="35">
        <f ca="1">GEOMEAN(I29/I25,I28/I24,I27/I23,I26/I22)-1</f>
        <v>3.8999999999999702E-2</v>
      </c>
      <c r="V41" s="35">
        <f ca="1">GEOMEAN(K33/K29,K32/K28,K31/K27,K30/K26)-1</f>
        <v>3.2999999999999474E-2</v>
      </c>
    </row>
    <row r="42" spans="1:29" x14ac:dyDescent="0.25">
      <c r="E42" s="162"/>
      <c r="F42" s="162"/>
      <c r="O42" s="37">
        <v>42795</v>
      </c>
      <c r="Q42" s="62">
        <f ca="1">E22</f>
        <v>36192.270393816601</v>
      </c>
      <c r="T42" s="62"/>
    </row>
    <row r="43" spans="1:29" x14ac:dyDescent="0.25">
      <c r="E43" s="162"/>
      <c r="F43" s="162"/>
      <c r="N43" s="135"/>
      <c r="O43" s="37">
        <v>42887</v>
      </c>
      <c r="Q43" s="62">
        <f t="shared" ref="Q43:Q47" ca="1" si="19">E23</f>
        <v>36488.979705051097</v>
      </c>
      <c r="T43" s="62"/>
      <c r="U43" s="158">
        <f ca="1">100*U34</f>
        <v>3.640699007639836</v>
      </c>
    </row>
    <row r="44" spans="1:29" x14ac:dyDescent="0.25">
      <c r="E44" s="162"/>
      <c r="F44" s="162"/>
      <c r="N44" s="135"/>
      <c r="O44" s="37">
        <v>42979</v>
      </c>
      <c r="Q44" s="62">
        <f t="shared" ca="1" si="19"/>
        <v>37350.297907029802</v>
      </c>
      <c r="T44" s="62"/>
    </row>
    <row r="45" spans="1:29" x14ac:dyDescent="0.25">
      <c r="E45" s="162"/>
      <c r="F45" s="162"/>
      <c r="N45" s="135"/>
      <c r="O45" s="37">
        <v>43070</v>
      </c>
      <c r="Q45" s="62">
        <f t="shared" ca="1" si="19"/>
        <v>37594.615087874598</v>
      </c>
      <c r="T45" s="62"/>
    </row>
    <row r="46" spans="1:29" x14ac:dyDescent="0.25">
      <c r="E46" s="162"/>
      <c r="F46" s="162"/>
      <c r="N46" s="135"/>
      <c r="O46" s="37">
        <v>43160</v>
      </c>
      <c r="Q46" s="62">
        <f t="shared" ca="1" si="19"/>
        <v>38048.898864251998</v>
      </c>
      <c r="T46" s="62"/>
    </row>
    <row r="47" spans="1:29" x14ac:dyDescent="0.25">
      <c r="E47" s="162"/>
      <c r="F47" s="162"/>
      <c r="N47" s="135"/>
      <c r="O47" s="37">
        <v>43252</v>
      </c>
      <c r="Q47" s="62">
        <f t="shared" ca="1" si="19"/>
        <v>38311.177518345597</v>
      </c>
      <c r="T47" s="62"/>
    </row>
    <row r="48" spans="1:29" x14ac:dyDescent="0.25">
      <c r="E48" s="162"/>
      <c r="F48" s="162"/>
      <c r="N48" s="135"/>
      <c r="O48" s="37">
        <v>43344</v>
      </c>
      <c r="Q48" s="62">
        <f ca="1">Q47*(1+$U$36)</f>
        <v>38439.032907791974</v>
      </c>
      <c r="S48" s="70"/>
      <c r="T48" s="62"/>
    </row>
    <row r="49" spans="5:22" x14ac:dyDescent="0.25">
      <c r="E49" s="162"/>
      <c r="F49" s="162"/>
      <c r="N49" s="135"/>
      <c r="O49" s="37">
        <v>43435</v>
      </c>
      <c r="Q49" s="62">
        <f ca="1">Q48*(1+$U$36)</f>
        <v>38567.314987349942</v>
      </c>
      <c r="R49" s="157">
        <f ca="1">GEOMEAN(Q49/Q45,Q48/Q44,Q47/Q43,Q46/Q42)-1</f>
        <v>3.8999999999999702E-2</v>
      </c>
      <c r="S49" s="70" t="s">
        <v>84</v>
      </c>
      <c r="T49" s="62"/>
    </row>
    <row r="50" spans="5:22" x14ac:dyDescent="0.25">
      <c r="N50" s="135"/>
      <c r="O50" s="37">
        <v>43525</v>
      </c>
      <c r="Q50" s="62">
        <f t="shared" ref="Q50" ca="1" si="20">Q49*(1+$V$36)</f>
        <v>38979.630374066488</v>
      </c>
      <c r="S50" s="70"/>
    </row>
    <row r="51" spans="5:22" x14ac:dyDescent="0.25">
      <c r="N51" s="135"/>
      <c r="O51" s="37">
        <v>43617</v>
      </c>
      <c r="Q51" s="62">
        <f ca="1">Q50*(1+$V$36)</f>
        <v>39396.353741431391</v>
      </c>
      <c r="S51" s="121" t="s">
        <v>150</v>
      </c>
      <c r="T51" s="128" t="s">
        <v>171</v>
      </c>
      <c r="U51" s="129"/>
      <c r="V51" s="129"/>
    </row>
    <row r="52" spans="5:22" x14ac:dyDescent="0.25">
      <c r="N52" s="135"/>
      <c r="O52" s="37">
        <v>43709</v>
      </c>
      <c r="Q52" s="62">
        <f ca="1">Q51*(1+$V$36)</f>
        <v>39817.532214276805</v>
      </c>
      <c r="T52" s="128" t="s">
        <v>172</v>
      </c>
      <c r="U52" s="129"/>
      <c r="V52" s="129"/>
    </row>
    <row r="53" spans="5:22" x14ac:dyDescent="0.25">
      <c r="N53" s="135"/>
      <c r="O53" s="37">
        <v>43800</v>
      </c>
      <c r="Q53" s="62">
        <f ca="1">Q52*(1+$V$36)</f>
        <v>40243.213421236978</v>
      </c>
      <c r="R53" s="157">
        <f ca="1">GEOMEAN(Q53/Q49,Q52/Q48,Q51/Q47,Q50/Q46)-1</f>
        <v>3.2999999999999474E-2</v>
      </c>
      <c r="S53" s="70" t="s">
        <v>84</v>
      </c>
    </row>
    <row r="54" spans="5:22" x14ac:dyDescent="0.25">
      <c r="R54" s="112"/>
    </row>
  </sheetData>
  <conditionalFormatting sqref="U36:V36 U38:V38">
    <cfRule type="expression" dxfId="1" priority="3">
      <formula>$E$4=$E$32</formula>
    </cfRule>
  </conditionalFormatting>
  <conditionalFormatting sqref="C4:D33">
    <cfRule type="cellIs" dxfId="0" priority="1" operator="equal">
      <formula>1</formula>
    </cfRule>
  </conditionalFormatting>
  <dataValidations disablePrompts="1" count="1">
    <dataValidation showInputMessage="1" showErrorMessage="1" sqref="E3" xr:uid="{00000000-0002-0000-0400-000000000000}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/>
  <dimension ref="A1:T57"/>
  <sheetViews>
    <sheetView zoomScale="80" zoomScaleNormal="80" workbookViewId="0">
      <pane ySplit="1" topLeftCell="A14" activePane="bottomLeft" state="frozen"/>
      <selection pane="bottomLeft" activeCell="C26" sqref="C26"/>
    </sheetView>
  </sheetViews>
  <sheetFormatPr defaultRowHeight="15" x14ac:dyDescent="0.25"/>
  <cols>
    <col min="1" max="1" width="9.140625" style="29"/>
    <col min="2" max="11" width="12.85546875" style="29" customWidth="1"/>
    <col min="12" max="12" width="13.5703125" style="29" bestFit="1" customWidth="1"/>
    <col min="13" max="13" width="12.85546875" style="29" customWidth="1"/>
    <col min="14" max="20" width="13.5703125" style="29" bestFit="1" customWidth="1"/>
  </cols>
  <sheetData>
    <row r="1" spans="1:20" s="75" customFormat="1" x14ac:dyDescent="0.25">
      <c r="A1" s="76" t="s">
        <v>75</v>
      </c>
      <c r="B1" s="77" t="s">
        <v>56</v>
      </c>
      <c r="C1" s="78" t="s">
        <v>0</v>
      </c>
      <c r="D1" s="78" t="s">
        <v>9</v>
      </c>
      <c r="E1" s="78" t="s">
        <v>2</v>
      </c>
      <c r="F1" s="78" t="s">
        <v>4</v>
      </c>
      <c r="G1" s="78" t="s">
        <v>6</v>
      </c>
      <c r="H1" s="78" t="s">
        <v>10</v>
      </c>
      <c r="I1" s="78" t="s">
        <v>12</v>
      </c>
      <c r="J1" s="78" t="s">
        <v>13</v>
      </c>
      <c r="K1" s="78" t="s">
        <v>15</v>
      </c>
      <c r="L1" s="78" t="s">
        <v>17</v>
      </c>
      <c r="M1" s="78" t="s">
        <v>32</v>
      </c>
      <c r="N1" s="78" t="s">
        <v>8</v>
      </c>
      <c r="O1" s="78" t="s">
        <v>14</v>
      </c>
      <c r="P1" s="78" t="s">
        <v>16</v>
      </c>
      <c r="Q1" s="78" t="s">
        <v>19</v>
      </c>
      <c r="R1" s="78" t="s">
        <v>21</v>
      </c>
      <c r="S1" s="78" t="s">
        <v>22</v>
      </c>
      <c r="T1" s="78" t="s">
        <v>25</v>
      </c>
    </row>
    <row r="2" spans="1:20" x14ac:dyDescent="0.25">
      <c r="A2" s="79">
        <f>YEAR(B2)</f>
        <v>2006</v>
      </c>
      <c r="B2" s="37">
        <v>38777</v>
      </c>
      <c r="C2" s="82">
        <v>138721.23623071803</v>
      </c>
      <c r="D2" s="82">
        <v>6733495.5</v>
      </c>
      <c r="E2" s="82">
        <v>232069.21404890134</v>
      </c>
      <c r="F2" s="82">
        <v>25485.419951011601</v>
      </c>
      <c r="G2" s="82">
        <v>133990.33213403099</v>
      </c>
      <c r="H2" s="82">
        <v>12278116</v>
      </c>
      <c r="I2" s="82">
        <v>3594127.964730775</v>
      </c>
      <c r="J2" s="82">
        <v>30357434.847353801</v>
      </c>
      <c r="K2" s="82">
        <v>72438.471676945293</v>
      </c>
      <c r="L2" s="82">
        <v>108200633.75848293</v>
      </c>
      <c r="M2" s="82"/>
      <c r="N2" s="82">
        <v>4264729.5224828403</v>
      </c>
      <c r="O2" s="82">
        <v>2123.7509285535998</v>
      </c>
      <c r="P2" s="82">
        <v>41607.076622772001</v>
      </c>
      <c r="Q2" s="82">
        <v>34084.020737712497</v>
      </c>
      <c r="R2" s="82"/>
      <c r="S2" s="82"/>
      <c r="T2" s="82">
        <v>317558.45206397102</v>
      </c>
    </row>
    <row r="3" spans="1:20" x14ac:dyDescent="0.25">
      <c r="A3" s="79">
        <f t="shared" ref="A3:A53" si="0">YEAR(B3)</f>
        <v>2006</v>
      </c>
      <c r="B3" s="37">
        <v>38869</v>
      </c>
      <c r="C3" s="82">
        <v>140314.68615129744</v>
      </c>
      <c r="D3" s="82">
        <v>6767878</v>
      </c>
      <c r="E3" s="82">
        <v>233287.24339203033</v>
      </c>
      <c r="F3" s="82">
        <v>26014.429805222</v>
      </c>
      <c r="G3" s="82">
        <v>134631.339688512</v>
      </c>
      <c r="H3" s="82">
        <v>12447026</v>
      </c>
      <c r="I3" s="82">
        <v>3632881.2294128002</v>
      </c>
      <c r="J3" s="82">
        <v>30214256.5979633</v>
      </c>
      <c r="K3" s="82">
        <v>73001.710133184897</v>
      </c>
      <c r="L3" s="82">
        <v>107585311.72602235</v>
      </c>
      <c r="M3" s="82"/>
      <c r="N3" s="82">
        <v>4312172.2545568002</v>
      </c>
      <c r="O3" s="82">
        <v>2150.76864545534</v>
      </c>
      <c r="P3" s="82">
        <v>42043.215167187896</v>
      </c>
      <c r="Q3" s="82">
        <v>33831.898000381101</v>
      </c>
      <c r="R3" s="82"/>
      <c r="S3" s="82"/>
      <c r="T3" s="82">
        <v>320273.173658368</v>
      </c>
    </row>
    <row r="4" spans="1:20" x14ac:dyDescent="0.25">
      <c r="A4" s="79">
        <f t="shared" si="0"/>
        <v>2006</v>
      </c>
      <c r="B4" s="37">
        <v>38961</v>
      </c>
      <c r="C4" s="82">
        <v>144259.76608848057</v>
      </c>
      <c r="D4" s="82">
        <v>6848552</v>
      </c>
      <c r="E4" s="82">
        <v>236963.68499972843</v>
      </c>
      <c r="F4" s="82">
        <v>26354.127384938802</v>
      </c>
      <c r="G4" s="82">
        <v>139233.457344578</v>
      </c>
      <c r="H4" s="82">
        <v>12592998</v>
      </c>
      <c r="I4" s="82">
        <v>3639100.7760783499</v>
      </c>
      <c r="J4" s="82">
        <v>30965639.3387082</v>
      </c>
      <c r="K4" s="82">
        <v>73822.513701109696</v>
      </c>
      <c r="L4" s="82">
        <v>108294339.98796222</v>
      </c>
      <c r="M4" s="82"/>
      <c r="N4" s="82">
        <v>4401794.39417559</v>
      </c>
      <c r="O4" s="82">
        <v>2165.7413617628199</v>
      </c>
      <c r="P4" s="82">
        <v>43206.904702568703</v>
      </c>
      <c r="Q4" s="82">
        <v>35053.779612174003</v>
      </c>
      <c r="R4" s="82">
        <v>29687.5964062649</v>
      </c>
      <c r="S4" s="82"/>
      <c r="T4" s="82">
        <v>329658.762204625</v>
      </c>
    </row>
    <row r="5" spans="1:20" x14ac:dyDescent="0.25">
      <c r="A5" s="79">
        <f t="shared" si="0"/>
        <v>2006</v>
      </c>
      <c r="B5" s="37">
        <v>39052</v>
      </c>
      <c r="C5" s="82">
        <v>147253.71575023548</v>
      </c>
      <c r="D5" s="82">
        <v>6902178.5</v>
      </c>
      <c r="E5" s="82">
        <v>239997.54717196446</v>
      </c>
      <c r="F5" s="82">
        <v>26891.369747292101</v>
      </c>
      <c r="G5" s="82">
        <v>141260.958338556</v>
      </c>
      <c r="H5" s="82">
        <v>12596475</v>
      </c>
      <c r="I5" s="82">
        <v>3647283.3995380001</v>
      </c>
      <c r="J5" s="82">
        <v>31197224.9163909</v>
      </c>
      <c r="K5" s="82">
        <v>74986.846592911301</v>
      </c>
      <c r="L5" s="82">
        <v>109466286.80826592</v>
      </c>
      <c r="M5" s="82"/>
      <c r="N5" s="82">
        <v>4477309.0573959202</v>
      </c>
      <c r="O5" s="82">
        <v>2187.19394842767</v>
      </c>
      <c r="P5" s="82">
        <v>43147.931827424101</v>
      </c>
      <c r="Q5" s="82">
        <v>34902.045787914503</v>
      </c>
      <c r="R5" s="82">
        <v>29473.758924314101</v>
      </c>
      <c r="S5" s="82"/>
      <c r="T5" s="82">
        <v>337453.24269750301</v>
      </c>
    </row>
    <row r="6" spans="1:20" x14ac:dyDescent="0.25">
      <c r="A6" s="79">
        <f t="shared" si="0"/>
        <v>2007</v>
      </c>
      <c r="B6" s="37">
        <v>39142</v>
      </c>
      <c r="C6" s="82">
        <v>150907.65507608917</v>
      </c>
      <c r="D6" s="82">
        <v>6934367.5</v>
      </c>
      <c r="E6" s="82">
        <v>243968.47861079691</v>
      </c>
      <c r="F6" s="82">
        <v>27148.362590765399</v>
      </c>
      <c r="G6" s="82">
        <v>143097.51551364499</v>
      </c>
      <c r="H6" s="82">
        <v>12548685</v>
      </c>
      <c r="I6" s="82">
        <v>3674189.4860597751</v>
      </c>
      <c r="J6" s="82">
        <v>31911777.079794802</v>
      </c>
      <c r="K6" s="82">
        <v>74911</v>
      </c>
      <c r="L6" s="82">
        <v>113299884.20894249</v>
      </c>
      <c r="M6" s="82"/>
      <c r="N6" s="82">
        <v>4568941.2921667704</v>
      </c>
      <c r="O6" s="82">
        <v>2207.3673472697701</v>
      </c>
      <c r="P6" s="82">
        <v>44189.384595287302</v>
      </c>
      <c r="Q6" s="82">
        <v>35869.424791149497</v>
      </c>
      <c r="R6" s="82">
        <v>29603.1550882802</v>
      </c>
      <c r="S6" s="82"/>
      <c r="T6" s="82">
        <v>341763.91475537902</v>
      </c>
    </row>
    <row r="7" spans="1:20" x14ac:dyDescent="0.25">
      <c r="A7" s="79">
        <f t="shared" si="0"/>
        <v>2007</v>
      </c>
      <c r="B7" s="37">
        <v>39234</v>
      </c>
      <c r="C7" s="82">
        <v>154138.93456427369</v>
      </c>
      <c r="D7" s="82">
        <v>7063155</v>
      </c>
      <c r="E7" s="82">
        <v>248508.76493265957</v>
      </c>
      <c r="F7" s="82">
        <v>27402.379142843201</v>
      </c>
      <c r="G7" s="82">
        <v>145106.619713591</v>
      </c>
      <c r="H7" s="82">
        <v>12641374</v>
      </c>
      <c r="I7" s="82">
        <v>3708978.5322118001</v>
      </c>
      <c r="J7" s="82">
        <v>31662078.327531599</v>
      </c>
      <c r="K7" s="82">
        <v>76484.130999999994</v>
      </c>
      <c r="L7" s="82">
        <v>114393585.06148754</v>
      </c>
      <c r="M7" s="82"/>
      <c r="N7" s="82">
        <v>4722596.6580768004</v>
      </c>
      <c r="O7" s="82">
        <v>2229.9000459490398</v>
      </c>
      <c r="P7" s="82">
        <v>45052.295828477101</v>
      </c>
      <c r="Q7" s="82">
        <v>36809.7855384754</v>
      </c>
      <c r="R7" s="82">
        <v>30428.912507328001</v>
      </c>
      <c r="S7" s="82"/>
      <c r="T7" s="82">
        <v>349000.55412388803</v>
      </c>
    </row>
    <row r="8" spans="1:20" x14ac:dyDescent="0.25">
      <c r="A8" s="79">
        <f t="shared" si="0"/>
        <v>2007</v>
      </c>
      <c r="B8" s="37">
        <v>39326</v>
      </c>
      <c r="C8" s="82">
        <v>156104.1557193074</v>
      </c>
      <c r="D8" s="82">
        <v>7181416</v>
      </c>
      <c r="E8" s="82">
        <v>251029.18748466519</v>
      </c>
      <c r="F8" s="82">
        <v>27442.032604826501</v>
      </c>
      <c r="G8" s="82">
        <v>148084.80646287699</v>
      </c>
      <c r="H8" s="82">
        <v>12821498</v>
      </c>
      <c r="I8" s="82">
        <v>3722504.9384601251</v>
      </c>
      <c r="J8" s="82">
        <v>33178471.0288097</v>
      </c>
      <c r="K8" s="82">
        <v>78013.813620000001</v>
      </c>
      <c r="L8" s="82">
        <v>116087698.80620535</v>
      </c>
      <c r="M8" s="82"/>
      <c r="N8" s="82">
        <v>4803654.6830176404</v>
      </c>
      <c r="O8" s="82">
        <v>2253.65648989788</v>
      </c>
      <c r="P8" s="82">
        <v>46388.415576532003</v>
      </c>
      <c r="Q8" s="82">
        <v>37102.699286834897</v>
      </c>
      <c r="R8" s="82">
        <v>30954.7852696068</v>
      </c>
      <c r="S8" s="82"/>
      <c r="T8" s="82">
        <v>354510.79500751902</v>
      </c>
    </row>
    <row r="9" spans="1:20" x14ac:dyDescent="0.25">
      <c r="A9" s="79">
        <f t="shared" si="0"/>
        <v>2007</v>
      </c>
      <c r="B9" s="37">
        <v>39417</v>
      </c>
      <c r="C9" s="82">
        <v>160791.75728642053</v>
      </c>
      <c r="D9" s="82">
        <v>7304974</v>
      </c>
      <c r="E9" s="82">
        <v>254792.89140289772</v>
      </c>
      <c r="F9" s="82">
        <v>27902.491378899798</v>
      </c>
      <c r="G9" s="82">
        <v>150434.21101542999</v>
      </c>
      <c r="H9" s="82">
        <v>12996220</v>
      </c>
      <c r="I9" s="82">
        <v>3738940.4152121749</v>
      </c>
      <c r="J9" s="82">
        <v>32712107.485268801</v>
      </c>
      <c r="K9" s="82">
        <v>80432.241842219999</v>
      </c>
      <c r="L9" s="82">
        <v>118027027.6930287</v>
      </c>
      <c r="M9" s="82"/>
      <c r="N9" s="82">
        <v>4883617.3050302304</v>
      </c>
      <c r="O9" s="82">
        <v>2272.6777148884498</v>
      </c>
      <c r="P9" s="82">
        <v>46387.696067454403</v>
      </c>
      <c r="Q9" s="82">
        <v>37609.643152281496</v>
      </c>
      <c r="R9" s="82">
        <v>30995.974325179501</v>
      </c>
      <c r="S9" s="82"/>
      <c r="T9" s="82">
        <v>358205.48725380702</v>
      </c>
    </row>
    <row r="10" spans="1:20" x14ac:dyDescent="0.25">
      <c r="A10" s="79">
        <f t="shared" si="0"/>
        <v>2008</v>
      </c>
      <c r="B10" s="37">
        <v>39508</v>
      </c>
      <c r="C10" s="82">
        <v>162346.489126097</v>
      </c>
      <c r="D10" s="82">
        <v>7420357.5</v>
      </c>
      <c r="E10" s="82">
        <v>259134.07374176814</v>
      </c>
      <c r="F10" s="82">
        <v>28518.858774037501</v>
      </c>
      <c r="G10" s="82">
        <v>150952.42926611201</v>
      </c>
      <c r="H10" s="82">
        <v>13203590</v>
      </c>
      <c r="I10" s="82">
        <v>3735269.1016816502</v>
      </c>
      <c r="J10" s="82">
        <v>33891409.688311599</v>
      </c>
      <c r="K10" s="82">
        <v>81880.022195379963</v>
      </c>
      <c r="L10" s="82">
        <v>119757692.99543969</v>
      </c>
      <c r="M10" s="82"/>
      <c r="N10" s="82">
        <v>4962872.1491528302</v>
      </c>
      <c r="O10" s="82">
        <v>2289.8089169160698</v>
      </c>
      <c r="P10" s="82">
        <v>46996.057756984199</v>
      </c>
      <c r="Q10" s="82">
        <v>38389.941435118402</v>
      </c>
      <c r="R10" s="82">
        <v>31345.182308081101</v>
      </c>
      <c r="S10" s="82"/>
      <c r="T10" s="82">
        <v>371164.82901061297</v>
      </c>
    </row>
    <row r="11" spans="1:20" x14ac:dyDescent="0.25">
      <c r="A11" s="79">
        <f t="shared" si="0"/>
        <v>2008</v>
      </c>
      <c r="B11" s="37">
        <v>39600</v>
      </c>
      <c r="C11" s="82">
        <v>163472.95010526333</v>
      </c>
      <c r="D11" s="82">
        <v>7572679</v>
      </c>
      <c r="E11" s="82">
        <v>264206.85507535096</v>
      </c>
      <c r="F11" s="82">
        <v>28649.7068141739</v>
      </c>
      <c r="G11" s="82">
        <v>150605.11214920101</v>
      </c>
      <c r="H11" s="82">
        <v>13437956</v>
      </c>
      <c r="I11" s="82">
        <v>3766938.0957937501</v>
      </c>
      <c r="J11" s="82">
        <v>34813977.551422901</v>
      </c>
      <c r="K11" s="82">
        <v>84418.302883436729</v>
      </c>
      <c r="L11" s="82">
        <v>122890139.83336176</v>
      </c>
      <c r="M11" s="82"/>
      <c r="N11" s="82">
        <v>5007981.6057088599</v>
      </c>
      <c r="O11" s="82">
        <v>2311.6916371345901</v>
      </c>
      <c r="P11" s="82">
        <v>46935.051088004802</v>
      </c>
      <c r="Q11" s="82">
        <v>38397.372959403197</v>
      </c>
      <c r="R11" s="82">
        <v>32174.522783433498</v>
      </c>
      <c r="S11" s="82"/>
      <c r="T11" s="82">
        <v>374487.57030520902</v>
      </c>
    </row>
    <row r="12" spans="1:20" x14ac:dyDescent="0.25">
      <c r="A12" s="79">
        <f t="shared" si="0"/>
        <v>2008</v>
      </c>
      <c r="B12" s="37">
        <v>39692</v>
      </c>
      <c r="C12" s="82">
        <v>164624.68102948889</v>
      </c>
      <c r="D12" s="82">
        <v>7658929.5</v>
      </c>
      <c r="E12" s="82">
        <v>267729.25877556752</v>
      </c>
      <c r="F12" s="82">
        <v>28405.4630292447</v>
      </c>
      <c r="G12" s="82">
        <v>154173.28694419799</v>
      </c>
      <c r="H12" s="82">
        <v>13689235</v>
      </c>
      <c r="I12" s="82">
        <v>3767293.5536388499</v>
      </c>
      <c r="J12" s="82">
        <v>34665654.3718163</v>
      </c>
      <c r="K12" s="82">
        <v>86022.250638222016</v>
      </c>
      <c r="L12" s="82">
        <v>125478516.95013139</v>
      </c>
      <c r="M12" s="82"/>
      <c r="N12" s="82">
        <v>5143456.7900881404</v>
      </c>
      <c r="O12" s="82">
        <v>2322.4805497962102</v>
      </c>
      <c r="P12" s="82">
        <v>47838.174664086699</v>
      </c>
      <c r="Q12" s="82">
        <v>39213.473419534901</v>
      </c>
      <c r="R12" s="82">
        <v>32439.860655807399</v>
      </c>
      <c r="S12" s="82"/>
      <c r="T12" s="82">
        <v>378899.27189931402</v>
      </c>
    </row>
    <row r="13" spans="1:20" x14ac:dyDescent="0.25">
      <c r="A13" s="79">
        <f t="shared" si="0"/>
        <v>2008</v>
      </c>
      <c r="B13" s="37">
        <v>39783</v>
      </c>
      <c r="C13" s="82">
        <v>156732.03948036287</v>
      </c>
      <c r="D13" s="82">
        <v>7589574</v>
      </c>
      <c r="E13" s="82">
        <v>257337.11111803408</v>
      </c>
      <c r="F13" s="82">
        <v>28151.922184664101</v>
      </c>
      <c r="G13" s="82">
        <v>150102.18178726299</v>
      </c>
      <c r="H13" s="82">
        <v>13919627</v>
      </c>
      <c r="I13" s="82">
        <v>3711598.6757814749</v>
      </c>
      <c r="J13" s="82">
        <v>34289513.165107898</v>
      </c>
      <c r="K13" s="82">
        <v>86022.250638222016</v>
      </c>
      <c r="L13" s="82">
        <v>126875372.74409385</v>
      </c>
      <c r="M13" s="82"/>
      <c r="N13" s="82">
        <v>5201448.0376118496</v>
      </c>
      <c r="O13" s="82">
        <v>2325.68190434182</v>
      </c>
      <c r="P13" s="82">
        <v>48754.416142078197</v>
      </c>
      <c r="Q13" s="82">
        <v>40059.313652151999</v>
      </c>
      <c r="R13" s="82">
        <v>32924.039802524399</v>
      </c>
      <c r="S13" s="82"/>
      <c r="T13" s="82">
        <v>384569.78971432499</v>
      </c>
    </row>
    <row r="14" spans="1:20" x14ac:dyDescent="0.25">
      <c r="A14" s="79">
        <f t="shared" si="0"/>
        <v>2009</v>
      </c>
      <c r="B14" s="37">
        <v>39873</v>
      </c>
      <c r="C14" s="82">
        <v>151183.13966528903</v>
      </c>
      <c r="D14" s="82">
        <v>7659230.5</v>
      </c>
      <c r="E14" s="82">
        <v>253887.46854432442</v>
      </c>
      <c r="F14" s="82">
        <v>27802.899682637999</v>
      </c>
      <c r="G14" s="82">
        <v>151107.68945090199</v>
      </c>
      <c r="H14" s="82">
        <v>13721197</v>
      </c>
      <c r="I14" s="82">
        <v>3517870.8222963498</v>
      </c>
      <c r="J14" s="82">
        <v>33245138.203171901</v>
      </c>
      <c r="K14" s="82">
        <v>84215.783374819352</v>
      </c>
      <c r="L14" s="82">
        <v>124696886.15215343</v>
      </c>
      <c r="M14" s="82"/>
      <c r="N14" s="82">
        <v>5161058.7501932001</v>
      </c>
      <c r="O14" s="82">
        <v>2312.42796239164</v>
      </c>
      <c r="P14" s="82">
        <v>48211.243547634796</v>
      </c>
      <c r="Q14" s="82">
        <v>39720.721658318696</v>
      </c>
      <c r="R14" s="82">
        <v>32411.6857343255</v>
      </c>
      <c r="S14" s="82"/>
      <c r="T14" s="82">
        <v>372444.92232929601</v>
      </c>
    </row>
    <row r="15" spans="1:20" x14ac:dyDescent="0.25">
      <c r="A15" s="79">
        <f t="shared" si="0"/>
        <v>2009</v>
      </c>
      <c r="B15" s="37">
        <v>39965</v>
      </c>
      <c r="C15" s="82">
        <v>147848.90050694949</v>
      </c>
      <c r="D15" s="82">
        <v>7769018.5</v>
      </c>
      <c r="E15" s="82">
        <v>258358.12115047712</v>
      </c>
      <c r="F15" s="82">
        <v>27696.9142607547</v>
      </c>
      <c r="G15" s="82">
        <v>152669.988981103</v>
      </c>
      <c r="H15" s="82">
        <v>13663730</v>
      </c>
      <c r="I15" s="82">
        <v>3483198.3127486748</v>
      </c>
      <c r="J15" s="82">
        <v>33517750.042505302</v>
      </c>
      <c r="K15" s="82">
        <v>84552.646508318634</v>
      </c>
      <c r="L15" s="82">
        <v>126331829.1522871</v>
      </c>
      <c r="M15" s="82"/>
      <c r="N15" s="82">
        <v>5071117.0731482198</v>
      </c>
      <c r="O15" s="82">
        <v>2284.3825096004498</v>
      </c>
      <c r="P15" s="82">
        <v>48060.718101628903</v>
      </c>
      <c r="Q15" s="82">
        <v>38959.698184392699</v>
      </c>
      <c r="R15" s="82">
        <v>31372.126859334701</v>
      </c>
      <c r="S15" s="82"/>
      <c r="T15" s="82">
        <v>368589.59607610601</v>
      </c>
    </row>
    <row r="16" spans="1:20" x14ac:dyDescent="0.25">
      <c r="A16" s="79">
        <f t="shared" si="0"/>
        <v>2009</v>
      </c>
      <c r="B16" s="37">
        <v>40057</v>
      </c>
      <c r="C16" s="82">
        <v>153533.13545740378</v>
      </c>
      <c r="D16" s="82">
        <v>7920315.5</v>
      </c>
      <c r="E16" s="82">
        <v>264575.88193087035</v>
      </c>
      <c r="F16" s="82">
        <v>28056.380250292201</v>
      </c>
      <c r="G16" s="82">
        <v>154187.980780023</v>
      </c>
      <c r="H16" s="82">
        <v>13579505</v>
      </c>
      <c r="I16" s="82">
        <v>3577391.6709218249</v>
      </c>
      <c r="J16" s="82">
        <v>34837423.631335802</v>
      </c>
      <c r="K16" s="82">
        <v>86328.252084993321</v>
      </c>
      <c r="L16" s="82">
        <v>130607809.71058971</v>
      </c>
      <c r="M16" s="82"/>
      <c r="N16" s="82">
        <v>5011555.8132789796</v>
      </c>
      <c r="O16" s="82">
        <v>2235.4507499020401</v>
      </c>
      <c r="P16" s="82">
        <v>47468.4704133825</v>
      </c>
      <c r="Q16" s="82">
        <v>38410.674668508298</v>
      </c>
      <c r="R16" s="82">
        <v>31025.257184105099</v>
      </c>
      <c r="S16" s="82"/>
      <c r="T16" s="82">
        <v>368288.11848309898</v>
      </c>
    </row>
    <row r="17" spans="1:20" x14ac:dyDescent="0.25">
      <c r="A17" s="79">
        <f t="shared" si="0"/>
        <v>2009</v>
      </c>
      <c r="B17" s="37">
        <v>40148</v>
      </c>
      <c r="C17" s="82">
        <v>156307.70078323214</v>
      </c>
      <c r="D17" s="82">
        <v>7910728</v>
      </c>
      <c r="E17" s="82">
        <v>271058.45292741095</v>
      </c>
      <c r="F17" s="82">
        <v>28403.731651875401</v>
      </c>
      <c r="G17" s="82">
        <v>155170.195900858</v>
      </c>
      <c r="H17" s="82">
        <v>13593300</v>
      </c>
      <c r="I17" s="82">
        <v>3642816.7257177001</v>
      </c>
      <c r="J17" s="82">
        <v>35661507.635192499</v>
      </c>
      <c r="K17" s="82">
        <v>87105.206353758258</v>
      </c>
      <c r="L17" s="82">
        <v>134266989.37513766</v>
      </c>
      <c r="M17" s="82"/>
      <c r="N17" s="82">
        <v>5046890.9330274304</v>
      </c>
      <c r="O17" s="82">
        <v>2232.9029311835302</v>
      </c>
      <c r="P17" s="82">
        <v>47952.067019491398</v>
      </c>
      <c r="Q17" s="82">
        <v>38340.403720142698</v>
      </c>
      <c r="R17" s="82">
        <v>31285.907247203399</v>
      </c>
      <c r="S17" s="82"/>
      <c r="T17" s="82">
        <v>375844.48292620899</v>
      </c>
    </row>
    <row r="18" spans="1:20" x14ac:dyDescent="0.25">
      <c r="A18" s="79">
        <f t="shared" si="0"/>
        <v>2010</v>
      </c>
      <c r="B18" s="37">
        <v>40238</v>
      </c>
      <c r="C18" s="82">
        <v>161264.733621878</v>
      </c>
      <c r="D18" s="82">
        <v>7911256</v>
      </c>
      <c r="E18" s="82">
        <v>276676.06809867959</v>
      </c>
      <c r="F18" s="82">
        <v>28403.981999205102</v>
      </c>
      <c r="G18" s="82">
        <v>157080.858089363</v>
      </c>
      <c r="H18" s="82">
        <v>13729815</v>
      </c>
      <c r="I18" s="82">
        <v>3688592.7387732249</v>
      </c>
      <c r="J18" s="82">
        <v>37534459.354577601</v>
      </c>
      <c r="K18" s="82">
        <v>89979.678163432269</v>
      </c>
      <c r="L18" s="82">
        <v>136810254.38440481</v>
      </c>
      <c r="M18" s="82"/>
      <c r="N18" s="82">
        <v>5119576.1165880105</v>
      </c>
      <c r="O18" s="82">
        <v>2239.85606640695</v>
      </c>
      <c r="P18" s="82">
        <v>48975.289333318302</v>
      </c>
      <c r="Q18" s="82">
        <v>38353.1695472602</v>
      </c>
      <c r="R18" s="82">
        <v>31531.897725254599</v>
      </c>
      <c r="S18" s="82"/>
      <c r="T18" s="82">
        <v>382410.69831334299</v>
      </c>
    </row>
    <row r="19" spans="1:20" x14ac:dyDescent="0.25">
      <c r="A19" s="79">
        <f t="shared" si="0"/>
        <v>2010</v>
      </c>
      <c r="B19" s="37">
        <v>40330</v>
      </c>
      <c r="C19" s="82">
        <v>168500.07469108328</v>
      </c>
      <c r="D19" s="82">
        <v>8100543</v>
      </c>
      <c r="E19" s="82">
        <v>280282.7128045662</v>
      </c>
      <c r="F19" s="82">
        <v>29443.981645841399</v>
      </c>
      <c r="G19" s="82">
        <v>158431.01995732301</v>
      </c>
      <c r="H19" s="82">
        <v>13946256</v>
      </c>
      <c r="I19" s="82">
        <v>3724576.5811767252</v>
      </c>
      <c r="J19" s="82">
        <v>38000823.3188169</v>
      </c>
      <c r="K19" s="82">
        <v>92409.129473844936</v>
      </c>
      <c r="L19" s="82">
        <v>139435085.00922468</v>
      </c>
      <c r="M19" s="82"/>
      <c r="N19" s="82">
        <v>5193700.6541746603</v>
      </c>
      <c r="O19" s="82">
        <v>2247.2297753326202</v>
      </c>
      <c r="P19" s="82">
        <v>49374.299730305203</v>
      </c>
      <c r="Q19" s="82">
        <v>38961.924682898403</v>
      </c>
      <c r="R19" s="82">
        <v>31660.964656488999</v>
      </c>
      <c r="S19" s="82"/>
      <c r="T19" s="82">
        <v>392303.75299290498</v>
      </c>
    </row>
    <row r="20" spans="1:20" x14ac:dyDescent="0.25">
      <c r="A20" s="79">
        <f t="shared" si="0"/>
        <v>2010</v>
      </c>
      <c r="B20" s="37">
        <v>40422</v>
      </c>
      <c r="C20" s="82">
        <v>169192.72365436424</v>
      </c>
      <c r="D20" s="82">
        <v>8210906.5</v>
      </c>
      <c r="E20" s="82">
        <v>283328.19032330648</v>
      </c>
      <c r="F20" s="82">
        <v>30163.986330968</v>
      </c>
      <c r="G20" s="82">
        <v>160743.387647144</v>
      </c>
      <c r="H20" s="82">
        <v>14175891</v>
      </c>
      <c r="I20" s="82">
        <v>3752027.4654533002</v>
      </c>
      <c r="J20" s="82">
        <v>38074212.160349399</v>
      </c>
      <c r="K20" s="82">
        <v>93702.857286478771</v>
      </c>
      <c r="L20" s="82">
        <v>139158084.69152543</v>
      </c>
      <c r="M20" s="82"/>
      <c r="N20" s="82">
        <v>5275138.3837270699</v>
      </c>
      <c r="O20" s="82">
        <v>2257.8668650754198</v>
      </c>
      <c r="P20" s="82">
        <v>49286.734756900303</v>
      </c>
      <c r="Q20" s="82">
        <v>39245.485525707503</v>
      </c>
      <c r="R20" s="82">
        <v>31918.049281794702</v>
      </c>
      <c r="S20" s="82"/>
      <c r="T20" s="82">
        <v>401938.72005827603</v>
      </c>
    </row>
    <row r="21" spans="1:20" x14ac:dyDescent="0.25">
      <c r="A21" s="79">
        <f t="shared" si="0"/>
        <v>2010</v>
      </c>
      <c r="B21" s="37">
        <v>40513</v>
      </c>
      <c r="C21" s="82">
        <v>171566.14747447305</v>
      </c>
      <c r="D21" s="82">
        <v>8320404</v>
      </c>
      <c r="E21" s="82">
        <v>286643.01097647403</v>
      </c>
      <c r="F21" s="82">
        <v>30538.6970085422</v>
      </c>
      <c r="G21" s="82">
        <v>163536.997328258</v>
      </c>
      <c r="H21" s="82">
        <v>14629093</v>
      </c>
      <c r="I21" s="82">
        <v>3785653.1876452998</v>
      </c>
      <c r="J21" s="82">
        <v>38901835.401887998</v>
      </c>
      <c r="K21" s="82">
        <v>94733.588716630024</v>
      </c>
      <c r="L21" s="82">
        <v>141144668.97863621</v>
      </c>
      <c r="M21" s="82"/>
      <c r="N21" s="82">
        <v>5320820.2251368696</v>
      </c>
      <c r="O21" s="82">
        <v>2265.6038776528098</v>
      </c>
      <c r="P21" s="82">
        <v>49659.616076808299</v>
      </c>
      <c r="Q21" s="82">
        <v>39830.021866252697</v>
      </c>
      <c r="R21" s="82">
        <v>31875.249629709</v>
      </c>
      <c r="S21" s="82"/>
      <c r="T21" s="82">
        <v>408261.79550879297</v>
      </c>
    </row>
    <row r="22" spans="1:20" x14ac:dyDescent="0.25">
      <c r="A22" s="79">
        <f t="shared" si="0"/>
        <v>2011</v>
      </c>
      <c r="B22" s="37">
        <v>40603</v>
      </c>
      <c r="C22" s="82">
        <v>175682.68546836302</v>
      </c>
      <c r="D22" s="82">
        <v>8395632</v>
      </c>
      <c r="E22" s="82">
        <v>290450.83410553657</v>
      </c>
      <c r="F22" s="82">
        <v>30851.655221160701</v>
      </c>
      <c r="G22" s="82">
        <v>166985.155694752</v>
      </c>
      <c r="H22" s="82">
        <v>14790364</v>
      </c>
      <c r="I22" s="82">
        <v>3812113.9225877998</v>
      </c>
      <c r="J22" s="82">
        <v>39842263.639536798</v>
      </c>
      <c r="K22" s="82">
        <v>96912.461257112504</v>
      </c>
      <c r="L22" s="82">
        <v>144434206.32068735</v>
      </c>
      <c r="M22" s="82"/>
      <c r="N22" s="82">
        <v>5376625.3354323199</v>
      </c>
      <c r="O22" s="82">
        <v>2272.1048310768601</v>
      </c>
      <c r="P22" s="82">
        <v>49619.826325059199</v>
      </c>
      <c r="Q22" s="82">
        <v>40059.893452223201</v>
      </c>
      <c r="R22" s="82">
        <v>32635.485001358</v>
      </c>
      <c r="S22" s="82"/>
      <c r="T22" s="82">
        <v>414474.45320329402</v>
      </c>
    </row>
    <row r="23" spans="1:20" x14ac:dyDescent="0.25">
      <c r="A23" s="79">
        <f t="shared" si="0"/>
        <v>2011</v>
      </c>
      <c r="B23" s="37">
        <v>40695</v>
      </c>
      <c r="C23" s="82">
        <v>177391.45098055495</v>
      </c>
      <c r="D23" s="82">
        <v>8487831</v>
      </c>
      <c r="E23" s="82">
        <v>293540.56655557256</v>
      </c>
      <c r="F23" s="82">
        <v>31325.523724766699</v>
      </c>
      <c r="G23" s="82">
        <v>170956.14484295601</v>
      </c>
      <c r="H23" s="82">
        <v>15176741</v>
      </c>
      <c r="I23" s="82">
        <v>3845694.3816165002</v>
      </c>
      <c r="J23" s="82">
        <v>39795331.443755098</v>
      </c>
      <c r="K23" s="82">
        <v>97687.760947169401</v>
      </c>
      <c r="L23" s="82">
        <v>145665922.12285948</v>
      </c>
      <c r="M23" s="82"/>
      <c r="N23" s="82">
        <v>5410313.4504207904</v>
      </c>
      <c r="O23" s="82">
        <v>2282.11382355968</v>
      </c>
      <c r="P23" s="82">
        <v>50804.533098865802</v>
      </c>
      <c r="Q23" s="82">
        <v>40677.501727941402</v>
      </c>
      <c r="R23" s="82">
        <v>33062.534009008799</v>
      </c>
      <c r="S23" s="82"/>
      <c r="T23" s="82">
        <v>420262.86099476501</v>
      </c>
    </row>
    <row r="24" spans="1:20" x14ac:dyDescent="0.25">
      <c r="A24" s="79">
        <f t="shared" si="0"/>
        <v>2011</v>
      </c>
      <c r="B24" s="37">
        <v>40787</v>
      </c>
      <c r="C24" s="82">
        <v>178791.13111025951</v>
      </c>
      <c r="D24" s="82">
        <v>8640581</v>
      </c>
      <c r="E24" s="82">
        <v>293650.36577308871</v>
      </c>
      <c r="F24" s="82">
        <v>31459.922242450499</v>
      </c>
      <c r="G24" s="82">
        <v>173671.934105714</v>
      </c>
      <c r="H24" s="82">
        <v>15409103</v>
      </c>
      <c r="I24" s="82">
        <v>3906446.3925971999</v>
      </c>
      <c r="J24" s="82">
        <v>39173219.377781197</v>
      </c>
      <c r="K24" s="82">
        <v>99739.203927059949</v>
      </c>
      <c r="L24" s="82">
        <v>149418570.70537105</v>
      </c>
      <c r="M24" s="82"/>
      <c r="N24" s="82">
        <v>5466802.4804421701</v>
      </c>
      <c r="O24" s="82">
        <v>2298.14428830939</v>
      </c>
      <c r="P24" s="82">
        <v>51345.375471975902</v>
      </c>
      <c r="Q24" s="82">
        <v>41097.7581178236</v>
      </c>
      <c r="R24" s="82">
        <v>33392.322867982199</v>
      </c>
      <c r="S24" s="82"/>
      <c r="T24" s="82">
        <v>421885.52046431298</v>
      </c>
    </row>
    <row r="25" spans="1:20" x14ac:dyDescent="0.25">
      <c r="A25" s="79">
        <f t="shared" si="0"/>
        <v>2011</v>
      </c>
      <c r="B25" s="37">
        <v>40878</v>
      </c>
      <c r="C25" s="82">
        <v>178916.32966142445</v>
      </c>
      <c r="D25" s="82">
        <v>8725490</v>
      </c>
      <c r="E25" s="82">
        <v>295337.12239323766</v>
      </c>
      <c r="F25" s="82">
        <v>32072.972366991198</v>
      </c>
      <c r="G25" s="82">
        <v>175283.93153211099</v>
      </c>
      <c r="H25" s="82">
        <v>15548856</v>
      </c>
      <c r="I25" s="82">
        <v>3935124.6795755001</v>
      </c>
      <c r="J25" s="82">
        <v>40121279.884660497</v>
      </c>
      <c r="K25" s="82">
        <v>100237.89994669524</v>
      </c>
      <c r="L25" s="82">
        <v>145941702.40016773</v>
      </c>
      <c r="M25" s="82"/>
      <c r="N25" s="82">
        <v>5577056.5205036998</v>
      </c>
      <c r="O25" s="82">
        <v>2312.2523620934799</v>
      </c>
      <c r="P25" s="82">
        <v>51623.5201434478</v>
      </c>
      <c r="Q25" s="82">
        <v>40909.932452875801</v>
      </c>
      <c r="R25" s="82">
        <v>34470.597116839497</v>
      </c>
      <c r="S25" s="82"/>
      <c r="T25" s="82">
        <v>422556.445569865</v>
      </c>
    </row>
    <row r="26" spans="1:20" x14ac:dyDescent="0.25">
      <c r="A26" s="79">
        <f t="shared" si="0"/>
        <v>2012</v>
      </c>
      <c r="B26" s="37">
        <v>40969</v>
      </c>
      <c r="C26" s="82">
        <v>177012.94645958464</v>
      </c>
      <c r="D26" s="82">
        <v>8806580</v>
      </c>
      <c r="E26" s="82">
        <v>294082.08488393336</v>
      </c>
      <c r="F26" s="82">
        <v>32571.889516517102</v>
      </c>
      <c r="G26" s="82">
        <v>177359.67840899801</v>
      </c>
      <c r="H26" s="82">
        <v>15798590</v>
      </c>
      <c r="I26" s="82">
        <v>3959641.5550267999</v>
      </c>
      <c r="J26" s="82">
        <v>38611181.603699803</v>
      </c>
      <c r="K26" s="82">
        <v>101941.94424578904</v>
      </c>
      <c r="L26" s="82">
        <v>149063847.10936186</v>
      </c>
      <c r="M26" s="82"/>
      <c r="N26" s="82">
        <v>5587035.8242065804</v>
      </c>
      <c r="O26" s="82">
        <v>2322.99969007042</v>
      </c>
      <c r="P26" s="82">
        <v>52221.600020205202</v>
      </c>
      <c r="Q26" s="82">
        <v>42264.2341528178</v>
      </c>
      <c r="R26" s="82">
        <v>34672.3319520191</v>
      </c>
      <c r="S26" s="82"/>
      <c r="T26" s="82">
        <v>424590.43942051003</v>
      </c>
    </row>
    <row r="27" spans="1:20" x14ac:dyDescent="0.25">
      <c r="A27" s="79">
        <f t="shared" si="0"/>
        <v>2012</v>
      </c>
      <c r="B27" s="37">
        <v>41061</v>
      </c>
      <c r="C27" s="82">
        <v>170912.30853444932</v>
      </c>
      <c r="D27" s="82">
        <v>8899856</v>
      </c>
      <c r="E27" s="82">
        <v>296561.97758926847</v>
      </c>
      <c r="F27" s="82">
        <v>33072.143926497098</v>
      </c>
      <c r="G27" s="82">
        <v>178731.99521723701</v>
      </c>
      <c r="H27" s="82">
        <v>16072842</v>
      </c>
      <c r="I27" s="82">
        <v>3999820.7480294998</v>
      </c>
      <c r="J27" s="82">
        <v>39412187.488114201</v>
      </c>
      <c r="K27" s="82">
        <v>104490.49285193376</v>
      </c>
      <c r="L27" s="82">
        <v>149867838.25607502</v>
      </c>
      <c r="M27" s="82"/>
      <c r="N27" s="82">
        <v>5671023.0986387199</v>
      </c>
      <c r="O27" s="82">
        <v>2345.1602761199701</v>
      </c>
      <c r="P27" s="82">
        <v>52534.956145899501</v>
      </c>
      <c r="Q27" s="82">
        <v>41692.750523443203</v>
      </c>
      <c r="R27" s="82">
        <v>35038.826853931198</v>
      </c>
      <c r="S27" s="82"/>
      <c r="T27" s="82">
        <v>426871.01769490697</v>
      </c>
    </row>
    <row r="28" spans="1:20" x14ac:dyDescent="0.25">
      <c r="A28" s="79">
        <f t="shared" si="0"/>
        <v>2012</v>
      </c>
      <c r="B28" s="37">
        <v>41153</v>
      </c>
      <c r="C28" s="82">
        <v>176255.18433073457</v>
      </c>
      <c r="D28" s="82">
        <v>9035973</v>
      </c>
      <c r="E28" s="82">
        <v>302431.61354224</v>
      </c>
      <c r="F28" s="82">
        <v>33250.037076368397</v>
      </c>
      <c r="G28" s="82">
        <v>178160.02964312199</v>
      </c>
      <c r="H28" s="82">
        <v>16196959</v>
      </c>
      <c r="I28" s="82">
        <v>4018430.20440245</v>
      </c>
      <c r="J28" s="82">
        <v>40535475.081774101</v>
      </c>
      <c r="K28" s="82">
        <v>106162.34073756469</v>
      </c>
      <c r="L28" s="82">
        <v>153414454.08666486</v>
      </c>
      <c r="M28" s="82"/>
      <c r="N28" s="82">
        <v>5800236.6694767904</v>
      </c>
      <c r="O28" s="82">
        <v>2351.7845662224299</v>
      </c>
      <c r="P28" s="82">
        <v>53161.583840322797</v>
      </c>
      <c r="Q28" s="82">
        <v>43158.321625466902</v>
      </c>
      <c r="R28" s="82">
        <v>35786.037033188899</v>
      </c>
      <c r="S28" s="82">
        <v>7714.6204780714397</v>
      </c>
      <c r="T28" s="82">
        <v>434860.30470918398</v>
      </c>
    </row>
    <row r="29" spans="1:20" x14ac:dyDescent="0.25">
      <c r="A29" s="79">
        <f t="shared" si="0"/>
        <v>2012</v>
      </c>
      <c r="B29" s="37">
        <v>41244</v>
      </c>
      <c r="C29" s="82">
        <v>179305.55013418064</v>
      </c>
      <c r="D29" s="82">
        <v>9261698</v>
      </c>
      <c r="E29" s="82">
        <v>301715.08408732252</v>
      </c>
      <c r="F29" s="82">
        <v>33585.390063226703</v>
      </c>
      <c r="G29" s="82">
        <v>179455.43173262701</v>
      </c>
      <c r="H29" s="82">
        <v>16294042</v>
      </c>
      <c r="I29" s="82">
        <v>4052170.3383684</v>
      </c>
      <c r="J29" s="82">
        <v>39579033.632441603</v>
      </c>
      <c r="K29" s="82">
        <v>106374.66541903983</v>
      </c>
      <c r="L29" s="82">
        <v>153682594.63762814</v>
      </c>
      <c r="M29" s="82"/>
      <c r="N29" s="82">
        <v>5805329.8988326602</v>
      </c>
      <c r="O29" s="82">
        <v>2355.5933714355101</v>
      </c>
      <c r="P29" s="82">
        <v>53010.996097670097</v>
      </c>
      <c r="Q29" s="82">
        <v>42901.943633268696</v>
      </c>
      <c r="R29" s="82">
        <v>35638.121266472997</v>
      </c>
      <c r="S29" s="82">
        <v>7763.1335953355601</v>
      </c>
      <c r="T29" s="82">
        <v>434322.30024784902</v>
      </c>
    </row>
    <row r="30" spans="1:20" x14ac:dyDescent="0.25">
      <c r="A30" s="79">
        <f t="shared" si="0"/>
        <v>2013</v>
      </c>
      <c r="B30" s="37">
        <v>41334</v>
      </c>
      <c r="C30" s="82">
        <v>179189.7894095993</v>
      </c>
      <c r="D30" s="82">
        <v>9400626</v>
      </c>
      <c r="E30" s="82">
        <v>302126.86578909465</v>
      </c>
      <c r="F30" s="82">
        <v>33893.880828768699</v>
      </c>
      <c r="G30" s="82">
        <v>182061.62839340701</v>
      </c>
      <c r="H30" s="82">
        <v>16458713</v>
      </c>
      <c r="I30" s="82">
        <v>4070873.25181235</v>
      </c>
      <c r="J30" s="82">
        <v>42752845.753816903</v>
      </c>
      <c r="K30" s="82">
        <v>108927.65738909678</v>
      </c>
      <c r="L30" s="82">
        <v>154560597.74480999</v>
      </c>
      <c r="M30" s="82"/>
      <c r="N30" s="82">
        <v>5863130.0037961304</v>
      </c>
      <c r="O30" s="82">
        <v>2366.05096701618</v>
      </c>
      <c r="P30" s="82">
        <v>53472.944987564297</v>
      </c>
      <c r="Q30" s="82">
        <v>43339.493179677702</v>
      </c>
      <c r="R30" s="82">
        <v>36486.215822734397</v>
      </c>
      <c r="S30" s="82">
        <v>7792.4368123744598</v>
      </c>
      <c r="T30" s="82">
        <v>435952.11911450903</v>
      </c>
    </row>
    <row r="31" spans="1:20" x14ac:dyDescent="0.25">
      <c r="A31" s="79">
        <f t="shared" si="0"/>
        <v>2013</v>
      </c>
      <c r="B31" s="37">
        <v>41426</v>
      </c>
      <c r="C31" s="82">
        <v>180249.2879522373</v>
      </c>
      <c r="D31" s="82">
        <v>9562813</v>
      </c>
      <c r="E31" s="82">
        <v>308698.92343232449</v>
      </c>
      <c r="F31" s="82">
        <v>34430.265170419203</v>
      </c>
      <c r="G31" s="82">
        <v>186468.04030272801</v>
      </c>
      <c r="H31" s="82">
        <v>16802240</v>
      </c>
      <c r="I31" s="82">
        <v>4035284.6250697249</v>
      </c>
      <c r="J31" s="82">
        <v>42884124.070667103</v>
      </c>
      <c r="K31" s="82">
        <v>110561.57224993322</v>
      </c>
      <c r="L31" s="82">
        <v>158681582.30921808</v>
      </c>
      <c r="M31" s="82"/>
      <c r="N31" s="82">
        <v>5903294.55985625</v>
      </c>
      <c r="O31" s="82">
        <v>2379.6227633306898</v>
      </c>
      <c r="P31" s="82">
        <v>54267.455224570404</v>
      </c>
      <c r="Q31" s="82">
        <v>43392.494284742803</v>
      </c>
      <c r="R31" s="82">
        <v>37338.328254968699</v>
      </c>
      <c r="S31" s="82">
        <v>7722.2170079669404</v>
      </c>
      <c r="T31" s="82">
        <v>438035.71671586402</v>
      </c>
    </row>
    <row r="32" spans="1:20" x14ac:dyDescent="0.25">
      <c r="A32" s="79">
        <f t="shared" si="0"/>
        <v>2013</v>
      </c>
      <c r="B32" s="37">
        <v>41518</v>
      </c>
      <c r="C32" s="82">
        <v>181342.71805980147</v>
      </c>
      <c r="D32" s="82">
        <v>9688718</v>
      </c>
      <c r="E32" s="82">
        <v>309921.97361066425</v>
      </c>
      <c r="F32" s="82">
        <v>34699.112499538103</v>
      </c>
      <c r="G32" s="82">
        <v>187668.75553675901</v>
      </c>
      <c r="H32" s="82">
        <v>17131619</v>
      </c>
      <c r="I32" s="82">
        <v>4078245.0363571001</v>
      </c>
      <c r="J32" s="82">
        <v>42643833.667742401</v>
      </c>
      <c r="K32" s="82">
        <v>111888.31111693243</v>
      </c>
      <c r="L32" s="82">
        <v>158589251.16516429</v>
      </c>
      <c r="M32" s="82"/>
      <c r="N32" s="82">
        <v>5910649.5804449003</v>
      </c>
      <c r="O32" s="82">
        <v>2388.1542017157899</v>
      </c>
      <c r="P32" s="82">
        <v>54748.708977501199</v>
      </c>
      <c r="Q32" s="82">
        <v>43574.244028773101</v>
      </c>
      <c r="R32" s="82">
        <v>37103.617798461899</v>
      </c>
      <c r="S32" s="82">
        <v>7887.1372632263101</v>
      </c>
      <c r="T32" s="82">
        <v>442864.01139378297</v>
      </c>
    </row>
    <row r="33" spans="1:20" x14ac:dyDescent="0.25">
      <c r="A33" s="79">
        <f t="shared" si="0"/>
        <v>2013</v>
      </c>
      <c r="B33" s="37">
        <v>41609</v>
      </c>
      <c r="C33" s="82">
        <v>179625.30988117677</v>
      </c>
      <c r="D33" s="82">
        <v>9804472</v>
      </c>
      <c r="E33" s="82">
        <v>309590.79512825108</v>
      </c>
      <c r="F33" s="82">
        <v>34882.662031887601</v>
      </c>
      <c r="G33" s="82">
        <v>190102.786183775</v>
      </c>
      <c r="H33" s="82">
        <v>17153556</v>
      </c>
      <c r="I33" s="82">
        <v>4100355.9726029998</v>
      </c>
      <c r="J33" s="82">
        <v>43045166.566444099</v>
      </c>
      <c r="K33" s="82">
        <v>112447.75267251708</v>
      </c>
      <c r="L33" s="82">
        <v>162224589.312617</v>
      </c>
      <c r="M33" s="82"/>
      <c r="N33" s="82">
        <v>5967303.4130742596</v>
      </c>
      <c r="O33" s="82">
        <v>2398.8530594297099</v>
      </c>
      <c r="P33" s="82">
        <v>55423.731013646197</v>
      </c>
      <c r="Q33" s="82">
        <v>44349.7013552309</v>
      </c>
      <c r="R33" s="82">
        <v>37984.944194940203</v>
      </c>
      <c r="S33" s="82">
        <v>7909.6971537926402</v>
      </c>
      <c r="T33" s="82">
        <v>451075.08813562</v>
      </c>
    </row>
    <row r="34" spans="1:20" x14ac:dyDescent="0.25">
      <c r="A34" s="79">
        <f t="shared" si="0"/>
        <v>2014</v>
      </c>
      <c r="B34" s="37">
        <v>41699</v>
      </c>
      <c r="C34" s="82">
        <v>176913.47745104216</v>
      </c>
      <c r="D34" s="82">
        <v>9946120</v>
      </c>
      <c r="E34" s="82">
        <v>311804.92216137738</v>
      </c>
      <c r="F34" s="82">
        <v>34874.651511909302</v>
      </c>
      <c r="G34" s="82">
        <v>192449.39534765499</v>
      </c>
      <c r="H34" s="82">
        <v>17096076</v>
      </c>
      <c r="I34" s="82">
        <v>4127175.0927602001</v>
      </c>
      <c r="J34" s="82">
        <v>44383940.478683598</v>
      </c>
      <c r="K34" s="82">
        <v>113009.99143587965</v>
      </c>
      <c r="L34" s="82">
        <v>159304518.52144444</v>
      </c>
      <c r="M34" s="82"/>
      <c r="N34" s="82">
        <v>5993644.4060110403</v>
      </c>
      <c r="O34" s="82">
        <v>2415.0155667971899</v>
      </c>
      <c r="P34" s="82">
        <v>55639.333361115503</v>
      </c>
      <c r="Q34" s="82">
        <v>44776.5026268519</v>
      </c>
      <c r="R34" s="82">
        <v>38314.900325196002</v>
      </c>
      <c r="S34" s="82">
        <v>8121.7038914834202</v>
      </c>
      <c r="T34" s="82">
        <v>461206.92716550798</v>
      </c>
    </row>
    <row r="35" spans="1:20" x14ac:dyDescent="0.25">
      <c r="A35" s="79">
        <f t="shared" si="0"/>
        <v>2014</v>
      </c>
      <c r="B35" s="37">
        <v>41791</v>
      </c>
      <c r="C35" s="82">
        <v>175782.2655625263</v>
      </c>
      <c r="D35" s="82">
        <v>10050087</v>
      </c>
      <c r="E35" s="82">
        <v>307487.35212872841</v>
      </c>
      <c r="F35" s="82">
        <v>34992.2956893382</v>
      </c>
      <c r="G35" s="82">
        <v>194173.405440373</v>
      </c>
      <c r="H35" s="82">
        <v>17494063</v>
      </c>
      <c r="I35" s="82">
        <v>4181670.5087442501</v>
      </c>
      <c r="J35" s="82">
        <v>44337894.805118099</v>
      </c>
      <c r="K35" s="82">
        <v>113349.02141018728</v>
      </c>
      <c r="L35" s="82">
        <v>165152700.76977924</v>
      </c>
      <c r="M35" s="82"/>
      <c r="N35" s="82">
        <v>6029775.85348053</v>
      </c>
      <c r="O35" s="82">
        <v>2425.8462959326698</v>
      </c>
      <c r="P35" s="82">
        <v>56016.790825992</v>
      </c>
      <c r="Q35" s="82">
        <v>44910.762016410103</v>
      </c>
      <c r="R35" s="82">
        <v>38462.930158397299</v>
      </c>
      <c r="S35" s="82">
        <v>7932.6547421176401</v>
      </c>
      <c r="T35" s="82">
        <v>470768.939170025</v>
      </c>
    </row>
    <row r="36" spans="1:20" x14ac:dyDescent="0.25">
      <c r="A36" s="79">
        <f t="shared" si="0"/>
        <v>2014</v>
      </c>
      <c r="B36" s="37">
        <v>41883</v>
      </c>
      <c r="C36" s="82">
        <v>174395.20777661458</v>
      </c>
      <c r="D36" s="82">
        <v>10262696</v>
      </c>
      <c r="E36" s="82">
        <v>308054.4299793017</v>
      </c>
      <c r="F36" s="82">
        <v>35021.313890320402</v>
      </c>
      <c r="G36" s="82">
        <v>196687.07547323601</v>
      </c>
      <c r="H36" s="82">
        <v>17736022</v>
      </c>
      <c r="I36" s="82">
        <v>4197191.09052685</v>
      </c>
      <c r="J36" s="82">
        <v>44759057.841854401</v>
      </c>
      <c r="K36" s="82">
        <v>113689.06847441783</v>
      </c>
      <c r="L36" s="82">
        <v>164657318.04031357</v>
      </c>
      <c r="M36" s="82"/>
      <c r="N36" s="82">
        <v>6118484.2856454402</v>
      </c>
      <c r="O36" s="82">
        <v>2431.8615414104102</v>
      </c>
      <c r="P36" s="82">
        <v>56625.331056812298</v>
      </c>
      <c r="Q36" s="82">
        <v>45164.58125322</v>
      </c>
      <c r="R36" s="82">
        <v>39095.744812943201</v>
      </c>
      <c r="S36" s="82">
        <v>8223.1905712371608</v>
      </c>
      <c r="T36" s="82">
        <v>477844.49864206201</v>
      </c>
    </row>
    <row r="37" spans="1:20" x14ac:dyDescent="0.25">
      <c r="A37" s="79">
        <f t="shared" si="0"/>
        <v>2014</v>
      </c>
      <c r="B37" s="37">
        <v>41974</v>
      </c>
      <c r="C37" s="82">
        <v>175215.09517318232</v>
      </c>
      <c r="D37" s="82">
        <v>10302592</v>
      </c>
      <c r="E37" s="82">
        <v>309205.44447567919</v>
      </c>
      <c r="F37" s="82">
        <v>35435.323057317102</v>
      </c>
      <c r="G37" s="82">
        <v>198278.78567947299</v>
      </c>
      <c r="H37" s="82">
        <v>17779201</v>
      </c>
      <c r="I37" s="82">
        <v>4242629.284574925</v>
      </c>
      <c r="J37" s="82">
        <v>46138912.998195</v>
      </c>
      <c r="K37" s="82">
        <v>114825.95915916201</v>
      </c>
      <c r="L37" s="82">
        <v>165599906.8594799</v>
      </c>
      <c r="M37" s="82"/>
      <c r="N37" s="82">
        <v>6131450.0116037903</v>
      </c>
      <c r="O37" s="82">
        <v>2437.6526341819899</v>
      </c>
      <c r="P37" s="82">
        <v>57799.1428631909</v>
      </c>
      <c r="Q37" s="82">
        <v>45747.0467409665</v>
      </c>
      <c r="R37" s="82">
        <v>39533.755135706801</v>
      </c>
      <c r="S37" s="82">
        <v>8354.7028015050801</v>
      </c>
      <c r="T37" s="82">
        <v>485948.419860091</v>
      </c>
    </row>
    <row r="38" spans="1:20" s="162" customFormat="1" x14ac:dyDescent="0.25">
      <c r="A38" s="123">
        <f t="shared" si="0"/>
        <v>2015</v>
      </c>
      <c r="B38" s="124">
        <v>42064</v>
      </c>
      <c r="C38" s="125">
        <v>177796.76682662487</v>
      </c>
      <c r="D38" s="125">
        <v>10418432</v>
      </c>
      <c r="E38" s="125">
        <v>306401.33491718292</v>
      </c>
      <c r="F38" s="125">
        <v>35561.545924010097</v>
      </c>
      <c r="G38" s="125">
        <v>197569.96012956501</v>
      </c>
      <c r="H38" s="125">
        <v>17816050</v>
      </c>
      <c r="I38" s="125">
        <v>4266613.1569102248</v>
      </c>
      <c r="J38" s="125">
        <v>46015809.7737896</v>
      </c>
      <c r="K38" s="125">
        <v>115285.26299579866</v>
      </c>
      <c r="L38" s="125">
        <v>165243821.92060512</v>
      </c>
      <c r="M38" s="125"/>
      <c r="N38" s="125">
        <v>6210493.7844559001</v>
      </c>
      <c r="O38" s="125">
        <v>2440.1158940509399</v>
      </c>
      <c r="P38" s="125">
        <v>58246.509245276997</v>
      </c>
      <c r="Q38" s="125">
        <v>45874.3782945926</v>
      </c>
      <c r="R38" s="125">
        <v>39875.610626694601</v>
      </c>
      <c r="S38" s="125">
        <v>8495.5156696968206</v>
      </c>
      <c r="T38" s="125">
        <v>496223.70334482798</v>
      </c>
    </row>
    <row r="39" spans="1:20" x14ac:dyDescent="0.25">
      <c r="A39" s="79">
        <f t="shared" si="0"/>
        <v>2015</v>
      </c>
      <c r="B39" s="37">
        <v>42156</v>
      </c>
      <c r="C39" s="82">
        <v>182002.55537754591</v>
      </c>
      <c r="D39" s="82">
        <v>10599637</v>
      </c>
      <c r="E39" s="82">
        <v>299306.72154949809</v>
      </c>
      <c r="F39" s="82">
        <v>35898.659162117801</v>
      </c>
      <c r="G39" s="82">
        <v>199600.39564694799</v>
      </c>
      <c r="H39" s="82">
        <v>17537769</v>
      </c>
      <c r="I39" s="82">
        <v>4311271.7652722001</v>
      </c>
      <c r="J39" s="82">
        <v>45343237.238291703</v>
      </c>
      <c r="K39" s="82">
        <v>116553.40088875244</v>
      </c>
      <c r="L39" s="82">
        <v>163573265.84395003</v>
      </c>
      <c r="M39" s="82"/>
      <c r="N39" s="82">
        <v>6314074.4991559004</v>
      </c>
      <c r="O39" s="82">
        <v>2455.2539392143099</v>
      </c>
      <c r="P39" s="82">
        <v>58393.678915095901</v>
      </c>
      <c r="Q39" s="82">
        <v>46245.267958184297</v>
      </c>
      <c r="R39" s="82">
        <v>40298.807460823897</v>
      </c>
      <c r="S39" s="82">
        <v>8694.1536437304694</v>
      </c>
      <c r="T39" s="82">
        <v>505172.32189046103</v>
      </c>
    </row>
    <row r="40" spans="1:20" x14ac:dyDescent="0.25">
      <c r="A40" s="79">
        <f t="shared" si="0"/>
        <v>2015</v>
      </c>
      <c r="B40" s="37">
        <v>42248</v>
      </c>
      <c r="C40" s="82">
        <v>181939.06137861329</v>
      </c>
      <c r="D40" s="82">
        <v>10661404</v>
      </c>
      <c r="E40" s="82">
        <v>294820.75201163546</v>
      </c>
      <c r="F40" s="82">
        <v>35864.992689747101</v>
      </c>
      <c r="G40" s="82">
        <v>203162.35218116699</v>
      </c>
      <c r="H40" s="82">
        <v>17492225</v>
      </c>
      <c r="I40" s="82">
        <v>4362135.3633834496</v>
      </c>
      <c r="J40" s="82">
        <v>47017399.423732199</v>
      </c>
      <c r="K40" s="82">
        <v>117835.48829852871</v>
      </c>
      <c r="L40" s="82">
        <v>164804715.64597666</v>
      </c>
      <c r="M40" s="82"/>
      <c r="N40" s="82">
        <v>6346781.1254617199</v>
      </c>
      <c r="O40" s="82">
        <v>2482.68268769218</v>
      </c>
      <c r="P40" s="82">
        <v>59518.792484550802</v>
      </c>
      <c r="Q40" s="82">
        <v>46803.657807347801</v>
      </c>
      <c r="R40" s="82">
        <v>41089.867043593498</v>
      </c>
      <c r="S40" s="82">
        <v>8730.0528605973905</v>
      </c>
      <c r="T40" s="82">
        <v>511776.08307504101</v>
      </c>
    </row>
    <row r="41" spans="1:20" x14ac:dyDescent="0.25">
      <c r="A41" s="79">
        <f t="shared" si="0"/>
        <v>2015</v>
      </c>
      <c r="B41" s="37">
        <v>42339</v>
      </c>
      <c r="C41" s="82">
        <v>179748.76305525651</v>
      </c>
      <c r="D41" s="82">
        <v>10846722</v>
      </c>
      <c r="E41" s="82">
        <v>292091.42747286963</v>
      </c>
      <c r="F41" s="82">
        <v>36204.6223331898</v>
      </c>
      <c r="G41" s="82">
        <v>204359.29204231899</v>
      </c>
      <c r="H41" s="82">
        <v>17328633</v>
      </c>
      <c r="I41" s="82">
        <v>4358497.6634783251</v>
      </c>
      <c r="J41" s="82">
        <v>46816237.602273203</v>
      </c>
      <c r="K41" s="82">
        <v>120074.36257620074</v>
      </c>
      <c r="L41" s="82">
        <v>163670820.20937413</v>
      </c>
      <c r="M41" s="82"/>
      <c r="N41" s="82">
        <v>6484419.0804270403</v>
      </c>
      <c r="O41" s="82">
        <v>2488.94956866759</v>
      </c>
      <c r="P41" s="82">
        <v>59786.862559496003</v>
      </c>
      <c r="Q41" s="82">
        <v>46871.862929595103</v>
      </c>
      <c r="R41" s="82">
        <v>41166.237727691099</v>
      </c>
      <c r="S41" s="82">
        <v>8857.6667075615496</v>
      </c>
      <c r="T41" s="82">
        <v>521985.45169841999</v>
      </c>
    </row>
    <row r="42" spans="1:20" s="162" customFormat="1" x14ac:dyDescent="0.25">
      <c r="A42" s="123">
        <f t="shared" si="0"/>
        <v>2016</v>
      </c>
      <c r="B42" s="124">
        <v>42430</v>
      </c>
      <c r="C42" s="125">
        <v>178409.34466982726</v>
      </c>
      <c r="D42" s="125">
        <v>10972453</v>
      </c>
      <c r="E42" s="125">
        <v>289501.40826329315</v>
      </c>
      <c r="F42" s="125">
        <v>36379.917021401001</v>
      </c>
      <c r="G42" s="125">
        <v>204250.588078915</v>
      </c>
      <c r="H42" s="125">
        <v>17204627</v>
      </c>
      <c r="I42" s="125">
        <v>4402103.8629625253</v>
      </c>
      <c r="J42" s="125">
        <v>46330608.7452126</v>
      </c>
      <c r="K42" s="125">
        <v>120554.66002650555</v>
      </c>
      <c r="L42" s="125">
        <v>164785072.35164598</v>
      </c>
      <c r="M42" s="125"/>
      <c r="N42" s="125">
        <v>6566133.2269732198</v>
      </c>
      <c r="O42" s="125">
        <v>2501.8379393237501</v>
      </c>
      <c r="P42" s="125">
        <v>60555.074247955301</v>
      </c>
      <c r="Q42" s="125">
        <v>47452.749060547103</v>
      </c>
      <c r="R42" s="125">
        <v>41824.465586459497</v>
      </c>
      <c r="S42" s="125">
        <v>8975.5724849209601</v>
      </c>
      <c r="T42" s="125">
        <v>534679.98561889201</v>
      </c>
    </row>
    <row r="43" spans="1:20" x14ac:dyDescent="0.25">
      <c r="A43" s="79">
        <f t="shared" si="0"/>
        <v>2016</v>
      </c>
      <c r="B43" s="81">
        <v>42522</v>
      </c>
      <c r="C43" s="83">
        <v>176073.4530995313</v>
      </c>
      <c r="D43" s="83">
        <v>10965352</v>
      </c>
      <c r="E43" s="83">
        <v>289151.69228691421</v>
      </c>
      <c r="F43" s="83">
        <v>36175.001823787803</v>
      </c>
      <c r="G43" s="83">
        <v>204085.137855521</v>
      </c>
      <c r="H43" s="83">
        <v>17328097</v>
      </c>
      <c r="I43" s="83">
        <v>4401368.204647975</v>
      </c>
      <c r="J43" s="83">
        <v>48982807.283960998</v>
      </c>
      <c r="K43" s="83">
        <v>121277.98798666458</v>
      </c>
      <c r="L43" s="83">
        <v>165835571.71133336</v>
      </c>
      <c r="M43" s="83"/>
      <c r="N43" s="83">
        <v>6550082.42216931</v>
      </c>
      <c r="O43" s="83">
        <v>2515.3356797301199</v>
      </c>
      <c r="P43" s="83">
        <v>60772.423833511901</v>
      </c>
      <c r="Q43" s="83">
        <v>48550.909039355902</v>
      </c>
      <c r="R43" s="83">
        <v>42535.534949085901</v>
      </c>
      <c r="S43" s="83">
        <v>9157.1369871583192</v>
      </c>
      <c r="T43" s="83">
        <v>535665.03850846202</v>
      </c>
    </row>
    <row r="44" spans="1:20" x14ac:dyDescent="0.25">
      <c r="A44" s="79">
        <f t="shared" si="0"/>
        <v>2016</v>
      </c>
      <c r="B44" s="81">
        <v>42614</v>
      </c>
      <c r="C44" s="83">
        <v>176336.09316641689</v>
      </c>
      <c r="D44" s="83">
        <v>11179773</v>
      </c>
      <c r="E44" s="83">
        <v>286843.01254129829</v>
      </c>
      <c r="F44" s="83">
        <v>36299.4876689987</v>
      </c>
      <c r="G44" s="83">
        <v>204870.29064736699</v>
      </c>
      <c r="H44" s="83">
        <v>17310908</v>
      </c>
      <c r="I44" s="83">
        <v>4456288.5467404751</v>
      </c>
      <c r="J44" s="83">
        <v>48818304.883058697</v>
      </c>
      <c r="K44" s="83">
        <v>122733.32384250456</v>
      </c>
      <c r="L44" s="83">
        <v>168067947.45298743</v>
      </c>
      <c r="M44" s="83"/>
      <c r="N44" s="83">
        <v>6670952.1792778503</v>
      </c>
      <c r="O44" s="83">
        <v>2534.6930739805498</v>
      </c>
      <c r="P44" s="83">
        <v>61263.297823704401</v>
      </c>
      <c r="Q44" s="83">
        <v>48564.912362238698</v>
      </c>
      <c r="R44" s="83">
        <v>42493.588431810596</v>
      </c>
      <c r="S44" s="83">
        <v>9169.0289733045702</v>
      </c>
      <c r="T44" s="83">
        <v>544432.30519582401</v>
      </c>
    </row>
    <row r="45" spans="1:20" x14ac:dyDescent="0.25">
      <c r="A45" s="79">
        <f t="shared" si="0"/>
        <v>2016</v>
      </c>
      <c r="B45" s="81">
        <v>42705</v>
      </c>
      <c r="C45" s="83">
        <v>177518.84819950807</v>
      </c>
      <c r="D45" s="83">
        <v>11235199</v>
      </c>
      <c r="E45" s="83">
        <v>286070.2071529298</v>
      </c>
      <c r="F45" s="83">
        <v>36382.347829938197</v>
      </c>
      <c r="G45" s="83">
        <v>207278.98341819801</v>
      </c>
      <c r="H45" s="83">
        <v>17470434</v>
      </c>
      <c r="I45" s="83">
        <v>4500117.6521384995</v>
      </c>
      <c r="J45" s="83">
        <v>49082731.650594302</v>
      </c>
      <c r="K45" s="83">
        <v>123346.99046171707</v>
      </c>
      <c r="L45" s="83">
        <v>169496876.80762815</v>
      </c>
      <c r="M45" s="83"/>
      <c r="N45" s="83">
        <v>6783465.1650785003</v>
      </c>
      <c r="O45" s="83">
        <v>2547.89279767587</v>
      </c>
      <c r="P45" s="83">
        <v>61985.800240086697</v>
      </c>
      <c r="Q45" s="83">
        <v>48748.157800820598</v>
      </c>
      <c r="R45" s="83">
        <v>43316.588799517602</v>
      </c>
      <c r="S45" s="83">
        <v>9329.8897772869605</v>
      </c>
      <c r="T45" s="83">
        <v>566220.39808168798</v>
      </c>
    </row>
    <row r="46" spans="1:20" s="162" customFormat="1" x14ac:dyDescent="0.25">
      <c r="A46" s="123">
        <f t="shared" si="0"/>
        <v>2017</v>
      </c>
      <c r="B46" s="124">
        <v>42795</v>
      </c>
      <c r="C46" s="125">
        <v>178831.51620980949</v>
      </c>
      <c r="D46" s="125">
        <v>11341593</v>
      </c>
      <c r="E46" s="125">
        <v>289063.49144170928</v>
      </c>
      <c r="F46" s="125">
        <v>36192.270393816601</v>
      </c>
      <c r="G46" s="125">
        <v>207196.28894036901</v>
      </c>
      <c r="H46" s="125">
        <v>17497935</v>
      </c>
      <c r="I46" s="125">
        <v>4527849.5522953495</v>
      </c>
      <c r="J46" s="125">
        <v>49682473.6774389</v>
      </c>
      <c r="K46" s="125">
        <v>123840.37842356393</v>
      </c>
      <c r="L46" s="125">
        <v>171134529.2314617</v>
      </c>
      <c r="M46" s="125"/>
      <c r="N46" s="125"/>
      <c r="O46" s="125"/>
      <c r="P46" s="125"/>
      <c r="Q46" s="125"/>
      <c r="R46" s="125"/>
      <c r="S46" s="125"/>
      <c r="T46" s="125"/>
    </row>
    <row r="47" spans="1:20" s="98" customFormat="1" x14ac:dyDescent="0.25">
      <c r="A47" s="97">
        <f t="shared" si="0"/>
        <v>2017</v>
      </c>
      <c r="B47" s="81">
        <v>42887</v>
      </c>
      <c r="C47" s="83">
        <v>182163.20391610372</v>
      </c>
      <c r="D47" s="83">
        <v>11392771</v>
      </c>
      <c r="E47" s="83">
        <v>290253.01676016097</v>
      </c>
      <c r="F47" s="83">
        <v>36488.979705051097</v>
      </c>
      <c r="G47" s="83">
        <v>208635.774855369</v>
      </c>
      <c r="H47" s="83">
        <v>17685968</v>
      </c>
      <c r="I47" s="83">
        <v>4538917.3193032499</v>
      </c>
      <c r="J47" s="83">
        <v>50325980.591250703</v>
      </c>
      <c r="K47" s="83">
        <v>124954.941829376</v>
      </c>
      <c r="L47" s="83">
        <v>170631404.87589213</v>
      </c>
      <c r="M47" s="122"/>
      <c r="N47" s="122"/>
      <c r="O47" s="122"/>
      <c r="P47" s="122"/>
      <c r="Q47" s="122"/>
      <c r="R47" s="122"/>
      <c r="S47" s="122"/>
      <c r="T47" s="122"/>
    </row>
    <row r="48" spans="1:20" s="98" customFormat="1" x14ac:dyDescent="0.25">
      <c r="A48" s="97">
        <f t="shared" si="0"/>
        <v>2017</v>
      </c>
      <c r="B48" s="81">
        <v>42979</v>
      </c>
      <c r="C48" s="83">
        <v>183081.31651611708</v>
      </c>
      <c r="D48" s="83">
        <v>11654585</v>
      </c>
      <c r="E48" s="83">
        <v>292073.54842832184</v>
      </c>
      <c r="F48" s="83">
        <v>37350.297907029802</v>
      </c>
      <c r="G48" s="83">
        <v>208648.38791187201</v>
      </c>
      <c r="H48" s="83">
        <v>17819405</v>
      </c>
      <c r="I48" s="83">
        <v>4531008.766381125</v>
      </c>
      <c r="J48" s="83">
        <v>51534753.514387898</v>
      </c>
      <c r="K48" s="83">
        <v>125579.71653852286</v>
      </c>
      <c r="L48" s="83">
        <v>171260663.12397575</v>
      </c>
      <c r="M48" s="83"/>
      <c r="N48" s="83"/>
      <c r="O48" s="83"/>
      <c r="P48" s="83"/>
      <c r="Q48" s="83"/>
      <c r="R48" s="83"/>
      <c r="S48" s="83"/>
      <c r="T48" s="83"/>
    </row>
    <row r="49" spans="1:20" s="98" customFormat="1" x14ac:dyDescent="0.25">
      <c r="A49" s="97">
        <f t="shared" si="0"/>
        <v>2017</v>
      </c>
      <c r="B49" s="81">
        <v>43070</v>
      </c>
      <c r="C49" s="83">
        <v>184480.6310619773</v>
      </c>
      <c r="D49" s="83">
        <v>11815863</v>
      </c>
      <c r="E49" s="83">
        <v>292215.74516501307</v>
      </c>
      <c r="F49" s="83">
        <v>37594.615087874598</v>
      </c>
      <c r="G49" s="83">
        <v>210684.604755198</v>
      </c>
      <c r="H49" s="174">
        <v>17952383</v>
      </c>
      <c r="I49" s="83">
        <v>4566413.0055654999</v>
      </c>
      <c r="J49" s="83">
        <v>51745526.613079198</v>
      </c>
      <c r="K49" s="83">
        <v>125579.71653852286</v>
      </c>
      <c r="L49" s="83">
        <v>172911068.03829461</v>
      </c>
      <c r="M49" s="83"/>
      <c r="N49" s="83"/>
      <c r="O49" s="83"/>
      <c r="P49" s="83"/>
      <c r="Q49" s="83"/>
      <c r="R49" s="83"/>
      <c r="S49" s="83"/>
      <c r="T49" s="83"/>
    </row>
    <row r="50" spans="1:20" x14ac:dyDescent="0.25">
      <c r="A50" s="123">
        <f t="shared" si="0"/>
        <v>2018</v>
      </c>
      <c r="B50" s="124">
        <v>43160</v>
      </c>
      <c r="C50" s="125">
        <v>185846.28393148893</v>
      </c>
      <c r="D50" s="125">
        <v>11849361</v>
      </c>
      <c r="E50" s="125">
        <v>292608.35846124607</v>
      </c>
      <c r="F50" s="125">
        <v>38048.898864251998</v>
      </c>
      <c r="G50" s="125">
        <v>212564.961469553</v>
      </c>
      <c r="H50" s="125">
        <v>17781794</v>
      </c>
      <c r="I50" s="125"/>
      <c r="J50" s="125">
        <v>52095237.208192199</v>
      </c>
      <c r="K50" s="125">
        <v>128593.62973544741</v>
      </c>
      <c r="L50" s="125">
        <v>174707293.96514937</v>
      </c>
      <c r="M50" s="125"/>
      <c r="N50" s="125"/>
      <c r="O50" s="125"/>
      <c r="P50" s="125"/>
      <c r="Q50" s="125"/>
      <c r="R50" s="125"/>
      <c r="S50" s="125"/>
      <c r="T50" s="125"/>
    </row>
    <row r="51" spans="1:20" x14ac:dyDescent="0.25">
      <c r="A51" s="79">
        <f t="shared" si="0"/>
        <v>2018</v>
      </c>
      <c r="B51" s="37">
        <v>43252</v>
      </c>
      <c r="C51" s="82">
        <v>178353.97359446064</v>
      </c>
      <c r="D51" s="82"/>
      <c r="E51" s="82">
        <v>293094.16055141209</v>
      </c>
      <c r="F51" s="82">
        <v>38311.177518345597</v>
      </c>
      <c r="G51" s="82">
        <v>213758.914122238</v>
      </c>
      <c r="H51" s="82">
        <v>17848705</v>
      </c>
      <c r="I51" s="82"/>
      <c r="J51" s="82">
        <v>53374682.534567401</v>
      </c>
      <c r="K51" s="82">
        <v>130393.94055174367</v>
      </c>
      <c r="L51" s="82">
        <v>174973974.27546179</v>
      </c>
      <c r="M51" s="82"/>
      <c r="N51" s="82"/>
      <c r="O51" s="82"/>
      <c r="P51" s="82"/>
      <c r="Q51" s="82"/>
      <c r="R51" s="82"/>
      <c r="S51" s="82"/>
      <c r="T51" s="82"/>
    </row>
    <row r="52" spans="1:20" x14ac:dyDescent="0.25">
      <c r="A52" s="79">
        <f t="shared" si="0"/>
        <v>2018</v>
      </c>
      <c r="B52" s="37">
        <v>43344</v>
      </c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</row>
    <row r="53" spans="1:20" x14ac:dyDescent="0.25">
      <c r="A53" s="79">
        <f t="shared" si="0"/>
        <v>2018</v>
      </c>
      <c r="B53" s="37">
        <v>43435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</row>
    <row r="54" spans="1:20" s="162" customFormat="1" x14ac:dyDescent="0.25">
      <c r="A54" s="123">
        <v>2019</v>
      </c>
      <c r="B54" s="124">
        <v>43525</v>
      </c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</row>
    <row r="55" spans="1:20" x14ac:dyDescent="0.25">
      <c r="A55" s="79">
        <v>2019</v>
      </c>
      <c r="B55" s="37">
        <v>43617</v>
      </c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</row>
    <row r="56" spans="1:20" x14ac:dyDescent="0.25">
      <c r="A56" s="79">
        <v>2019</v>
      </c>
      <c r="B56" s="37">
        <v>43709</v>
      </c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</row>
    <row r="57" spans="1:20" x14ac:dyDescent="0.25">
      <c r="A57" s="79">
        <v>2019</v>
      </c>
      <c r="B57" s="37">
        <v>43800</v>
      </c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AD42"/>
  <sheetViews>
    <sheetView zoomScale="80" zoomScaleNormal="80" workbookViewId="0">
      <selection activeCell="J39" sqref="J39"/>
    </sheetView>
  </sheetViews>
  <sheetFormatPr defaultRowHeight="15" x14ac:dyDescent="0.25"/>
  <cols>
    <col min="1" max="2" width="9.140625" style="135"/>
    <col min="3" max="3" width="34.85546875" bestFit="1" customWidth="1"/>
    <col min="20" max="20" width="39.28515625" bestFit="1" customWidth="1"/>
    <col min="23" max="24" width="9.140625" style="135"/>
  </cols>
  <sheetData>
    <row r="1" spans="2:30" x14ac:dyDescent="0.25">
      <c r="C1" s="34" t="str">
        <f ca="1">CONCATENATE("América Latina y el Caribe: tasas anuales de variación del producto interno bruto (PIB), ",N6,"-",N7)</f>
        <v>América Latina y el Caribe: tasas anuales de variación del producto interno bruto (PIB), 2013-2019</v>
      </c>
    </row>
    <row r="2" spans="2:30" x14ac:dyDescent="0.25">
      <c r="C2" s="40" t="s">
        <v>58</v>
      </c>
      <c r="S2" s="135" t="s">
        <v>157</v>
      </c>
      <c r="AA2" s="135" t="s">
        <v>158</v>
      </c>
    </row>
    <row r="3" spans="2:30" x14ac:dyDescent="0.25">
      <c r="D3" s="99">
        <v>6</v>
      </c>
      <c r="E3" s="99">
        <v>5</v>
      </c>
      <c r="F3" s="99">
        <v>4</v>
      </c>
      <c r="G3" s="99">
        <v>3</v>
      </c>
      <c r="H3" s="99">
        <v>2</v>
      </c>
      <c r="I3" s="99">
        <v>1</v>
      </c>
      <c r="J3" s="99">
        <v>0</v>
      </c>
      <c r="S3" s="135" t="s">
        <v>155</v>
      </c>
      <c r="T3" s="135" t="s">
        <v>156</v>
      </c>
      <c r="U3" s="135">
        <v>2016</v>
      </c>
      <c r="V3" s="135">
        <v>2017</v>
      </c>
      <c r="AB3" t="s">
        <v>48</v>
      </c>
      <c r="AC3">
        <v>2016</v>
      </c>
      <c r="AD3">
        <v>2017</v>
      </c>
    </row>
    <row r="4" spans="2:30" x14ac:dyDescent="0.25">
      <c r="C4" s="34" t="s">
        <v>48</v>
      </c>
      <c r="D4" s="34">
        <f ca="1">OFFSET(insumos!$AF$3,0,COUNT(insumos!$AG$3:$XFD$3)-'cuadro BP'!D$3,1,1)</f>
        <v>2013</v>
      </c>
      <c r="E4" s="34">
        <f ca="1">OFFSET(insumos!$AF$3,0,COUNT(insumos!$AG$3:$XFD$3)-'cuadro BP'!E$3,1,1)</f>
        <v>2014</v>
      </c>
      <c r="F4" s="34">
        <f ca="1">OFFSET(insumos!$AF$3,0,COUNT(insumos!$AG$3:$XFD$3)-'cuadro BP'!F$3,1,1)</f>
        <v>2015</v>
      </c>
      <c r="G4" s="34">
        <f ca="1">OFFSET(insumos!$AF$3,0,COUNT(insumos!$AG$3:$XFD$3)-'cuadro BP'!G$3,1,1)</f>
        <v>2016</v>
      </c>
      <c r="H4" s="34">
        <f ca="1">OFFSET(insumos!$AF$3,0,COUNT(insumos!$AG$3:$XFD$3)-'cuadro BP'!H$3,1,1)</f>
        <v>2017</v>
      </c>
      <c r="I4" s="34">
        <f ca="1">OFFSET(insumos!$AF$3,0,COUNT(insumos!$AG$3:$XFD$3)-'cuadro BP'!I$3,1,1)</f>
        <v>2018</v>
      </c>
      <c r="J4" s="34">
        <f ca="1">OFFSET(insumos!$AF$3,0,COUNT(insumos!$AG$3:$XFD$3)-'cuadro BP'!J$3,1,1)</f>
        <v>2019</v>
      </c>
      <c r="S4" s="135" t="s">
        <v>118</v>
      </c>
      <c r="T4" s="135" t="s">
        <v>0</v>
      </c>
      <c r="U4" s="135">
        <v>-2.2000000000000002</v>
      </c>
      <c r="V4" s="135">
        <v>2.4</v>
      </c>
      <c r="X4" s="135">
        <f>U4-AC4</f>
        <v>0</v>
      </c>
      <c r="AA4" t="s">
        <v>118</v>
      </c>
      <c r="AB4" t="s">
        <v>0</v>
      </c>
      <c r="AC4" s="30">
        <v>-2.2000000000000002</v>
      </c>
      <c r="AD4">
        <v>2.9</v>
      </c>
    </row>
    <row r="5" spans="2:30" x14ac:dyDescent="0.25">
      <c r="B5" s="134" t="s">
        <v>118</v>
      </c>
      <c r="C5" s="41" t="s">
        <v>0</v>
      </c>
      <c r="D5" s="30">
        <f ca="1">ROUND(INDEX(insumos!$AF$3:$XFD$50,MATCH('cuadro BP'!$C5,insumos!$AF$3:$AF$50,0),MATCH('cuadro BP'!D$4,insumos!$AF$3:$XFD$3,0)),2)</f>
        <v>2.41</v>
      </c>
      <c r="E5" s="30">
        <f ca="1">ROUND(INDEX(insumos!$AF$3:$XFD$50,MATCH('cuadro BP'!$C5,insumos!$AF$3:$AF$50,0),MATCH('cuadro BP'!E$4,insumos!$AF$3:$XFD$3,0)),2)</f>
        <v>-2.5099999999999998</v>
      </c>
      <c r="F5" s="30">
        <f ca="1">ROUND(INDEX(insumos!$AF$3:$XFD$50,MATCH('cuadro BP'!$C5,insumos!$AF$3:$AF$50,0),MATCH('cuadro BP'!F$4,insumos!$AF$3:$XFD$3,0)),2)</f>
        <v>2.73</v>
      </c>
      <c r="G5" s="30">
        <f ca="1">ROUND(INDEX(insumos!$AF$3:$XFD$50,MATCH('cuadro BP'!$C5,insumos!$AF$3:$AF$50,0),MATCH('cuadro BP'!G$4,insumos!$AF$3:$XFD$3,0)),2)</f>
        <v>-1.82</v>
      </c>
      <c r="H5" s="30">
        <f ca="1">ROUND(INDEX(insumos!$AF$3:$XFD$50,MATCH('cuadro BP'!$C5,insumos!$AF$3:$AF$50,0),MATCH('cuadro BP'!H$4,insumos!$AF$3:$XFD$3,0)),2)</f>
        <v>2.85</v>
      </c>
      <c r="I5" s="30">
        <f ca="1">ROUND(INDEX(insumos!$AF$3:$XFD$50,MATCH('cuadro BP'!$C5,insumos!$AF$3:$AF$50,0),MATCH('cuadro BP'!I$4,insumos!$AF$3:$XFD$3,0)),2)</f>
        <v>-2.2999999999999998</v>
      </c>
      <c r="J5" s="30">
        <f ca="1">ROUND(INDEX(insumos!$AF$3:$XFD$50,MATCH('cuadro BP'!$C5,insumos!$AF$3:$AF$50,0),MATCH('cuadro BP'!J$4,insumos!$AF$3:$XFD$3,0)),2)</f>
        <v>0.6</v>
      </c>
      <c r="K5" s="42"/>
      <c r="L5" s="42"/>
      <c r="R5" s="135"/>
      <c r="S5" s="135" t="s">
        <v>117</v>
      </c>
      <c r="T5" s="135" t="s">
        <v>1</v>
      </c>
      <c r="U5" s="135">
        <v>5.3</v>
      </c>
      <c r="V5" s="135">
        <v>2.7</v>
      </c>
      <c r="X5" s="135">
        <f t="shared" ref="X5:X36" si="0">U5-AC5</f>
        <v>0.89999999999999947</v>
      </c>
      <c r="AA5" t="s">
        <v>117</v>
      </c>
      <c r="AB5" t="s">
        <v>1</v>
      </c>
      <c r="AC5" s="30">
        <v>4.4000000000000004</v>
      </c>
      <c r="AD5">
        <v>4.5</v>
      </c>
    </row>
    <row r="6" spans="2:30" x14ac:dyDescent="0.25">
      <c r="B6" s="134" t="s">
        <v>119</v>
      </c>
      <c r="C6" s="41" t="s">
        <v>9</v>
      </c>
      <c r="D6" s="30">
        <f ca="1">ROUND(INDEX(insumos!$AF$3:$XFD$50,MATCH('cuadro BP'!$C6,insumos!$AF$3:$AF$50,0),MATCH('cuadro BP'!D$4,insumos!$AF$3:$XFD$3,0)),2)</f>
        <v>6.8</v>
      </c>
      <c r="E6" s="30">
        <f ca="1">ROUND(INDEX(insumos!$AF$3:$XFD$50,MATCH('cuadro BP'!$C6,insumos!$AF$3:$AF$50,0),MATCH('cuadro BP'!E$4,insumos!$AF$3:$XFD$3,0)),2)</f>
        <v>5.46</v>
      </c>
      <c r="F6" s="30">
        <f ca="1">ROUND(INDEX(insumos!$AF$3:$XFD$50,MATCH('cuadro BP'!$C6,insumos!$AF$3:$AF$50,0),MATCH('cuadro BP'!F$4,insumos!$AF$3:$XFD$3,0)),2)</f>
        <v>4.8600000000000003</v>
      </c>
      <c r="G6" s="30">
        <f ca="1">ROUND(INDEX(insumos!$AF$3:$XFD$50,MATCH('cuadro BP'!$C6,insumos!$AF$3:$AF$50,0),MATCH('cuadro BP'!G$4,insumos!$AF$3:$XFD$3,0)),2)</f>
        <v>4.26</v>
      </c>
      <c r="H6" s="30">
        <f ca="1">ROUND(INDEX(insumos!$AF$3:$XFD$50,MATCH('cuadro BP'!$C6,insumos!$AF$3:$AF$50,0),MATCH('cuadro BP'!H$4,insumos!$AF$3:$XFD$3,0)),2)</f>
        <v>4.2</v>
      </c>
      <c r="I6" s="30">
        <f ca="1">ROUND(INDEX(insumos!$AF$3:$XFD$50,MATCH('cuadro BP'!$C6,insumos!$AF$3:$AF$50,0),MATCH('cuadro BP'!I$4,insumos!$AF$3:$XFD$3,0)),2)</f>
        <v>4.3</v>
      </c>
      <c r="J6" s="30">
        <f ca="1">ROUND(INDEX(insumos!$AF$3:$XFD$50,MATCH('cuadro BP'!$C6,insumos!$AF$3:$AF$50,0),MATCH('cuadro BP'!J$4,insumos!$AF$3:$XFD$3,0)),2)</f>
        <v>4.4000000000000004</v>
      </c>
      <c r="K6" s="42"/>
      <c r="L6" s="42"/>
      <c r="N6">
        <f ca="1">MIN(D4:J4)</f>
        <v>2013</v>
      </c>
      <c r="R6" s="135"/>
      <c r="S6" s="135" t="s">
        <v>147</v>
      </c>
      <c r="T6" s="135" t="s">
        <v>3</v>
      </c>
      <c r="U6" s="135">
        <v>0.2</v>
      </c>
      <c r="V6" s="135">
        <v>1.2</v>
      </c>
      <c r="X6" s="135">
        <f t="shared" si="0"/>
        <v>0.2</v>
      </c>
      <c r="AA6" t="s">
        <v>147</v>
      </c>
      <c r="AB6" t="s">
        <v>3</v>
      </c>
      <c r="AC6" s="30">
        <v>0</v>
      </c>
      <c r="AD6">
        <v>1.2</v>
      </c>
    </row>
    <row r="7" spans="2:30" x14ac:dyDescent="0.25">
      <c r="B7" s="134" t="s">
        <v>120</v>
      </c>
      <c r="C7" s="41" t="s">
        <v>2</v>
      </c>
      <c r="D7" s="30">
        <f ca="1">ROUND(INDEX(insumos!$AF$3:$XFD$50,MATCH('cuadro BP'!$C7,insumos!$AF$3:$AF$50,0),MATCH('cuadro BP'!D$4,insumos!$AF$3:$XFD$3,0)),2)</f>
        <v>3</v>
      </c>
      <c r="E7" s="30">
        <f ca="1">ROUND(INDEX(insumos!$AF$3:$XFD$50,MATCH('cuadro BP'!$C7,insumos!$AF$3:$AF$50,0),MATCH('cuadro BP'!E$4,insumos!$AF$3:$XFD$3,0)),2)</f>
        <v>0.5</v>
      </c>
      <c r="F7" s="30">
        <f ca="1">ROUND(INDEX(insumos!$AF$3:$XFD$50,MATCH('cuadro BP'!$C7,insumos!$AF$3:$AF$50,0),MATCH('cuadro BP'!F$4,insumos!$AF$3:$XFD$3,0)),2)</f>
        <v>-3.55</v>
      </c>
      <c r="G7" s="30">
        <f ca="1">ROUND(INDEX(insumos!$AF$3:$XFD$50,MATCH('cuadro BP'!$C7,insumos!$AF$3:$AF$50,0),MATCH('cuadro BP'!G$4,insumos!$AF$3:$XFD$3,0)),2)</f>
        <v>-3.46</v>
      </c>
      <c r="H7" s="30">
        <f ca="1">ROUND(INDEX(insumos!$AF$3:$XFD$50,MATCH('cuadro BP'!$C7,insumos!$AF$3:$AF$50,0),MATCH('cuadro BP'!H$4,insumos!$AF$3:$XFD$3,0)),2)</f>
        <v>0.99</v>
      </c>
      <c r="I7" s="30">
        <f ca="1">ROUND(INDEX(insumos!$AF$3:$XFD$50,MATCH('cuadro BP'!$C7,insumos!$AF$3:$AF$50,0),MATCH('cuadro BP'!I$4,insumos!$AF$3:$XFD$3,0)),2)</f>
        <v>1.4</v>
      </c>
      <c r="J7" s="30">
        <f ca="1">ROUND(INDEX(insumos!$AF$3:$XFD$50,MATCH('cuadro BP'!$C7,insumos!$AF$3:$AF$50,0),MATCH('cuadro BP'!J$4,insumos!$AF$3:$XFD$3,0)),2)</f>
        <v>2.4</v>
      </c>
      <c r="K7" s="42"/>
      <c r="L7" s="42"/>
      <c r="N7">
        <f ca="1">MAX(D4:J4)</f>
        <v>2019</v>
      </c>
      <c r="R7" s="135"/>
      <c r="S7" s="135" t="s">
        <v>138</v>
      </c>
      <c r="T7" s="135" t="s">
        <v>7</v>
      </c>
      <c r="U7" s="135">
        <v>-0.6</v>
      </c>
      <c r="V7" s="135">
        <v>2.7</v>
      </c>
      <c r="X7" s="135">
        <f t="shared" si="0"/>
        <v>0.20000000000000007</v>
      </c>
      <c r="AA7" t="s">
        <v>138</v>
      </c>
      <c r="AB7" t="s">
        <v>7</v>
      </c>
      <c r="AC7" s="30">
        <v>-0.8</v>
      </c>
      <c r="AD7">
        <v>2.5</v>
      </c>
    </row>
    <row r="8" spans="2:30" x14ac:dyDescent="0.25">
      <c r="B8" s="134" t="s">
        <v>121</v>
      </c>
      <c r="C8" s="41" t="s">
        <v>4</v>
      </c>
      <c r="D8" s="30">
        <f ca="1">ROUND(INDEX(insumos!$AF$3:$XFD$50,MATCH('cuadro BP'!$C8,insumos!$AF$3:$AF$50,0),MATCH('cuadro BP'!D$4,insumos!$AF$3:$XFD$3,0)),2)</f>
        <v>3.98</v>
      </c>
      <c r="E8" s="30">
        <f ca="1">ROUND(INDEX(insumos!$AF$3:$XFD$50,MATCH('cuadro BP'!$C8,insumos!$AF$3:$AF$50,0),MATCH('cuadro BP'!E$4,insumos!$AF$3:$XFD$3,0)),2)</f>
        <v>1.77</v>
      </c>
      <c r="F8" s="30">
        <f ca="1">ROUND(INDEX(insumos!$AF$3:$XFD$50,MATCH('cuadro BP'!$C8,insumos!$AF$3:$AF$50,0),MATCH('cuadro BP'!F$4,insumos!$AF$3:$XFD$3,0)),2)</f>
        <v>2.31</v>
      </c>
      <c r="G8" s="30">
        <f ca="1">ROUND(INDEX(insumos!$AF$3:$XFD$50,MATCH('cuadro BP'!$C8,insumos!$AF$3:$AF$50,0),MATCH('cuadro BP'!G$4,insumos!$AF$3:$XFD$3,0)),2)</f>
        <v>1.27</v>
      </c>
      <c r="H8" s="30">
        <f ca="1">ROUND(INDEX(insumos!$AF$3:$XFD$50,MATCH('cuadro BP'!$C8,insumos!$AF$3:$AF$50,0),MATCH('cuadro BP'!H$4,insumos!$AF$3:$XFD$3,0)),2)</f>
        <v>1.49</v>
      </c>
      <c r="I8" s="30">
        <f ca="1">ROUND(INDEX(insumos!$AF$3:$XFD$50,MATCH('cuadro BP'!$C8,insumos!$AF$3:$AF$50,0),MATCH('cuadro BP'!I$4,insumos!$AF$3:$XFD$3,0)),2)</f>
        <v>3.9</v>
      </c>
      <c r="J8" s="30">
        <f ca="1">ROUND(INDEX(insumos!$AF$3:$XFD$50,MATCH('cuadro BP'!$C8,insumos!$AF$3:$AF$50,0),MATCH('cuadro BP'!J$4,insumos!$AF$3:$XFD$3,0)),2)</f>
        <v>3.3</v>
      </c>
      <c r="K8" s="42"/>
      <c r="L8" s="42"/>
      <c r="R8" s="135"/>
      <c r="S8" s="135" t="s">
        <v>119</v>
      </c>
      <c r="T8" s="135" t="s">
        <v>9</v>
      </c>
      <c r="U8" s="135">
        <v>4.3</v>
      </c>
      <c r="V8" s="135">
        <v>4</v>
      </c>
      <c r="X8" s="135">
        <f t="shared" si="0"/>
        <v>0</v>
      </c>
      <c r="AA8" t="s">
        <v>119</v>
      </c>
      <c r="AB8" t="s">
        <v>9</v>
      </c>
      <c r="AC8" s="30">
        <v>4.3</v>
      </c>
      <c r="AD8">
        <v>3.9</v>
      </c>
    </row>
    <row r="9" spans="2:30" x14ac:dyDescent="0.25">
      <c r="B9" s="134" t="s">
        <v>122</v>
      </c>
      <c r="C9" s="41" t="s">
        <v>6</v>
      </c>
      <c r="D9" s="30">
        <f ca="1">ROUND(INDEX(insumos!$AF$3:$XFD$50,MATCH('cuadro BP'!$C9,insumos!$AF$3:$AF$50,0),MATCH('cuadro BP'!D$4,insumos!$AF$3:$XFD$3,0)),2)</f>
        <v>4.57</v>
      </c>
      <c r="E9" s="30">
        <f ca="1">ROUND(INDEX(insumos!$AF$3:$XFD$50,MATCH('cuadro BP'!$C9,insumos!$AF$3:$AF$50,0),MATCH('cuadro BP'!E$4,insumos!$AF$3:$XFD$3,0)),2)</f>
        <v>4.7300000000000004</v>
      </c>
      <c r="F9" s="30">
        <f ca="1">ROUND(INDEX(insumos!$AF$3:$XFD$50,MATCH('cuadro BP'!$C9,insumos!$AF$3:$AF$50,0),MATCH('cuadro BP'!F$4,insumos!$AF$3:$XFD$3,0)),2)</f>
        <v>2.96</v>
      </c>
      <c r="G9" s="30">
        <f ca="1">ROUND(INDEX(insumos!$AF$3:$XFD$50,MATCH('cuadro BP'!$C9,insumos!$AF$3:$AF$50,0),MATCH('cuadro BP'!G$4,insumos!$AF$3:$XFD$3,0)),2)</f>
        <v>1.96</v>
      </c>
      <c r="H9" s="30">
        <f ca="1">ROUND(INDEX(insumos!$AF$3:$XFD$50,MATCH('cuadro BP'!$C9,insumos!$AF$3:$AF$50,0),MATCH('cuadro BP'!H$4,insumos!$AF$3:$XFD$3,0)),2)</f>
        <v>1.79</v>
      </c>
      <c r="I9" s="30">
        <f ca="1">ROUND(INDEX(insumos!$AF$3:$XFD$50,MATCH('cuadro BP'!$C9,insumos!$AF$3:$AF$50,0),MATCH('cuadro BP'!I$4,insumos!$AF$3:$XFD$3,0)),2)</f>
        <v>2.7</v>
      </c>
      <c r="J9" s="30">
        <f ca="1">ROUND(INDEX(insumos!$AF$3:$XFD$50,MATCH('cuadro BP'!$C9,insumos!$AF$3:$AF$50,0),MATCH('cuadro BP'!J$4,insumos!$AF$3:$XFD$3,0)),2)</f>
        <v>3.1</v>
      </c>
      <c r="K9" s="42"/>
      <c r="L9" s="42"/>
      <c r="R9" s="135"/>
      <c r="S9" s="135" t="s">
        <v>120</v>
      </c>
      <c r="T9" s="135" t="s">
        <v>2</v>
      </c>
      <c r="U9" s="135">
        <v>-3.5</v>
      </c>
      <c r="V9" s="135">
        <v>0.7</v>
      </c>
      <c r="X9" s="135">
        <f t="shared" si="0"/>
        <v>0.10000000000000009</v>
      </c>
      <c r="AA9" t="s">
        <v>120</v>
      </c>
      <c r="AB9" t="s">
        <v>2</v>
      </c>
      <c r="AC9" s="30">
        <v>-3.6</v>
      </c>
      <c r="AD9">
        <v>0.9</v>
      </c>
    </row>
    <row r="10" spans="2:30" x14ac:dyDescent="0.25">
      <c r="B10" s="134" t="s">
        <v>123</v>
      </c>
      <c r="C10" s="41" t="s">
        <v>10</v>
      </c>
      <c r="D10" s="30">
        <f ca="1">ROUND(INDEX(insumos!$AF$3:$XFD$50,MATCH('cuadro BP'!$C10,insumos!$AF$3:$AF$50,0),MATCH('cuadro BP'!D$4,insumos!$AF$3:$XFD$3,0)),2)</f>
        <v>4.95</v>
      </c>
      <c r="E10" s="30">
        <f ca="1">ROUND(INDEX(insumos!$AF$3:$XFD$50,MATCH('cuadro BP'!$C10,insumos!$AF$3:$AF$50,0),MATCH('cuadro BP'!E$4,insumos!$AF$3:$XFD$3,0)),2)</f>
        <v>3.79</v>
      </c>
      <c r="F10" s="30">
        <f ca="1">ROUND(INDEX(insumos!$AF$3:$XFD$50,MATCH('cuadro BP'!$C10,insumos!$AF$3:$AF$50,0),MATCH('cuadro BP'!F$4,insumos!$AF$3:$XFD$3,0)),2)</f>
        <v>0.1</v>
      </c>
      <c r="G10" s="30">
        <f ca="1">ROUND(INDEX(insumos!$AF$3:$XFD$50,MATCH('cuadro BP'!$C10,insumos!$AF$3:$AF$50,0),MATCH('cuadro BP'!G$4,insumos!$AF$3:$XFD$3,0)),2)</f>
        <v>-1.58</v>
      </c>
      <c r="H10" s="30">
        <f ca="1">ROUND(INDEX(insumos!$AF$3:$XFD$50,MATCH('cuadro BP'!$C10,insumos!$AF$3:$AF$50,0),MATCH('cuadro BP'!H$4,insumos!$AF$3:$XFD$3,0)),2)</f>
        <v>3</v>
      </c>
      <c r="I10" s="30">
        <f ca="1">ROUND(INDEX(insumos!$AF$3:$XFD$50,MATCH('cuadro BP'!$C10,insumos!$AF$3:$AF$50,0),MATCH('cuadro BP'!I$4,insumos!$AF$3:$XFD$3,0)),2)</f>
        <v>1.5</v>
      </c>
      <c r="J10" s="30">
        <f ca="1">ROUND(INDEX(insumos!$AF$3:$XFD$50,MATCH('cuadro BP'!$C10,insumos!$AF$3:$AF$50,0),MATCH('cuadro BP'!J$4,insumos!$AF$3:$XFD$3,0)),2)</f>
        <v>2.4</v>
      </c>
      <c r="K10" s="42"/>
      <c r="L10" s="42"/>
      <c r="R10" s="135"/>
      <c r="S10" s="135" t="s">
        <v>137</v>
      </c>
      <c r="T10" s="135" t="s">
        <v>5</v>
      </c>
      <c r="U10" s="135">
        <v>2</v>
      </c>
      <c r="V10" s="135">
        <v>1.5</v>
      </c>
      <c r="X10" s="135">
        <f t="shared" si="0"/>
        <v>0.39999999999999991</v>
      </c>
      <c r="AA10" t="s">
        <v>137</v>
      </c>
      <c r="AB10" t="s">
        <v>5</v>
      </c>
      <c r="AC10" s="30">
        <v>1.6</v>
      </c>
      <c r="AD10">
        <v>1.5</v>
      </c>
    </row>
    <row r="11" spans="2:30" x14ac:dyDescent="0.25">
      <c r="B11" s="134" t="s">
        <v>125</v>
      </c>
      <c r="C11" s="41" t="s">
        <v>13</v>
      </c>
      <c r="D11" s="30">
        <f ca="1">ROUND(INDEX(insumos!$AF$3:$XFD$50,MATCH('cuadro BP'!$C11,insumos!$AF$3:$AF$50,0),MATCH('cuadro BP'!D$4,insumos!$AF$3:$XFD$3,0)),2)</f>
        <v>8.42</v>
      </c>
      <c r="E11" s="30">
        <f ca="1">ROUND(INDEX(insumos!$AF$3:$XFD$50,MATCH('cuadro BP'!$C11,insumos!$AF$3:$AF$50,0),MATCH('cuadro BP'!E$4,insumos!$AF$3:$XFD$3,0)),2)</f>
        <v>4.8600000000000003</v>
      </c>
      <c r="F11" s="30">
        <f ca="1">ROUND(INDEX(insumos!$AF$3:$XFD$50,MATCH('cuadro BP'!$C11,insumos!$AF$3:$AF$50,0),MATCH('cuadro BP'!F$4,insumos!$AF$3:$XFD$3,0)),2)</f>
        <v>3.08</v>
      </c>
      <c r="G11" s="30">
        <f ca="1">ROUND(INDEX(insumos!$AF$3:$XFD$50,MATCH('cuadro BP'!$C11,insumos!$AF$3:$AF$50,0),MATCH('cuadro BP'!G$4,insumos!$AF$3:$XFD$3,0)),2)</f>
        <v>4.3099999999999996</v>
      </c>
      <c r="H11" s="30">
        <f ca="1">ROUND(INDEX(insumos!$AF$3:$XFD$50,MATCH('cuadro BP'!$C11,insumos!$AF$3:$AF$50,0),MATCH('cuadro BP'!H$4,insumos!$AF$3:$XFD$3,0)),2)</f>
        <v>4.76</v>
      </c>
      <c r="I11" s="30">
        <f ca="1">ROUND(INDEX(insumos!$AF$3:$XFD$50,MATCH('cuadro BP'!$C11,insumos!$AF$3:$AF$50,0),MATCH('cuadro BP'!I$4,insumos!$AF$3:$XFD$3,0)),2)</f>
        <v>4.5999999999999996</v>
      </c>
      <c r="J11" s="30">
        <f ca="1">ROUND(INDEX(insumos!$AF$3:$XFD$50,MATCH('cuadro BP'!$C11,insumos!$AF$3:$AF$50,0),MATCH('cuadro BP'!J$4,insumos!$AF$3:$XFD$3,0)),2)</f>
        <v>4.7</v>
      </c>
      <c r="K11" s="42"/>
      <c r="L11" s="42"/>
      <c r="R11" s="135"/>
      <c r="S11" s="135" t="s">
        <v>121</v>
      </c>
      <c r="T11" s="135" t="s">
        <v>4</v>
      </c>
      <c r="U11" s="135">
        <v>1.6</v>
      </c>
      <c r="V11" s="135">
        <v>1.5</v>
      </c>
      <c r="X11" s="135">
        <f t="shared" si="0"/>
        <v>0</v>
      </c>
      <c r="AA11" t="s">
        <v>121</v>
      </c>
      <c r="AB11" t="s">
        <v>4</v>
      </c>
      <c r="AC11" s="30">
        <v>1.6</v>
      </c>
      <c r="AD11">
        <v>1.5</v>
      </c>
    </row>
    <row r="12" spans="2:30" x14ac:dyDescent="0.25">
      <c r="B12" s="134" t="s">
        <v>126</v>
      </c>
      <c r="C12" s="41" t="s">
        <v>15</v>
      </c>
      <c r="D12" s="30">
        <f ca="1">ROUND(INDEX(insumos!$AF$3:$XFD$50,MATCH('cuadro BP'!$C12,insumos!$AF$3:$AF$50,0),MATCH('cuadro BP'!D$4,insumos!$AF$3:$XFD$3,0)),2)</f>
        <v>5.85</v>
      </c>
      <c r="E12" s="30">
        <f ca="1">ROUND(INDEX(insumos!$AF$3:$XFD$50,MATCH('cuadro BP'!$C12,insumos!$AF$3:$AF$50,0),MATCH('cuadro BP'!E$4,insumos!$AF$3:$XFD$3,0)),2)</f>
        <v>2.38</v>
      </c>
      <c r="F12" s="30">
        <f ca="1">ROUND(INDEX(insumos!$AF$3:$XFD$50,MATCH('cuadro BP'!$C12,insumos!$AF$3:$AF$50,0),MATCH('cuadro BP'!F$4,insumos!$AF$3:$XFD$3,0)),2)</f>
        <v>3.25</v>
      </c>
      <c r="G12" s="30">
        <f ca="1">ROUND(INDEX(insumos!$AF$3:$XFD$50,MATCH('cuadro BP'!$C12,insumos!$AF$3:$AF$50,0),MATCH('cuadro BP'!G$4,insumos!$AF$3:$XFD$3,0)),2)</f>
        <v>3.95</v>
      </c>
      <c r="H12" s="30">
        <f ca="1">ROUND(INDEX(insumos!$AF$3:$XFD$50,MATCH('cuadro BP'!$C12,insumos!$AF$3:$AF$50,0),MATCH('cuadro BP'!H$4,insumos!$AF$3:$XFD$3,0)),2)</f>
        <v>2.5299999999999998</v>
      </c>
      <c r="I12" s="30">
        <f ca="1">ROUND(INDEX(insumos!$AF$3:$XFD$50,MATCH('cuadro BP'!$C12,insumos!$AF$3:$AF$50,0),MATCH('cuadro BP'!I$4,insumos!$AF$3:$XFD$3,0)),2)</f>
        <v>4</v>
      </c>
      <c r="J12" s="30">
        <f ca="1">ROUND(INDEX(insumos!$AF$3:$XFD$50,MATCH('cuadro BP'!$C12,insumos!$AF$3:$AF$50,0),MATCH('cuadro BP'!J$4,insumos!$AF$3:$XFD$3,0)),2)</f>
        <v>3.7</v>
      </c>
      <c r="K12" s="42"/>
      <c r="L12" s="42"/>
      <c r="R12" s="135"/>
      <c r="S12" s="135" t="s">
        <v>122</v>
      </c>
      <c r="T12" s="135" t="s">
        <v>6</v>
      </c>
      <c r="U12" s="135">
        <v>2</v>
      </c>
      <c r="V12" s="135">
        <v>1.8</v>
      </c>
      <c r="X12" s="135">
        <f t="shared" si="0"/>
        <v>0</v>
      </c>
      <c r="AA12" t="s">
        <v>122</v>
      </c>
      <c r="AB12" t="s">
        <v>6</v>
      </c>
      <c r="AC12" s="30">
        <v>2</v>
      </c>
      <c r="AD12">
        <v>1.8</v>
      </c>
    </row>
    <row r="13" spans="2:30" x14ac:dyDescent="0.25">
      <c r="B13" s="134" t="s">
        <v>127</v>
      </c>
      <c r="C13" s="95" t="s">
        <v>17</v>
      </c>
      <c r="D13" s="30">
        <f ca="1">ROUND(INDEX(insumos!$AF$3:$XFD$50,MATCH('cuadro BP'!$C13,insumos!$AF$3:$AF$50,0),MATCH('cuadro BP'!D$4,insumos!$AF$3:$XFD$3,0)),2)</f>
        <v>4.6399999999999997</v>
      </c>
      <c r="E13" s="30">
        <f ca="1">ROUND(INDEX(insumos!$AF$3:$XFD$50,MATCH('cuadro BP'!$C13,insumos!$AF$3:$AF$50,0),MATCH('cuadro BP'!E$4,insumos!$AF$3:$XFD$3,0)),2)</f>
        <v>3.24</v>
      </c>
      <c r="F13" s="30">
        <f ca="1">ROUND(INDEX(insumos!$AF$3:$XFD$50,MATCH('cuadro BP'!$C13,insumos!$AF$3:$AF$50,0),MATCH('cuadro BP'!F$4,insumos!$AF$3:$XFD$3,0)),2)</f>
        <v>0.37</v>
      </c>
      <c r="G13" s="30">
        <f ca="1">ROUND(INDEX(insumos!$AF$3:$XFD$50,MATCH('cuadro BP'!$C13,insumos!$AF$3:$AF$50,0),MATCH('cuadro BP'!G$4,insumos!$AF$3:$XFD$3,0)),2)</f>
        <v>1.69</v>
      </c>
      <c r="H13" s="30">
        <f ca="1">ROUND(INDEX(insumos!$AF$3:$XFD$50,MATCH('cuadro BP'!$C13,insumos!$AF$3:$AF$50,0),MATCH('cuadro BP'!H$4,insumos!$AF$3:$XFD$3,0)),2)</f>
        <v>2.66</v>
      </c>
      <c r="I13" s="30">
        <f ca="1">ROUND(INDEX(insumos!$AF$3:$XFD$50,MATCH('cuadro BP'!$C13,insumos!$AF$3:$AF$50,0),MATCH('cuadro BP'!I$4,insumos!$AF$3:$XFD$3,0)),2)</f>
        <v>2.2999999999999998</v>
      </c>
      <c r="J13" s="30">
        <f ca="1">ROUND(INDEX(insumos!$AF$3:$XFD$50,MATCH('cuadro BP'!$C13,insumos!$AF$3:$AF$50,0),MATCH('cuadro BP'!J$4,insumos!$AF$3:$XFD$3,0)),2)</f>
        <v>1.5</v>
      </c>
      <c r="K13" s="42"/>
      <c r="L13" s="42"/>
      <c r="R13" s="135"/>
      <c r="S13" s="135" t="s">
        <v>129</v>
      </c>
      <c r="T13" s="135" t="s">
        <v>8</v>
      </c>
      <c r="U13" s="135">
        <v>4.3</v>
      </c>
      <c r="V13" s="135">
        <v>3.9</v>
      </c>
      <c r="X13" s="135">
        <f t="shared" si="0"/>
        <v>0</v>
      </c>
      <c r="AA13" t="s">
        <v>129</v>
      </c>
      <c r="AB13" t="s">
        <v>8</v>
      </c>
      <c r="AC13" s="30">
        <v>4.3</v>
      </c>
      <c r="AD13">
        <v>3.9</v>
      </c>
    </row>
    <row r="14" spans="2:30" x14ac:dyDescent="0.25">
      <c r="B14" s="134" t="s">
        <v>128</v>
      </c>
      <c r="C14" s="41" t="s">
        <v>32</v>
      </c>
      <c r="D14" s="30">
        <f ca="1">ROUND(INDEX(insumos!$AF$3:$XFD$50,MATCH('cuadro BP'!$C14,insumos!$AF$3:$AF$50,0),MATCH('cuadro BP'!D$4,insumos!$AF$3:$XFD$3,0)),2)</f>
        <v>1.34</v>
      </c>
      <c r="E14" s="30">
        <f ca="1">ROUND(INDEX(insumos!$AF$3:$XFD$50,MATCH('cuadro BP'!$C14,insumos!$AF$3:$AF$50,0),MATCH('cuadro BP'!E$4,insumos!$AF$3:$XFD$3,0)),2)</f>
        <v>-3.89</v>
      </c>
      <c r="F14" s="30">
        <f ca="1">ROUND(INDEX(insumos!$AF$3:$XFD$50,MATCH('cuadro BP'!$C14,insumos!$AF$3:$AF$50,0),MATCH('cuadro BP'!F$4,insumos!$AF$3:$XFD$3,0)),2)</f>
        <v>-6.2</v>
      </c>
      <c r="G14" s="30">
        <f ca="1">ROUND(INDEX(insumos!$AF$3:$XFD$50,MATCH('cuadro BP'!$C14,insumos!$AF$3:$AF$50,0),MATCH('cuadro BP'!G$4,insumos!$AF$3:$XFD$3,0)),2)</f>
        <v>-16.5</v>
      </c>
      <c r="H14" s="30">
        <f ca="1">ROUND(INDEX(insumos!$AF$3:$XFD$50,MATCH('cuadro BP'!$C14,insumos!$AF$3:$AF$50,0),MATCH('cuadro BP'!H$4,insumos!$AF$3:$XFD$3,0)),2)</f>
        <v>-13</v>
      </c>
      <c r="I14" s="30">
        <f ca="1">ROUND(INDEX(insumos!$AF$3:$XFD$50,MATCH('cuadro BP'!$C14,insumos!$AF$3:$AF$50,0),MATCH('cuadro BP'!I$4,insumos!$AF$3:$XFD$3,0)),2)</f>
        <v>-12</v>
      </c>
      <c r="J14" s="30">
        <f ca="1">ROUND(INDEX(insumos!$AF$3:$XFD$50,MATCH('cuadro BP'!$C14,insumos!$AF$3:$AF$50,0),MATCH('cuadro BP'!J$4,insumos!$AF$3:$XFD$3,0)),2)</f>
        <v>-9.1999999999999993</v>
      </c>
      <c r="K14" s="42"/>
      <c r="L14" s="42"/>
      <c r="R14" s="135"/>
      <c r="S14" s="135" t="s">
        <v>149</v>
      </c>
      <c r="T14" s="135" t="s">
        <v>11</v>
      </c>
      <c r="U14" s="135">
        <v>0</v>
      </c>
      <c r="V14" s="135">
        <v>0.5</v>
      </c>
      <c r="X14" s="135">
        <f t="shared" si="0"/>
        <v>0.9</v>
      </c>
      <c r="AA14" t="s">
        <v>149</v>
      </c>
      <c r="AB14" t="s">
        <v>11</v>
      </c>
      <c r="AC14" s="30">
        <v>-0.9</v>
      </c>
      <c r="AD14">
        <v>0.5</v>
      </c>
    </row>
    <row r="15" spans="2:30" x14ac:dyDescent="0.25">
      <c r="B15" s="134" t="s">
        <v>129</v>
      </c>
      <c r="C15" s="138" t="s">
        <v>8</v>
      </c>
      <c r="D15" s="30">
        <f ca="1">ROUND(INDEX(insumos!$AF$3:$XFD$50,MATCH('cuadro BP'!$C15,insumos!$AF$3:$AF$50,0),MATCH('cuadro BP'!D$4,insumos!$AF$3:$XFD$3,0)),2)</f>
        <v>2.27</v>
      </c>
      <c r="E15" s="30">
        <f ca="1">ROUND(INDEX(insumos!$AF$3:$XFD$50,MATCH('cuadro BP'!$C15,insumos!$AF$3:$AF$50,0),MATCH('cuadro BP'!E$4,insumos!$AF$3:$XFD$3,0)),2)</f>
        <v>3.52</v>
      </c>
      <c r="F15" s="30">
        <f ca="1">ROUND(INDEX(insumos!$AF$3:$XFD$50,MATCH('cuadro BP'!$C15,insumos!$AF$3:$AF$50,0),MATCH('cuadro BP'!F$4,insumos!$AF$3:$XFD$3,0)),2)</f>
        <v>3.63</v>
      </c>
      <c r="G15" s="30">
        <f ca="1">ROUND(INDEX(insumos!$AF$3:$XFD$50,MATCH('cuadro BP'!$C15,insumos!$AF$3:$AF$50,0),MATCH('cuadro BP'!G$4,insumos!$AF$3:$XFD$3,0)),2)</f>
        <v>4.16</v>
      </c>
      <c r="H15" s="30">
        <f ca="1">ROUND(INDEX(insumos!$AF$3:$XFD$50,MATCH('cuadro BP'!$C15,insumos!$AF$3:$AF$50,0),MATCH('cuadro BP'!H$4,insumos!$AF$3:$XFD$3,0)),2)</f>
        <v>3.19</v>
      </c>
      <c r="I15" s="30">
        <f ca="1">ROUND(INDEX(insumos!$AF$3:$XFD$50,MATCH('cuadro BP'!$C15,insumos!$AF$3:$AF$50,0),MATCH('cuadro BP'!I$4,insumos!$AF$3:$XFD$3,0)),2)</f>
        <v>3.2</v>
      </c>
      <c r="J15" s="30">
        <f ca="1">ROUND(INDEX(insumos!$AF$3:$XFD$50,MATCH('cuadro BP'!$C15,insumos!$AF$3:$AF$50,0),MATCH('cuadro BP'!J$4,insumos!$AF$3:$XFD$3,0)),2)</f>
        <v>3.1</v>
      </c>
      <c r="K15" s="42"/>
      <c r="L15" s="42"/>
      <c r="R15" s="135"/>
      <c r="S15" s="135" t="s">
        <v>139</v>
      </c>
      <c r="T15" s="135" t="s">
        <v>20</v>
      </c>
      <c r="U15" s="135">
        <v>2.6</v>
      </c>
      <c r="V15" s="135">
        <v>-8.3000000000000007</v>
      </c>
      <c r="X15" s="135">
        <f t="shared" si="0"/>
        <v>1.7000000000000002</v>
      </c>
      <c r="AA15" t="s">
        <v>139</v>
      </c>
      <c r="AB15" t="s">
        <v>20</v>
      </c>
      <c r="AC15" s="30">
        <v>0.9</v>
      </c>
      <c r="AD15">
        <v>-8.2610586631664553</v>
      </c>
    </row>
    <row r="16" spans="2:30" x14ac:dyDescent="0.25">
      <c r="B16" s="134" t="s">
        <v>149</v>
      </c>
      <c r="C16" s="41" t="s">
        <v>11</v>
      </c>
      <c r="D16" s="30">
        <f ca="1">ROUND(INDEX(insumos!$AF$3:$XFD$50,MATCH('cuadro BP'!$C16,insumos!$AF$3:$AF$50,0),MATCH('cuadro BP'!D$4,insumos!$AF$3:$XFD$3,0)),2)</f>
        <v>2.75</v>
      </c>
      <c r="E16" s="30">
        <f ca="1">ROUND(INDEX(insumos!$AF$3:$XFD$50,MATCH('cuadro BP'!$C16,insumos!$AF$3:$AF$50,0),MATCH('cuadro BP'!E$4,insumos!$AF$3:$XFD$3,0)),2)</f>
        <v>1.05</v>
      </c>
      <c r="F16" s="30">
        <f ca="1">ROUND(INDEX(insumos!$AF$3:$XFD$50,MATCH('cuadro BP'!$C16,insumos!$AF$3:$AF$50,0),MATCH('cuadro BP'!F$4,insumos!$AF$3:$XFD$3,0)),2)</f>
        <v>4.4400000000000004</v>
      </c>
      <c r="G16" s="30">
        <f ca="1">ROUND(INDEX(insumos!$AF$3:$XFD$50,MATCH('cuadro BP'!$C16,insumos!$AF$3:$AF$50,0),MATCH('cuadro BP'!G$4,insumos!$AF$3:$XFD$3,0)),2)</f>
        <v>0.51</v>
      </c>
      <c r="H16" s="30">
        <f ca="1">ROUND(INDEX(insumos!$AF$3:$XFD$50,MATCH('cuadro BP'!$C16,insumos!$AF$3:$AF$50,0),MATCH('cuadro BP'!H$4,insumos!$AF$3:$XFD$3,0)),2)</f>
        <v>1.6</v>
      </c>
      <c r="I16" s="30">
        <f ca="1">ROUND(INDEX(insumos!$AF$3:$XFD$50,MATCH('cuadro BP'!$C16,insumos!$AF$3:$AF$50,0),MATCH('cuadro BP'!I$4,insumos!$AF$3:$XFD$3,0)),2)</f>
        <v>1.5</v>
      </c>
      <c r="J16" s="30">
        <f ca="1">ROUND(INDEX(insumos!$AF$3:$XFD$50,MATCH('cuadro BP'!$C16,insumos!$AF$3:$AF$50,0),MATCH('cuadro BP'!J$4,insumos!$AF$3:$XFD$3,0)),2)</f>
        <v>1.5</v>
      </c>
      <c r="K16" s="42"/>
      <c r="L16" s="42"/>
      <c r="R16" s="135"/>
      <c r="S16" s="135" t="s">
        <v>130</v>
      </c>
      <c r="T16" s="135" t="s">
        <v>25</v>
      </c>
      <c r="U16" s="135">
        <v>6.6</v>
      </c>
      <c r="V16" s="135">
        <v>4.9000000000000004</v>
      </c>
      <c r="X16" s="135">
        <f t="shared" si="0"/>
        <v>0</v>
      </c>
      <c r="AA16" t="s">
        <v>130</v>
      </c>
      <c r="AB16" t="s">
        <v>25</v>
      </c>
      <c r="AC16" s="30">
        <v>6.6</v>
      </c>
      <c r="AD16">
        <v>4.9000000000000004</v>
      </c>
    </row>
    <row r="17" spans="2:30" x14ac:dyDescent="0.25">
      <c r="B17" s="134" t="s">
        <v>131</v>
      </c>
      <c r="C17" s="41" t="s">
        <v>14</v>
      </c>
      <c r="D17" s="30">
        <f ca="1">ROUND(INDEX(insumos!$AF$3:$XFD$50,MATCH('cuadro BP'!$C17,insumos!$AF$3:$AF$50,0),MATCH('cuadro BP'!D$4,insumos!$AF$3:$XFD$3,0)),2)</f>
        <v>2.38</v>
      </c>
      <c r="E17" s="30">
        <f ca="1">ROUND(INDEX(insumos!$AF$3:$XFD$50,MATCH('cuadro BP'!$C17,insumos!$AF$3:$AF$50,0),MATCH('cuadro BP'!E$4,insumos!$AF$3:$XFD$3,0)),2)</f>
        <v>1.98</v>
      </c>
      <c r="F17" s="30">
        <f ca="1">ROUND(INDEX(insumos!$AF$3:$XFD$50,MATCH('cuadro BP'!$C17,insumos!$AF$3:$AF$50,0),MATCH('cuadro BP'!F$4,insumos!$AF$3:$XFD$3,0)),2)</f>
        <v>2.38</v>
      </c>
      <c r="G17" s="30">
        <f ca="1">ROUND(INDEX(insumos!$AF$3:$XFD$50,MATCH('cuadro BP'!$C17,insumos!$AF$3:$AF$50,0),MATCH('cuadro BP'!G$4,insumos!$AF$3:$XFD$3,0)),2)</f>
        <v>2.58</v>
      </c>
      <c r="H17" s="30">
        <f ca="1">ROUND(INDEX(insumos!$AF$3:$XFD$50,MATCH('cuadro BP'!$C17,insumos!$AF$3:$AF$50,0),MATCH('cuadro BP'!H$4,insumos!$AF$3:$XFD$3,0)),2)</f>
        <v>2.3199999999999998</v>
      </c>
      <c r="I17" s="30">
        <f ca="1">ROUND(INDEX(insumos!$AF$3:$XFD$50,MATCH('cuadro BP'!$C17,insumos!$AF$3:$AF$50,0),MATCH('cuadro BP'!I$4,insumos!$AF$3:$XFD$3,0)),2)</f>
        <v>2.4</v>
      </c>
      <c r="J17" s="30">
        <f ca="1">ROUND(INDEX(insumos!$AF$3:$XFD$50,MATCH('cuadro BP'!$C17,insumos!$AF$3:$AF$50,0),MATCH('cuadro BP'!J$4,insumos!$AF$3:$XFD$3,0)),2)</f>
        <v>2.4</v>
      </c>
      <c r="K17" s="42"/>
      <c r="L17" s="42"/>
      <c r="R17" s="135"/>
      <c r="S17" s="135" t="s">
        <v>123</v>
      </c>
      <c r="T17" s="135" t="s">
        <v>10</v>
      </c>
      <c r="U17" s="135">
        <v>-1.5</v>
      </c>
      <c r="V17" s="135">
        <v>0.7</v>
      </c>
      <c r="X17" s="135">
        <f t="shared" si="0"/>
        <v>0</v>
      </c>
      <c r="AA17" t="s">
        <v>123</v>
      </c>
      <c r="AB17" t="s">
        <v>10</v>
      </c>
      <c r="AC17" s="30">
        <v>-1.5</v>
      </c>
      <c r="AD17">
        <v>1</v>
      </c>
    </row>
    <row r="18" spans="2:30" x14ac:dyDescent="0.25">
      <c r="B18" s="134" t="s">
        <v>132</v>
      </c>
      <c r="C18" s="41" t="s">
        <v>16</v>
      </c>
      <c r="D18" s="30">
        <f ca="1">ROUND(INDEX(insumos!$AF$3:$XFD$50,MATCH('cuadro BP'!$C18,insumos!$AF$3:$AF$50,0),MATCH('cuadro BP'!D$4,insumos!$AF$3:$XFD$3,0)),2)</f>
        <v>3.7</v>
      </c>
      <c r="E18" s="30">
        <f ca="1">ROUND(INDEX(insumos!$AF$3:$XFD$50,MATCH('cuadro BP'!$C18,insumos!$AF$3:$AF$50,0),MATCH('cuadro BP'!E$4,insumos!$AF$3:$XFD$3,0)),2)</f>
        <v>4.17</v>
      </c>
      <c r="F18" s="30">
        <f ca="1">ROUND(INDEX(insumos!$AF$3:$XFD$50,MATCH('cuadro BP'!$C18,insumos!$AF$3:$AF$50,0),MATCH('cuadro BP'!F$4,insumos!$AF$3:$XFD$3,0)),2)</f>
        <v>4.1399999999999997</v>
      </c>
      <c r="G18" s="30">
        <f ca="1">ROUND(INDEX(insumos!$AF$3:$XFD$50,MATCH('cuadro BP'!$C18,insumos!$AF$3:$AF$50,0),MATCH('cuadro BP'!G$4,insumos!$AF$3:$XFD$3,0)),2)</f>
        <v>3.09</v>
      </c>
      <c r="H18" s="30">
        <f ca="1">ROUND(INDEX(insumos!$AF$3:$XFD$50,MATCH('cuadro BP'!$C18,insumos!$AF$3:$AF$50,0),MATCH('cuadro BP'!H$4,insumos!$AF$3:$XFD$3,0)),2)</f>
        <v>2.76</v>
      </c>
      <c r="I18" s="30">
        <f ca="1">ROUND(INDEX(insumos!$AF$3:$XFD$50,MATCH('cuadro BP'!$C18,insumos!$AF$3:$AF$50,0),MATCH('cuadro BP'!I$4,insumos!$AF$3:$XFD$3,0)),2)</f>
        <v>2.9</v>
      </c>
      <c r="J18" s="30">
        <f ca="1">ROUND(INDEX(insumos!$AF$3:$XFD$50,MATCH('cuadro BP'!$C18,insumos!$AF$3:$AF$50,0),MATCH('cuadro BP'!J$4,insumos!$AF$3:$XFD$3,0)),2)</f>
        <v>3</v>
      </c>
      <c r="K18" s="42"/>
      <c r="L18" s="42"/>
      <c r="R18" s="135"/>
      <c r="S18" s="135" t="s">
        <v>140</v>
      </c>
      <c r="T18" s="135" t="s">
        <v>23</v>
      </c>
      <c r="U18" s="135">
        <v>3.7</v>
      </c>
      <c r="V18" s="135">
        <v>2.9</v>
      </c>
      <c r="X18" s="135">
        <f t="shared" si="0"/>
        <v>1.8000000000000003</v>
      </c>
      <c r="AA18" t="s">
        <v>140</v>
      </c>
      <c r="AB18" t="s">
        <v>23</v>
      </c>
      <c r="AC18" s="30">
        <v>1.9</v>
      </c>
      <c r="AD18">
        <v>3.5</v>
      </c>
    </row>
    <row r="19" spans="2:30" x14ac:dyDescent="0.25">
      <c r="B19" s="134" t="s">
        <v>133</v>
      </c>
      <c r="C19" s="41" t="s">
        <v>18</v>
      </c>
      <c r="D19" s="30">
        <f ca="1">ROUND(INDEX(insumos!$AF$3:$XFD$50,MATCH('cuadro BP'!$C19,insumos!$AF$3:$AF$50,0),MATCH('cuadro BP'!D$4,insumos!$AF$3:$XFD$3,0)),2)</f>
        <v>4.2300000000000004</v>
      </c>
      <c r="E19" s="30">
        <f ca="1">ROUND(INDEX(insumos!$AF$3:$XFD$50,MATCH('cuadro BP'!$C19,insumos!$AF$3:$AF$50,0),MATCH('cuadro BP'!E$4,insumos!$AF$3:$XFD$3,0)),2)</f>
        <v>2.81</v>
      </c>
      <c r="F19" s="30">
        <f ca="1">ROUND(INDEX(insumos!$AF$3:$XFD$50,MATCH('cuadro BP'!$C19,insumos!$AF$3:$AF$50,0),MATCH('cuadro BP'!F$4,insumos!$AF$3:$XFD$3,0)),2)</f>
        <v>1.21</v>
      </c>
      <c r="G19" s="30">
        <f ca="1">ROUND(INDEX(insumos!$AF$3:$XFD$50,MATCH('cuadro BP'!$C19,insumos!$AF$3:$AF$50,0),MATCH('cuadro BP'!G$4,insumos!$AF$3:$XFD$3,0)),2)</f>
        <v>1.45</v>
      </c>
      <c r="H19" s="30">
        <f ca="1">ROUND(INDEX(insumos!$AF$3:$XFD$50,MATCH('cuadro BP'!$C19,insumos!$AF$3:$AF$50,0),MATCH('cuadro BP'!H$4,insumos!$AF$3:$XFD$3,0)),2)</f>
        <v>1.17</v>
      </c>
      <c r="I19" s="30">
        <f ca="1">ROUND(INDEX(insumos!$AF$3:$XFD$50,MATCH('cuadro BP'!$C19,insumos!$AF$3:$AF$50,0),MATCH('cuadro BP'!I$4,insumos!$AF$3:$XFD$3,0)),2)</f>
        <v>1.8</v>
      </c>
      <c r="J19" s="30">
        <f ca="1">ROUND(INDEX(insumos!$AF$3:$XFD$50,MATCH('cuadro BP'!$C19,insumos!$AF$3:$AF$50,0),MATCH('cuadro BP'!J$4,insumos!$AF$3:$XFD$3,0)),2)</f>
        <v>2</v>
      </c>
      <c r="K19" s="42"/>
      <c r="L19" s="42"/>
      <c r="R19" s="135"/>
      <c r="S19" s="135" t="s">
        <v>132</v>
      </c>
      <c r="T19" s="135" t="s">
        <v>16</v>
      </c>
      <c r="U19" s="135">
        <v>3.1</v>
      </c>
      <c r="V19" s="135">
        <v>3.4</v>
      </c>
      <c r="X19" s="135">
        <f t="shared" si="0"/>
        <v>0</v>
      </c>
      <c r="AA19" t="s">
        <v>132</v>
      </c>
      <c r="AB19" t="s">
        <v>16</v>
      </c>
      <c r="AC19" s="30">
        <v>3.1</v>
      </c>
      <c r="AD19">
        <v>3.2</v>
      </c>
    </row>
    <row r="20" spans="2:30" x14ac:dyDescent="0.25">
      <c r="B20" s="134" t="s">
        <v>134</v>
      </c>
      <c r="C20" s="41" t="s">
        <v>19</v>
      </c>
      <c r="D20" s="30">
        <f ca="1">ROUND(INDEX(insumos!$AF$3:$XFD$50,MATCH('cuadro BP'!$C20,insumos!$AF$3:$AF$50,0),MATCH('cuadro BP'!D$4,insumos!$AF$3:$XFD$3,0)),2)</f>
        <v>2.79</v>
      </c>
      <c r="E20" s="30">
        <f ca="1">ROUND(INDEX(insumos!$AF$3:$XFD$50,MATCH('cuadro BP'!$C20,insumos!$AF$3:$AF$50,0),MATCH('cuadro BP'!E$4,insumos!$AF$3:$XFD$3,0)),2)</f>
        <v>3.06</v>
      </c>
      <c r="F20" s="30">
        <f ca="1">ROUND(INDEX(insumos!$AF$3:$XFD$50,MATCH('cuadro BP'!$C20,insumos!$AF$3:$AF$50,0),MATCH('cuadro BP'!F$4,insumos!$AF$3:$XFD$3,0)),2)</f>
        <v>3.84</v>
      </c>
      <c r="G20" s="30">
        <f ca="1">ROUND(INDEX(insumos!$AF$3:$XFD$50,MATCH('cuadro BP'!$C20,insumos!$AF$3:$AF$50,0),MATCH('cuadro BP'!G$4,insumos!$AF$3:$XFD$3,0)),2)</f>
        <v>3.75</v>
      </c>
      <c r="H20" s="30">
        <f ca="1">ROUND(INDEX(insumos!$AF$3:$XFD$50,MATCH('cuadro BP'!$C20,insumos!$AF$3:$AF$50,0),MATCH('cuadro BP'!H$4,insumos!$AF$3:$XFD$3,0)),2)</f>
        <v>4.79</v>
      </c>
      <c r="I20" s="30">
        <f ca="1">ROUND(INDEX(insumos!$AF$3:$XFD$50,MATCH('cuadro BP'!$C20,insumos!$AF$3:$AF$50,0),MATCH('cuadro BP'!I$4,insumos!$AF$3:$XFD$3,0)),2)</f>
        <v>3.6</v>
      </c>
      <c r="J20" s="30">
        <f ca="1">ROUND(INDEX(insumos!$AF$3:$XFD$50,MATCH('cuadro BP'!$C20,insumos!$AF$3:$AF$50,0),MATCH('cuadro BP'!J$4,insumos!$AF$3:$XFD$3,0)),2)</f>
        <v>3.7</v>
      </c>
      <c r="K20" s="42"/>
      <c r="L20" s="42"/>
      <c r="R20" s="135"/>
      <c r="S20" s="135" t="s">
        <v>141</v>
      </c>
      <c r="T20" s="135" t="s">
        <v>24</v>
      </c>
      <c r="U20" s="135">
        <v>3.3</v>
      </c>
      <c r="V20" s="135">
        <v>2.9</v>
      </c>
      <c r="X20" s="135">
        <f t="shared" si="0"/>
        <v>0</v>
      </c>
      <c r="AA20" t="s">
        <v>141</v>
      </c>
      <c r="AB20" t="s">
        <v>24</v>
      </c>
      <c r="AC20" s="30">
        <v>3.3</v>
      </c>
      <c r="AD20">
        <v>2.9</v>
      </c>
    </row>
    <row r="21" spans="2:30" x14ac:dyDescent="0.25">
      <c r="B21" s="134" t="s">
        <v>135</v>
      </c>
      <c r="C21" s="41" t="s">
        <v>21</v>
      </c>
      <c r="D21" s="30">
        <f ca="1">ROUND(INDEX(insumos!$AF$3:$XFD$50,MATCH('cuadro BP'!$C21,insumos!$AF$3:$AF$50,0),MATCH('cuadro BP'!D$4,insumos!$AF$3:$XFD$3,0)),2)</f>
        <v>4.93</v>
      </c>
      <c r="E21" s="30">
        <f ca="1">ROUND(INDEX(insumos!$AF$3:$XFD$50,MATCH('cuadro BP'!$C21,insumos!$AF$3:$AF$50,0),MATCH('cuadro BP'!E$4,insumos!$AF$3:$XFD$3,0)),2)</f>
        <v>4.79</v>
      </c>
      <c r="F21" s="30">
        <f ca="1">ROUND(INDEX(insumos!$AF$3:$XFD$50,MATCH('cuadro BP'!$C21,insumos!$AF$3:$AF$50,0),MATCH('cuadro BP'!F$4,insumos!$AF$3:$XFD$3,0)),2)</f>
        <v>4.7699999999999996</v>
      </c>
      <c r="G21" s="30">
        <f ca="1">ROUND(INDEX(insumos!$AF$3:$XFD$50,MATCH('cuadro BP'!$C21,insumos!$AF$3:$AF$50,0),MATCH('cuadro BP'!G$4,insumos!$AF$3:$XFD$3,0)),2)</f>
        <v>4.66</v>
      </c>
      <c r="H21" s="30">
        <f ca="1">ROUND(INDEX(insumos!$AF$3:$XFD$50,MATCH('cuadro BP'!$C21,insumos!$AF$3:$AF$50,0),MATCH('cuadro BP'!H$4,insumos!$AF$3:$XFD$3,0)),2)</f>
        <v>4.8600000000000003</v>
      </c>
      <c r="I21" s="30">
        <f ca="1">ROUND(INDEX(insumos!$AF$3:$XFD$50,MATCH('cuadro BP'!$C21,insumos!$AF$3:$AF$50,0),MATCH('cuadro BP'!I$4,insumos!$AF$3:$XFD$3,0)),2)</f>
        <v>-1</v>
      </c>
      <c r="J21" s="30">
        <f ca="1">ROUND(INDEX(insumos!$AF$3:$XFD$50,MATCH('cuadro BP'!$C21,insumos!$AF$3:$AF$50,0),MATCH('cuadro BP'!J$4,insumos!$AF$3:$XFD$3,0)),2)</f>
        <v>0</v>
      </c>
      <c r="K21" s="42"/>
      <c r="L21" s="42"/>
      <c r="R21" s="135"/>
      <c r="S21" s="135" t="s">
        <v>134</v>
      </c>
      <c r="T21" s="135" t="s">
        <v>19</v>
      </c>
      <c r="U21" s="135">
        <v>3.6</v>
      </c>
      <c r="V21" s="135">
        <v>3.7</v>
      </c>
      <c r="X21" s="135">
        <f t="shared" si="0"/>
        <v>0</v>
      </c>
      <c r="AA21" t="s">
        <v>134</v>
      </c>
      <c r="AB21" t="s">
        <v>19</v>
      </c>
      <c r="AC21" s="30">
        <v>3.6</v>
      </c>
      <c r="AD21">
        <v>3.9</v>
      </c>
    </row>
    <row r="22" spans="2:30" x14ac:dyDescent="0.25">
      <c r="B22" s="134" t="s">
        <v>136</v>
      </c>
      <c r="C22" s="41" t="s">
        <v>22</v>
      </c>
      <c r="D22" s="30">
        <f ca="1">ROUND(INDEX(insumos!$AF$3:$XFD$50,MATCH('cuadro BP'!$C22,insumos!$AF$3:$AF$50,0),MATCH('cuadro BP'!D$4,insumos!$AF$3:$XFD$3,0)),2)</f>
        <v>9.61</v>
      </c>
      <c r="E22" s="30">
        <f ca="1">ROUND(INDEX(insumos!$AF$3:$XFD$50,MATCH('cuadro BP'!$C22,insumos!$AF$3:$AF$50,0),MATCH('cuadro BP'!E$4,insumos!$AF$3:$XFD$3,0)),2)</f>
        <v>5.07</v>
      </c>
      <c r="F22" s="30">
        <f ca="1">ROUND(INDEX(insumos!$AF$3:$XFD$50,MATCH('cuadro BP'!$C22,insumos!$AF$3:$AF$50,0),MATCH('cuadro BP'!F$4,insumos!$AF$3:$XFD$3,0)),2)</f>
        <v>5.58</v>
      </c>
      <c r="G22" s="30">
        <f ca="1">ROUND(INDEX(insumos!$AF$3:$XFD$50,MATCH('cuadro BP'!$C22,insumos!$AF$3:$AF$50,0),MATCH('cuadro BP'!G$4,insumos!$AF$3:$XFD$3,0)),2)</f>
        <v>4.99</v>
      </c>
      <c r="H22" s="30">
        <f ca="1">ROUND(INDEX(insumos!$AF$3:$XFD$50,MATCH('cuadro BP'!$C22,insumos!$AF$3:$AF$50,0),MATCH('cuadro BP'!H$4,insumos!$AF$3:$XFD$3,0)),2)</f>
        <v>5.36</v>
      </c>
      <c r="I22" s="30">
        <f ca="1">ROUND(INDEX(insumos!$AF$3:$XFD$50,MATCH('cuadro BP'!$C22,insumos!$AF$3:$AF$50,0),MATCH('cuadro BP'!I$4,insumos!$AF$3:$XFD$3,0)),2)</f>
        <v>4.8</v>
      </c>
      <c r="J22" s="30">
        <f ca="1">ROUND(INDEX(insumos!$AF$3:$XFD$50,MATCH('cuadro BP'!$C22,insumos!$AF$3:$AF$50,0),MATCH('cuadro BP'!J$4,insumos!$AF$3:$XFD$3,0)),2)</f>
        <v>5.3</v>
      </c>
      <c r="K22" s="42"/>
      <c r="L22" s="42"/>
      <c r="R22" s="135"/>
      <c r="S22" s="135" t="s">
        <v>133</v>
      </c>
      <c r="T22" s="135" t="s">
        <v>18</v>
      </c>
      <c r="U22" s="135">
        <v>1.4</v>
      </c>
      <c r="V22" s="135">
        <v>1.3</v>
      </c>
      <c r="X22" s="135">
        <f t="shared" si="0"/>
        <v>0</v>
      </c>
      <c r="AA22" t="s">
        <v>133</v>
      </c>
      <c r="AB22" t="s">
        <v>18</v>
      </c>
      <c r="AC22" s="30">
        <v>1.4</v>
      </c>
      <c r="AD22">
        <v>1.3</v>
      </c>
    </row>
    <row r="23" spans="2:30" x14ac:dyDescent="0.25">
      <c r="B23" s="134" t="s">
        <v>130</v>
      </c>
      <c r="C23" s="41" t="s">
        <v>25</v>
      </c>
      <c r="D23" s="30">
        <f ca="1">ROUND(INDEX(insumos!$AF$3:$XFD$50,MATCH('cuadro BP'!$C23,insumos!$AF$3:$AF$50,0),MATCH('cuadro BP'!D$4,insumos!$AF$3:$XFD$3,0)),2)</f>
        <v>4.88</v>
      </c>
      <c r="E23" s="30">
        <f ca="1">ROUND(INDEX(insumos!$AF$3:$XFD$50,MATCH('cuadro BP'!$C23,insumos!$AF$3:$AF$50,0),MATCH('cuadro BP'!E$4,insumos!$AF$3:$XFD$3,0)),2)</f>
        <v>7.64</v>
      </c>
      <c r="F23" s="30">
        <f ca="1">ROUND(INDEX(insumos!$AF$3:$XFD$50,MATCH('cuadro BP'!$C23,insumos!$AF$3:$AF$50,0),MATCH('cuadro BP'!F$4,insumos!$AF$3:$XFD$3,0)),2)</f>
        <v>7.03</v>
      </c>
      <c r="G23" s="30">
        <f ca="1">ROUND(INDEX(insumos!$AF$3:$XFD$50,MATCH('cuadro BP'!$C23,insumos!$AF$3:$AF$50,0),MATCH('cuadro BP'!G$4,insumos!$AF$3:$XFD$3,0)),2)</f>
        <v>6.61</v>
      </c>
      <c r="H23" s="30">
        <f ca="1">ROUND(INDEX(insumos!$AF$3:$XFD$50,MATCH('cuadro BP'!$C23,insumos!$AF$3:$AF$50,0),MATCH('cuadro BP'!H$4,insumos!$AF$3:$XFD$3,0)),2)</f>
        <v>4.55</v>
      </c>
      <c r="I23" s="30">
        <f ca="1">ROUND(INDEX(insumos!$AF$3:$XFD$50,MATCH('cuadro BP'!$C23,insumos!$AF$3:$AF$50,0),MATCH('cuadro BP'!I$4,insumos!$AF$3:$XFD$3,0)),2)</f>
        <v>5.6</v>
      </c>
      <c r="J23" s="30">
        <f ca="1">ROUND(INDEX(insumos!$AF$3:$XFD$50,MATCH('cuadro BP'!$C23,insumos!$AF$3:$AF$50,0),MATCH('cuadro BP'!J$4,insumos!$AF$3:$XFD$3,0)),2)</f>
        <v>5.3</v>
      </c>
      <c r="K23" s="42"/>
      <c r="L23" s="42"/>
      <c r="R23" s="135"/>
      <c r="S23" s="135" t="s">
        <v>142</v>
      </c>
      <c r="T23" s="135" t="s">
        <v>26</v>
      </c>
      <c r="U23" s="135">
        <v>1.4</v>
      </c>
      <c r="V23" s="135">
        <v>0.1</v>
      </c>
      <c r="X23" s="135">
        <f t="shared" si="0"/>
        <v>0</v>
      </c>
      <c r="AA23" t="s">
        <v>142</v>
      </c>
      <c r="AB23" t="s">
        <v>26</v>
      </c>
      <c r="AC23" s="30">
        <v>1.4</v>
      </c>
      <c r="AD23">
        <v>1.2</v>
      </c>
    </row>
    <row r="24" spans="2:30" x14ac:dyDescent="0.25">
      <c r="B24" s="134" t="s">
        <v>124</v>
      </c>
      <c r="C24" s="41" t="s">
        <v>12</v>
      </c>
      <c r="D24" s="30">
        <f ca="1">ROUND(INDEX(insumos!$AF$3:$XFD$50,MATCH('cuadro BP'!$C24,insumos!$AF$3:$AF$50,0),MATCH('cuadro BP'!D$4,insumos!$AF$3:$XFD$3,0)),2)</f>
        <v>1.35</v>
      </c>
      <c r="E24" s="30">
        <f ca="1">ROUND(INDEX(insumos!$AF$3:$XFD$50,MATCH('cuadro BP'!$C24,insumos!$AF$3:$AF$50,0),MATCH('cuadro BP'!E$4,insumos!$AF$3:$XFD$3,0)),2)</f>
        <v>2.8</v>
      </c>
      <c r="F24" s="30">
        <f ca="1">ROUND(INDEX(insumos!$AF$3:$XFD$50,MATCH('cuadro BP'!$C24,insumos!$AF$3:$AF$50,0),MATCH('cuadro BP'!F$4,insumos!$AF$3:$XFD$3,0)),2)</f>
        <v>3.29</v>
      </c>
      <c r="G24" s="30">
        <f ca="1">ROUND(INDEX(insumos!$AF$3:$XFD$50,MATCH('cuadro BP'!$C24,insumos!$AF$3:$AF$50,0),MATCH('cuadro BP'!G$4,insumos!$AF$3:$XFD$3,0)),2)</f>
        <v>2.9</v>
      </c>
      <c r="H24" s="30">
        <f ca="1">ROUND(INDEX(insumos!$AF$3:$XFD$50,MATCH('cuadro BP'!$C24,insumos!$AF$3:$AF$50,0),MATCH('cuadro BP'!H$4,insumos!$AF$3:$XFD$3,0)),2)</f>
        <v>2.04</v>
      </c>
      <c r="I24" s="30">
        <f ca="1">ROUND(INDEX(insumos!$AF$3:$XFD$50,MATCH('cuadro BP'!$C24,insumos!$AF$3:$AF$50,0),MATCH('cuadro BP'!I$4,insumos!$AF$3:$XFD$3,0)),2)</f>
        <v>2.2000000000000002</v>
      </c>
      <c r="J24" s="30">
        <f ca="1">ROUND(INDEX(insumos!$AF$3:$XFD$50,MATCH('cuadro BP'!$C24,insumos!$AF$3:$AF$50,0),MATCH('cuadro BP'!J$4,insumos!$AF$3:$XFD$3,0)),2)</f>
        <v>2.2999999999999998</v>
      </c>
      <c r="K24" s="42"/>
      <c r="L24" s="42"/>
      <c r="R24" s="135"/>
      <c r="S24" s="135" t="s">
        <v>143</v>
      </c>
      <c r="T24" s="135" t="s">
        <v>27</v>
      </c>
      <c r="U24" s="135">
        <v>2.2000000000000002</v>
      </c>
      <c r="V24" s="135">
        <v>2.1</v>
      </c>
      <c r="X24" s="135">
        <f t="shared" si="0"/>
        <v>-1.4</v>
      </c>
      <c r="AA24" t="s">
        <v>143</v>
      </c>
      <c r="AB24" t="s">
        <v>27</v>
      </c>
      <c r="AC24" s="30">
        <v>3.6</v>
      </c>
      <c r="AD24">
        <v>2.0922940509726407</v>
      </c>
    </row>
    <row r="25" spans="2:30" x14ac:dyDescent="0.25">
      <c r="B25" s="134"/>
      <c r="C25" s="34" t="s">
        <v>34</v>
      </c>
      <c r="D25" s="43">
        <f ca="1">ROUND(INDEX(insumos!$AF$3:$XFD$50,MATCH('cuadro BP'!$C25,insumos!$AF$3:$AF$50,0),MATCH('cuadro BP'!D$4,insumos!$AF$3:$XFD$3,0)),2)</f>
        <v>2.9</v>
      </c>
      <c r="E25" s="43">
        <f ca="1">ROUND(INDEX(insumos!$AF$3:$XFD$50,MATCH('cuadro BP'!$C25,insumos!$AF$3:$AF$50,0),MATCH('cuadro BP'!E$4,insumos!$AF$3:$XFD$3,0)),2)</f>
        <v>1.2</v>
      </c>
      <c r="F25" s="43">
        <f ca="1">ROUND(INDEX(insumos!$AF$3:$XFD$50,MATCH('cuadro BP'!$C25,insumos!$AF$3:$AF$50,0),MATCH('cuadro BP'!F$4,insumos!$AF$3:$XFD$3,0)),2)</f>
        <v>-0.19</v>
      </c>
      <c r="G25" s="43">
        <f ca="1">ROUND(INDEX(insumos!$AF$3:$XFD$50,MATCH('cuadro BP'!$C25,insumos!$AF$3:$AF$50,0),MATCH('cuadro BP'!G$4,insumos!$AF$3:$XFD$3,0)),2)</f>
        <v>-1.1000000000000001</v>
      </c>
      <c r="H25" s="43">
        <f ca="1">ROUND(INDEX(insumos!$AF$3:$XFD$50,MATCH('cuadro BP'!$C25,insumos!$AF$3:$AF$50,0),MATCH('cuadro BP'!H$4,insumos!$AF$3:$XFD$3,0)),2)</f>
        <v>1.24</v>
      </c>
      <c r="I25" s="43">
        <f ca="1">ROUND(INDEX(insumos!$AF$3:$XFD$50,MATCH('cuadro BP'!$C25,insumos!$AF$3:$AF$50,0),MATCH('cuadro BP'!I$4,insumos!$AF$3:$XFD$3,0)),2)</f>
        <v>1.33</v>
      </c>
      <c r="J25" s="43">
        <f ca="1">ROUND(INDEX(insumos!$AF$3:$XFD$50,MATCH('cuadro BP'!$C25,insumos!$AF$3:$AF$50,0),MATCH('cuadro BP'!J$4,insumos!$AF$3:$XFD$3,0)),2)</f>
        <v>2.14</v>
      </c>
      <c r="K25" s="42"/>
      <c r="L25" s="34" t="s">
        <v>59</v>
      </c>
      <c r="R25" s="135"/>
      <c r="S25" s="135" t="s">
        <v>144</v>
      </c>
      <c r="T25" s="135" t="s">
        <v>29</v>
      </c>
      <c r="U25" s="135">
        <v>1.7</v>
      </c>
      <c r="V25" s="135">
        <v>2.8</v>
      </c>
      <c r="X25" s="135">
        <f t="shared" si="0"/>
        <v>-0.40000000000000013</v>
      </c>
      <c r="AA25" t="s">
        <v>144</v>
      </c>
      <c r="AB25" t="s">
        <v>29</v>
      </c>
      <c r="AC25" s="30">
        <v>2.1</v>
      </c>
      <c r="AD25">
        <v>2.7965147123630811</v>
      </c>
    </row>
    <row r="26" spans="2:30" x14ac:dyDescent="0.25">
      <c r="B26" s="134" t="s">
        <v>117</v>
      </c>
      <c r="C26" s="41" t="s">
        <v>1</v>
      </c>
      <c r="D26" s="30">
        <f ca="1">ROUND(INDEX(insumos!$AF$3:$XFD$50,MATCH('cuadro BP'!$C26,insumos!$AF$3:$AF$50,0),MATCH('cuadro BP'!D$4,insumos!$AF$3:$XFD$3,0)),2)</f>
        <v>-0.1</v>
      </c>
      <c r="E26" s="30">
        <f ca="1">ROUND(INDEX(insumos!$AF$3:$XFD$50,MATCH('cuadro BP'!$C26,insumos!$AF$3:$AF$50,0),MATCH('cuadro BP'!E$4,insumos!$AF$3:$XFD$3,0)),2)</f>
        <v>5.0999999999999996</v>
      </c>
      <c r="F26" s="30">
        <f ca="1">ROUND(INDEX(insumos!$AF$3:$XFD$50,MATCH('cuadro BP'!$C26,insumos!$AF$3:$AF$50,0),MATCH('cuadro BP'!F$4,insumos!$AF$3:$XFD$3,0)),2)</f>
        <v>4.0599999999999996</v>
      </c>
      <c r="G26" s="30">
        <f ca="1">ROUND(INDEX(insumos!$AF$3:$XFD$50,MATCH('cuadro BP'!$C26,insumos!$AF$3:$AF$50,0),MATCH('cuadro BP'!G$4,insumos!$AF$3:$XFD$3,0)),2)</f>
        <v>5.34</v>
      </c>
      <c r="H26" s="30">
        <f ca="1">ROUND(INDEX(insumos!$AF$3:$XFD$50,MATCH('cuadro BP'!$C26,insumos!$AF$3:$AF$50,0),MATCH('cuadro BP'!H$4,insumos!$AF$3:$XFD$3,0)),2)</f>
        <v>3.09</v>
      </c>
      <c r="I26" s="30">
        <f ca="1">ROUND(INDEX(insumos!$AF$3:$XFD$50,MATCH('cuadro BP'!$C26,insumos!$AF$3:$AF$50,0),MATCH('cuadro BP'!I$4,insumos!$AF$3:$XFD$3,0)),2)</f>
        <v>4.2</v>
      </c>
      <c r="J26" s="30">
        <f ca="1">ROUND(INDEX(insumos!$AF$3:$XFD$50,MATCH('cuadro BP'!$C26,insumos!$AF$3:$AF$50,0),MATCH('cuadro BP'!J$4,insumos!$AF$3:$XFD$3,0)),2)</f>
        <v>0</v>
      </c>
      <c r="K26" s="42"/>
      <c r="L26" s="42"/>
      <c r="R26" s="135"/>
      <c r="S26" s="135" t="s">
        <v>124</v>
      </c>
      <c r="T26" s="135" t="s">
        <v>12</v>
      </c>
      <c r="U26" s="135">
        <v>2.2999999999999998</v>
      </c>
      <c r="V26" s="135">
        <v>2.2000000000000002</v>
      </c>
      <c r="X26" s="135">
        <f t="shared" si="0"/>
        <v>0</v>
      </c>
      <c r="AA26" t="s">
        <v>124</v>
      </c>
      <c r="AB26" t="s">
        <v>12</v>
      </c>
      <c r="AC26" s="30">
        <v>2.2999999999999998</v>
      </c>
      <c r="AD26">
        <v>2.2000000000000002</v>
      </c>
    </row>
    <row r="27" spans="2:30" x14ac:dyDescent="0.25">
      <c r="B27" s="134" t="s">
        <v>147</v>
      </c>
      <c r="C27" s="41" t="s">
        <v>3</v>
      </c>
      <c r="D27" s="30">
        <f ca="1">ROUND(INDEX(insumos!$AF$3:$XFD$50,MATCH('cuadro BP'!$C27,insumos!$AF$3:$AF$50,0),MATCH('cuadro BP'!D$4,insumos!$AF$3:$XFD$3,0)),2)</f>
        <v>-0.41</v>
      </c>
      <c r="E27" s="30">
        <f ca="1">ROUND(INDEX(insumos!$AF$3:$XFD$50,MATCH('cuadro BP'!$C27,insumos!$AF$3:$AF$50,0),MATCH('cuadro BP'!E$4,insumos!$AF$3:$XFD$3,0)),2)</f>
        <v>-0.15</v>
      </c>
      <c r="F27" s="30">
        <f ca="1">ROUND(INDEX(insumos!$AF$3:$XFD$50,MATCH('cuadro BP'!$C27,insumos!$AF$3:$AF$50,0),MATCH('cuadro BP'!F$4,insumos!$AF$3:$XFD$3,0)),2)</f>
        <v>1.05</v>
      </c>
      <c r="G27" s="30">
        <f ca="1">ROUND(INDEX(insumos!$AF$3:$XFD$50,MATCH('cuadro BP'!$C27,insumos!$AF$3:$AF$50,0),MATCH('cuadro BP'!G$4,insumos!$AF$3:$XFD$3,0)),2)</f>
        <v>-1.69</v>
      </c>
      <c r="H27" s="30">
        <f ca="1">ROUND(INDEX(insumos!$AF$3:$XFD$50,MATCH('cuadro BP'!$C27,insumos!$AF$3:$AF$50,0),MATCH('cuadro BP'!H$4,insumos!$AF$3:$XFD$3,0)),2)</f>
        <v>1.44</v>
      </c>
      <c r="I27" s="30">
        <f ca="1">ROUND(INDEX(insumos!$AF$3:$XFD$50,MATCH('cuadro BP'!$C27,insumos!$AF$3:$AF$50,0),MATCH('cuadro BP'!I$4,insumos!$AF$3:$XFD$3,0)),2)</f>
        <v>2.5</v>
      </c>
      <c r="J27" s="30">
        <f ca="1">ROUND(INDEX(insumos!$AF$3:$XFD$50,MATCH('cuadro BP'!$C27,insumos!$AF$3:$AF$50,0),MATCH('cuadro BP'!J$4,insumos!$AF$3:$XFD$3,0)),2)</f>
        <v>0</v>
      </c>
      <c r="K27" s="42"/>
      <c r="L27" s="42"/>
      <c r="R27" s="135"/>
      <c r="S27" s="135" t="s">
        <v>135</v>
      </c>
      <c r="T27" s="135" t="s">
        <v>21</v>
      </c>
      <c r="U27" s="135">
        <v>4.7</v>
      </c>
      <c r="V27" s="135">
        <v>4.5</v>
      </c>
      <c r="X27" s="135">
        <f t="shared" si="0"/>
        <v>0</v>
      </c>
      <c r="AA27" t="s">
        <v>135</v>
      </c>
      <c r="AB27" t="s">
        <v>21</v>
      </c>
      <c r="AC27" s="30">
        <v>4.7</v>
      </c>
      <c r="AD27">
        <v>4.9000000000000004</v>
      </c>
    </row>
    <row r="28" spans="2:30" x14ac:dyDescent="0.25">
      <c r="B28" s="134" t="s">
        <v>137</v>
      </c>
      <c r="C28" s="41" t="s">
        <v>5</v>
      </c>
      <c r="D28" s="30">
        <f ca="1">ROUND(INDEX(insumos!$AF$3:$XFD$50,MATCH('cuadro BP'!$C28,insumos!$AF$3:$AF$50,0),MATCH('cuadro BP'!D$4,insumos!$AF$3:$XFD$3,0)),2)</f>
        <v>0.01</v>
      </c>
      <c r="E28" s="30">
        <f ca="1">ROUND(INDEX(insumos!$AF$3:$XFD$50,MATCH('cuadro BP'!$C28,insumos!$AF$3:$AF$50,0),MATCH('cuadro BP'!E$4,insumos!$AF$3:$XFD$3,0)),2)</f>
        <v>0.02</v>
      </c>
      <c r="F28" s="30">
        <f ca="1">ROUND(INDEX(insumos!$AF$3:$XFD$50,MATCH('cuadro BP'!$C28,insumos!$AF$3:$AF$50,0),MATCH('cuadro BP'!F$4,insumos!$AF$3:$XFD$3,0)),2)</f>
        <v>0.9</v>
      </c>
      <c r="G28" s="30">
        <f ca="1">ROUND(INDEX(insumos!$AF$3:$XFD$50,MATCH('cuadro BP'!$C28,insumos!$AF$3:$AF$50,0),MATCH('cuadro BP'!G$4,insumos!$AF$3:$XFD$3,0)),2)</f>
        <v>2.0099999999999998</v>
      </c>
      <c r="H28" s="30">
        <f ca="1">ROUND(INDEX(insumos!$AF$3:$XFD$50,MATCH('cuadro BP'!$C28,insumos!$AF$3:$AF$50,0),MATCH('cuadro BP'!H$4,insumos!$AF$3:$XFD$3,0)),2)</f>
        <v>0.6</v>
      </c>
      <c r="I28" s="30">
        <f ca="1">ROUND(INDEX(insumos!$AF$3:$XFD$50,MATCH('cuadro BP'!$C28,insumos!$AF$3:$AF$50,0),MATCH('cuadro BP'!I$4,insumos!$AF$3:$XFD$3,0)),2)</f>
        <v>0</v>
      </c>
      <c r="J28" s="30">
        <f ca="1">ROUND(INDEX(insumos!$AF$3:$XFD$50,MATCH('cuadro BP'!$C28,insumos!$AF$3:$AF$50,0),MATCH('cuadro BP'!J$4,insumos!$AF$3:$XFD$3,0)),2)</f>
        <v>0</v>
      </c>
      <c r="K28" s="42"/>
      <c r="L28" s="42"/>
      <c r="R28" s="135"/>
      <c r="S28" s="135" t="s">
        <v>136</v>
      </c>
      <c r="T28" s="135" t="s">
        <v>22</v>
      </c>
      <c r="U28" s="135">
        <v>4.9000000000000004</v>
      </c>
      <c r="V28" s="135">
        <v>5.5</v>
      </c>
      <c r="X28" s="135">
        <f t="shared" si="0"/>
        <v>0</v>
      </c>
      <c r="AA28" t="s">
        <v>136</v>
      </c>
      <c r="AB28" t="s">
        <v>22</v>
      </c>
      <c r="AC28" s="30">
        <v>4.9000000000000004</v>
      </c>
      <c r="AD28">
        <v>5.3</v>
      </c>
    </row>
    <row r="29" spans="2:30" x14ac:dyDescent="0.25">
      <c r="B29" s="134" t="s">
        <v>138</v>
      </c>
      <c r="C29" s="41" t="s">
        <v>7</v>
      </c>
      <c r="D29" s="30">
        <f ca="1">ROUND(INDEX(insumos!$AF$3:$XFD$50,MATCH('cuadro BP'!$C29,insumos!$AF$3:$AF$50,0),MATCH('cuadro BP'!D$4,insumos!$AF$3:$XFD$3,0)),2)</f>
        <v>0.72</v>
      </c>
      <c r="E29" s="30">
        <f ca="1">ROUND(INDEX(insumos!$AF$3:$XFD$50,MATCH('cuadro BP'!$C29,insumos!$AF$3:$AF$50,0),MATCH('cuadro BP'!E$4,insumos!$AF$3:$XFD$3,0)),2)</f>
        <v>4.05</v>
      </c>
      <c r="F29" s="30">
        <f ca="1">ROUND(INDEX(insumos!$AF$3:$XFD$50,MATCH('cuadro BP'!$C29,insumos!$AF$3:$AF$50,0),MATCH('cuadro BP'!F$4,insumos!$AF$3:$XFD$3,0)),2)</f>
        <v>3.79</v>
      </c>
      <c r="G29" s="30">
        <f ca="1">ROUND(INDEX(insumos!$AF$3:$XFD$50,MATCH('cuadro BP'!$C29,insumos!$AF$3:$AF$50,0),MATCH('cuadro BP'!G$4,insumos!$AF$3:$XFD$3,0)),2)</f>
        <v>-0.49</v>
      </c>
      <c r="H29" s="30">
        <f ca="1">ROUND(INDEX(insumos!$AF$3:$XFD$50,MATCH('cuadro BP'!$C29,insumos!$AF$3:$AF$50,0),MATCH('cuadro BP'!H$4,insumos!$AF$3:$XFD$3,0)),2)</f>
        <v>0.71</v>
      </c>
      <c r="I29" s="30">
        <f ca="1">ROUND(INDEX(insumos!$AF$3:$XFD$50,MATCH('cuadro BP'!$C29,insumos!$AF$3:$AF$50,0),MATCH('cuadro BP'!I$4,insumos!$AF$3:$XFD$3,0)),2)</f>
        <v>2.6</v>
      </c>
      <c r="J29" s="30">
        <f ca="1">ROUND(INDEX(insumos!$AF$3:$XFD$50,MATCH('cuadro BP'!$C29,insumos!$AF$3:$AF$50,0),MATCH('cuadro BP'!J$4,insumos!$AF$3:$XFD$3,0)),2)</f>
        <v>0</v>
      </c>
      <c r="K29" s="42"/>
      <c r="L29" s="42"/>
      <c r="R29" s="135"/>
      <c r="S29" s="135" t="s">
        <v>126</v>
      </c>
      <c r="T29" s="135" t="s">
        <v>15</v>
      </c>
      <c r="U29" s="135">
        <v>4</v>
      </c>
      <c r="V29" s="135">
        <v>2.5</v>
      </c>
      <c r="X29" s="135">
        <f t="shared" si="0"/>
        <v>0.10000000000000009</v>
      </c>
      <c r="AA29" t="s">
        <v>126</v>
      </c>
      <c r="AB29" t="s">
        <v>15</v>
      </c>
      <c r="AC29" s="30">
        <v>3.9</v>
      </c>
      <c r="AD29">
        <v>2.5</v>
      </c>
    </row>
    <row r="30" spans="2:30" x14ac:dyDescent="0.25">
      <c r="B30" s="134" t="s">
        <v>139</v>
      </c>
      <c r="C30" s="41" t="s">
        <v>20</v>
      </c>
      <c r="D30" s="30">
        <f ca="1">ROUND(INDEX(insumos!$AF$3:$XFD$50,MATCH('cuadro BP'!$C30,insumos!$AF$3:$AF$50,0),MATCH('cuadro BP'!D$4,insumos!$AF$3:$XFD$3,0)),2)</f>
        <v>-0.61</v>
      </c>
      <c r="E30" s="30">
        <f ca="1">ROUND(INDEX(insumos!$AF$3:$XFD$50,MATCH('cuadro BP'!$C30,insumos!$AF$3:$AF$50,0),MATCH('cuadro BP'!E$4,insumos!$AF$3:$XFD$3,0)),2)</f>
        <v>4.3899999999999997</v>
      </c>
      <c r="F30" s="30">
        <f ca="1">ROUND(INDEX(insumos!$AF$3:$XFD$50,MATCH('cuadro BP'!$C30,insumos!$AF$3:$AF$50,0),MATCH('cuadro BP'!F$4,insumos!$AF$3:$XFD$3,0)),2)</f>
        <v>-2.5499999999999998</v>
      </c>
      <c r="G30" s="30">
        <f ca="1">ROUND(INDEX(insumos!$AF$3:$XFD$50,MATCH('cuadro BP'!$C30,insumos!$AF$3:$AF$50,0),MATCH('cuadro BP'!G$4,insumos!$AF$3:$XFD$3,0)),2)</f>
        <v>2.52</v>
      </c>
      <c r="H30" s="30">
        <f ca="1">ROUND(INDEX(insumos!$AF$3:$XFD$50,MATCH('cuadro BP'!$C30,insumos!$AF$3:$AF$50,0),MATCH('cuadro BP'!H$4,insumos!$AF$3:$XFD$3,0)),2)</f>
        <v>-9.5299999999999994</v>
      </c>
      <c r="I30" s="30">
        <f ca="1">ROUND(INDEX(insumos!$AF$3:$XFD$50,MATCH('cuadro BP'!$C30,insumos!$AF$3:$AF$50,0),MATCH('cuadro BP'!I$4,insumos!$AF$3:$XFD$3,0)),2)</f>
        <v>-6.4</v>
      </c>
      <c r="J30" s="30">
        <f ca="1">ROUND(INDEX(insumos!$AF$3:$XFD$50,MATCH('cuadro BP'!$C30,insumos!$AF$3:$AF$50,0),MATCH('cuadro BP'!J$4,insumos!$AF$3:$XFD$3,0)),2)</f>
        <v>0</v>
      </c>
      <c r="K30" s="42"/>
      <c r="L30" s="42"/>
      <c r="R30" s="135"/>
      <c r="S30" s="135" t="s">
        <v>125</v>
      </c>
      <c r="T30" s="135" t="s">
        <v>13</v>
      </c>
      <c r="U30" s="135">
        <v>4.0999999999999996</v>
      </c>
      <c r="V30" s="135">
        <v>4</v>
      </c>
      <c r="X30" s="135">
        <f t="shared" si="0"/>
        <v>9.9999999999999645E-2</v>
      </c>
      <c r="AA30" t="s">
        <v>125</v>
      </c>
      <c r="AB30" t="s">
        <v>13</v>
      </c>
      <c r="AC30" s="30">
        <v>4</v>
      </c>
      <c r="AD30">
        <v>4</v>
      </c>
    </row>
    <row r="31" spans="2:30" x14ac:dyDescent="0.25">
      <c r="B31" s="134" t="s">
        <v>140</v>
      </c>
      <c r="C31" s="41" t="s">
        <v>23</v>
      </c>
      <c r="D31" s="30">
        <f ca="1">ROUND(INDEX(insumos!$AF$3:$XFD$50,MATCH('cuadro BP'!$C31,insumos!$AF$3:$AF$50,0),MATCH('cuadro BP'!D$4,insumos!$AF$3:$XFD$3,0)),2)</f>
        <v>2.35</v>
      </c>
      <c r="E31" s="30">
        <f ca="1">ROUND(INDEX(insumos!$AF$3:$XFD$50,MATCH('cuadro BP'!$C31,insumos!$AF$3:$AF$50,0),MATCH('cuadro BP'!E$4,insumos!$AF$3:$XFD$3,0)),2)</f>
        <v>7.34</v>
      </c>
      <c r="F31" s="30">
        <f ca="1">ROUND(INDEX(insumos!$AF$3:$XFD$50,MATCH('cuadro BP'!$C31,insumos!$AF$3:$AF$50,0),MATCH('cuadro BP'!F$4,insumos!$AF$3:$XFD$3,0)),2)</f>
        <v>6.44</v>
      </c>
      <c r="G31" s="30">
        <f ca="1">ROUND(INDEX(insumos!$AF$3:$XFD$50,MATCH('cuadro BP'!$C31,insumos!$AF$3:$AF$50,0),MATCH('cuadro BP'!G$4,insumos!$AF$3:$XFD$3,0)),2)</f>
        <v>3.74</v>
      </c>
      <c r="H31" s="30">
        <f ca="1">ROUND(INDEX(insumos!$AF$3:$XFD$50,MATCH('cuadro BP'!$C31,insumos!$AF$3:$AF$50,0),MATCH('cuadro BP'!H$4,insumos!$AF$3:$XFD$3,0)),2)</f>
        <v>5.0599999999999996</v>
      </c>
      <c r="I31" s="30">
        <f ca="1">ROUND(INDEX(insumos!$AF$3:$XFD$50,MATCH('cuadro BP'!$C31,insumos!$AF$3:$AF$50,0),MATCH('cuadro BP'!I$4,insumos!$AF$3:$XFD$3,0)),2)</f>
        <v>3.5</v>
      </c>
      <c r="J31" s="30">
        <f ca="1">ROUND(INDEX(insumos!$AF$3:$XFD$50,MATCH('cuadro BP'!$C31,insumos!$AF$3:$AF$50,0),MATCH('cuadro BP'!J$4,insumos!$AF$3:$XFD$3,0)),2)</f>
        <v>0</v>
      </c>
      <c r="K31" s="42"/>
      <c r="L31" s="42"/>
      <c r="R31" s="135"/>
      <c r="S31" s="135" t="s">
        <v>131</v>
      </c>
      <c r="T31" s="135" t="s">
        <v>14</v>
      </c>
      <c r="U31" s="135">
        <v>2.4</v>
      </c>
      <c r="V31" s="135">
        <v>2.4</v>
      </c>
      <c r="X31" s="135">
        <f t="shared" si="0"/>
        <v>0</v>
      </c>
      <c r="AA31" t="s">
        <v>131</v>
      </c>
      <c r="AB31" t="s">
        <v>14</v>
      </c>
      <c r="AC31" s="30">
        <v>2.4</v>
      </c>
      <c r="AD31">
        <v>2.4</v>
      </c>
    </row>
    <row r="32" spans="2:30" x14ac:dyDescent="0.25">
      <c r="B32" s="134" t="s">
        <v>141</v>
      </c>
      <c r="C32" s="41" t="s">
        <v>24</v>
      </c>
      <c r="D32" s="30">
        <f ca="1">ROUND(INDEX(insumos!$AF$3:$XFD$50,MATCH('cuadro BP'!$C32,insumos!$AF$3:$AF$50,0),MATCH('cuadro BP'!D$4,insumos!$AF$3:$XFD$3,0)),2)</f>
        <v>5.0199999999999996</v>
      </c>
      <c r="E32" s="30">
        <f ca="1">ROUND(INDEX(insumos!$AF$3:$XFD$50,MATCH('cuadro BP'!$C32,insumos!$AF$3:$AF$50,0),MATCH('cuadro BP'!E$4,insumos!$AF$3:$XFD$3,0)),2)</f>
        <v>3.9</v>
      </c>
      <c r="F32" s="30">
        <f ca="1">ROUND(INDEX(insumos!$AF$3:$XFD$50,MATCH('cuadro BP'!$C32,insumos!$AF$3:$AF$50,0),MATCH('cuadro BP'!F$4,insumos!$AF$3:$XFD$3,0)),2)</f>
        <v>3.05</v>
      </c>
      <c r="G32" s="30">
        <f ca="1">ROUND(INDEX(insumos!$AF$3:$XFD$50,MATCH('cuadro BP'!$C32,insumos!$AF$3:$AF$50,0),MATCH('cuadro BP'!G$4,insumos!$AF$3:$XFD$3,0)),2)</f>
        <v>3.36</v>
      </c>
      <c r="H32" s="30">
        <f ca="1">ROUND(INDEX(insumos!$AF$3:$XFD$50,MATCH('cuadro BP'!$C32,insumos!$AF$3:$AF$50,0),MATCH('cuadro BP'!H$4,insumos!$AF$3:$XFD$3,0)),2)</f>
        <v>2.17</v>
      </c>
      <c r="I32" s="30">
        <f ca="1">ROUND(INDEX(insumos!$AF$3:$XFD$50,MATCH('cuadro BP'!$C32,insumos!$AF$3:$AF$50,0),MATCH('cuadro BP'!I$4,insumos!$AF$3:$XFD$3,0)),2)</f>
        <v>3</v>
      </c>
      <c r="J32" s="30">
        <f ca="1">ROUND(INDEX(insumos!$AF$3:$XFD$50,MATCH('cuadro BP'!$C32,insumos!$AF$3:$AF$50,0),MATCH('cuadro BP'!J$4,insumos!$AF$3:$XFD$3,0)),2)</f>
        <v>0</v>
      </c>
      <c r="K32" s="42"/>
      <c r="L32" s="42"/>
      <c r="R32" s="135"/>
      <c r="S32" s="135" t="s">
        <v>146</v>
      </c>
      <c r="T32" s="135" t="s">
        <v>30</v>
      </c>
      <c r="U32" s="135">
        <v>-10.5</v>
      </c>
      <c r="V32" s="135">
        <v>-0.7</v>
      </c>
      <c r="X32" s="135">
        <f t="shared" si="0"/>
        <v>-9.9999999999999645E-2</v>
      </c>
      <c r="AA32" t="s">
        <v>146</v>
      </c>
      <c r="AB32" t="s">
        <v>30</v>
      </c>
      <c r="AC32" s="30">
        <v>-10.4</v>
      </c>
      <c r="AD32">
        <v>-0.7</v>
      </c>
    </row>
    <row r="33" spans="2:30" x14ac:dyDescent="0.25">
      <c r="B33" s="134" t="s">
        <v>142</v>
      </c>
      <c r="C33" s="41" t="s">
        <v>26</v>
      </c>
      <c r="D33" s="30">
        <f ca="1">ROUND(INDEX(insumos!$AF$3:$XFD$50,MATCH('cuadro BP'!$C33,insumos!$AF$3:$AF$50,0),MATCH('cuadro BP'!D$4,insumos!$AF$3:$XFD$3,0)),2)</f>
        <v>0.5</v>
      </c>
      <c r="E33" s="30">
        <f ca="1">ROUND(INDEX(insumos!$AF$3:$XFD$50,MATCH('cuadro BP'!$C33,insumos!$AF$3:$AF$50,0),MATCH('cuadro BP'!E$4,insumos!$AF$3:$XFD$3,0)),2)</f>
        <v>0.68</v>
      </c>
      <c r="F33" s="30">
        <f ca="1">ROUND(INDEX(insumos!$AF$3:$XFD$50,MATCH('cuadro BP'!$C33,insumos!$AF$3:$AF$50,0),MATCH('cuadro BP'!F$4,insumos!$AF$3:$XFD$3,0)),2)</f>
        <v>0.89</v>
      </c>
      <c r="G33" s="30">
        <f ca="1">ROUND(INDEX(insumos!$AF$3:$XFD$50,MATCH('cuadro BP'!$C33,insumos!$AF$3:$AF$50,0),MATCH('cuadro BP'!G$4,insumos!$AF$3:$XFD$3,0)),2)</f>
        <v>1.37</v>
      </c>
      <c r="H33" s="30">
        <f ca="1">ROUND(INDEX(insumos!$AF$3:$XFD$50,MATCH('cuadro BP'!$C33,insumos!$AF$3:$AF$50,0),MATCH('cuadro BP'!H$4,insumos!$AF$3:$XFD$3,0)),2)</f>
        <v>0.5</v>
      </c>
      <c r="I33" s="30">
        <f ca="1">ROUND(INDEX(insumos!$AF$3:$XFD$50,MATCH('cuadro BP'!$C33,insumos!$AF$3:$AF$50,0),MATCH('cuadro BP'!I$4,insumos!$AF$3:$XFD$3,0)),2)</f>
        <v>1.3</v>
      </c>
      <c r="J33" s="30">
        <f ca="1">ROUND(INDEX(insumos!$AF$3:$XFD$50,MATCH('cuadro BP'!$C33,insumos!$AF$3:$AF$50,0),MATCH('cuadro BP'!J$4,insumos!$AF$3:$XFD$3,0)),2)</f>
        <v>0</v>
      </c>
      <c r="K33" s="42"/>
      <c r="L33" s="42"/>
      <c r="R33" s="135"/>
      <c r="S33" s="135" t="s">
        <v>148</v>
      </c>
      <c r="T33" s="135" t="s">
        <v>31</v>
      </c>
      <c r="U33" s="135">
        <v>-6</v>
      </c>
      <c r="V33" s="135">
        <v>-2.2999999999999998</v>
      </c>
      <c r="X33" s="135">
        <f t="shared" si="0"/>
        <v>-3.7</v>
      </c>
      <c r="AA33" t="s">
        <v>148</v>
      </c>
      <c r="AB33" t="s">
        <v>31</v>
      </c>
      <c r="AC33" s="30">
        <v>-2.2999999999999998</v>
      </c>
      <c r="AD33">
        <v>-2.2999999999999998</v>
      </c>
    </row>
    <row r="34" spans="2:30" x14ac:dyDescent="0.25">
      <c r="B34" s="134" t="s">
        <v>143</v>
      </c>
      <c r="C34" s="41" t="s">
        <v>27</v>
      </c>
      <c r="D34" s="30">
        <f ca="1">ROUND(INDEX(insumos!$AF$3:$XFD$50,MATCH('cuadro BP'!$C34,insumos!$AF$3:$AF$50,0),MATCH('cuadro BP'!D$4,insumos!$AF$3:$XFD$3,0)),2)</f>
        <v>5.47</v>
      </c>
      <c r="E34" s="30">
        <f ca="1">ROUND(INDEX(insumos!$AF$3:$XFD$50,MATCH('cuadro BP'!$C34,insumos!$AF$3:$AF$50,0),MATCH('cuadro BP'!E$4,insumos!$AF$3:$XFD$3,0)),2)</f>
        <v>6.06</v>
      </c>
      <c r="F34" s="30">
        <f ca="1">ROUND(INDEX(insumos!$AF$3:$XFD$50,MATCH('cuadro BP'!$C34,insumos!$AF$3:$AF$50,0),MATCH('cuadro BP'!F$4,insumos!$AF$3:$XFD$3,0)),2)</f>
        <v>2.15</v>
      </c>
      <c r="G34" s="30">
        <f ca="1">ROUND(INDEX(insumos!$AF$3:$XFD$50,MATCH('cuadro BP'!$C34,insumos!$AF$3:$AF$50,0),MATCH('cuadro BP'!G$4,insumos!$AF$3:$XFD$3,0)),2)</f>
        <v>2.2000000000000002</v>
      </c>
      <c r="H34" s="30">
        <f ca="1">ROUND(INDEX(insumos!$AF$3:$XFD$50,MATCH('cuadro BP'!$C34,insumos!$AF$3:$AF$50,0),MATCH('cuadro BP'!H$4,insumos!$AF$3:$XFD$3,0)),2)</f>
        <v>1.29</v>
      </c>
      <c r="I34" s="30">
        <f ca="1">ROUND(INDEX(insumos!$AF$3:$XFD$50,MATCH('cuadro BP'!$C34,insumos!$AF$3:$AF$50,0),MATCH('cuadro BP'!I$4,insumos!$AF$3:$XFD$3,0)),2)</f>
        <v>2.4</v>
      </c>
      <c r="J34" s="30">
        <f ca="1">ROUND(INDEX(insumos!$AF$3:$XFD$50,MATCH('cuadro BP'!$C34,insumos!$AF$3:$AF$50,0),MATCH('cuadro BP'!J$4,insumos!$AF$3:$XFD$3,0)),2)</f>
        <v>0</v>
      </c>
      <c r="K34" s="42"/>
      <c r="L34" s="42"/>
      <c r="R34" s="135"/>
      <c r="S34" s="135" t="s">
        <v>127</v>
      </c>
      <c r="T34" s="135" t="s">
        <v>17</v>
      </c>
      <c r="U34" s="135">
        <v>1.5</v>
      </c>
      <c r="V34" s="135">
        <v>3</v>
      </c>
      <c r="X34" s="135">
        <f t="shared" si="0"/>
        <v>0</v>
      </c>
      <c r="AA34" t="s">
        <v>127</v>
      </c>
      <c r="AB34" t="s">
        <v>17</v>
      </c>
      <c r="AC34" s="30">
        <v>1.5</v>
      </c>
      <c r="AD34">
        <v>3</v>
      </c>
    </row>
    <row r="35" spans="2:30" x14ac:dyDescent="0.25">
      <c r="B35" s="134" t="s">
        <v>145</v>
      </c>
      <c r="C35" s="41" t="s">
        <v>28</v>
      </c>
      <c r="D35" s="30">
        <f ca="1">ROUND(INDEX(insumos!$AF$3:$XFD$50,MATCH('cuadro BP'!$C35,insumos!$AF$3:$AF$50,0),MATCH('cuadro BP'!D$4,insumos!$AF$3:$XFD$3,0)),2)</f>
        <v>1.83</v>
      </c>
      <c r="E35" s="30">
        <f ca="1">ROUND(INDEX(insumos!$AF$3:$XFD$50,MATCH('cuadro BP'!$C35,insumos!$AF$3:$AF$50,0),MATCH('cuadro BP'!E$4,insumos!$AF$3:$XFD$3,0)),2)</f>
        <v>0.96</v>
      </c>
      <c r="F35" s="30">
        <f ca="1">ROUND(INDEX(insumos!$AF$3:$XFD$50,MATCH('cuadro BP'!$C35,insumos!$AF$3:$AF$50,0),MATCH('cuadro BP'!F$4,insumos!$AF$3:$XFD$3,0)),2)</f>
        <v>1.78</v>
      </c>
      <c r="G35" s="30">
        <f ca="1">ROUND(INDEX(insumos!$AF$3:$XFD$50,MATCH('cuadro BP'!$C35,insumos!$AF$3:$AF$50,0),MATCH('cuadro BP'!G$4,insumos!$AF$3:$XFD$3,0)),2)</f>
        <v>1.27</v>
      </c>
      <c r="H35" s="30">
        <f ca="1">ROUND(INDEX(insumos!$AF$3:$XFD$50,MATCH('cuadro BP'!$C35,insumos!$AF$3:$AF$50,0),MATCH('cuadro BP'!H$4,insumos!$AF$3:$XFD$3,0)),2)</f>
        <v>0.51</v>
      </c>
      <c r="I35" s="30">
        <f ca="1">ROUND(INDEX(insumos!$AF$3:$XFD$50,MATCH('cuadro BP'!$C35,insumos!$AF$3:$AF$50,0),MATCH('cuadro BP'!I$4,insumos!$AF$3:$XFD$3,0)),2)</f>
        <v>1.3</v>
      </c>
      <c r="J35" s="30">
        <f ca="1">ROUND(INDEX(insumos!$AF$3:$XFD$50,MATCH('cuadro BP'!$C35,insumos!$AF$3:$AF$50,0),MATCH('cuadro BP'!J$4,insumos!$AF$3:$XFD$3,0)),2)</f>
        <v>0</v>
      </c>
      <c r="K35" s="42"/>
      <c r="L35" s="42"/>
      <c r="R35" s="135"/>
      <c r="S35" s="135" t="s">
        <v>145</v>
      </c>
      <c r="T35" s="135" t="s">
        <v>28</v>
      </c>
      <c r="U35" s="135">
        <v>1.3</v>
      </c>
      <c r="V35" s="135">
        <v>0.8</v>
      </c>
      <c r="X35" s="135">
        <f t="shared" si="0"/>
        <v>-1.0999999999999999</v>
      </c>
      <c r="AA35" t="s">
        <v>145</v>
      </c>
      <c r="AB35" t="s">
        <v>28</v>
      </c>
      <c r="AC35" s="30">
        <v>2.4</v>
      </c>
      <c r="AD35">
        <v>0.83625076865986525</v>
      </c>
    </row>
    <row r="36" spans="2:30" x14ac:dyDescent="0.25">
      <c r="B36" s="134" t="s">
        <v>144</v>
      </c>
      <c r="C36" s="41" t="s">
        <v>29</v>
      </c>
      <c r="D36" s="30">
        <f ca="1">ROUND(INDEX(insumos!$AF$3:$XFD$50,MATCH('cuadro BP'!$C36,insumos!$AF$3:$AF$50,0),MATCH('cuadro BP'!D$4,insumos!$AF$3:$XFD$3,0)),2)</f>
        <v>-1.32</v>
      </c>
      <c r="E36" s="30">
        <f ca="1">ROUND(INDEX(insumos!$AF$3:$XFD$50,MATCH('cuadro BP'!$C36,insumos!$AF$3:$AF$50,0),MATCH('cuadro BP'!E$4,insumos!$AF$3:$XFD$3,0)),2)</f>
        <v>3.56</v>
      </c>
      <c r="F36" s="30">
        <f ca="1">ROUND(INDEX(insumos!$AF$3:$XFD$50,MATCH('cuadro BP'!$C36,insumos!$AF$3:$AF$50,0),MATCH('cuadro BP'!F$4,insumos!$AF$3:$XFD$3,0)),2)</f>
        <v>-0.93</v>
      </c>
      <c r="G36" s="30">
        <f ca="1">ROUND(INDEX(insumos!$AF$3:$XFD$50,MATCH('cuadro BP'!$C36,insumos!$AF$3:$AF$50,0),MATCH('cuadro BP'!G$4,insumos!$AF$3:$XFD$3,0)),2)</f>
        <v>3.37</v>
      </c>
      <c r="H36" s="30">
        <f ca="1">ROUND(INDEX(insumos!$AF$3:$XFD$50,MATCH('cuadro BP'!$C36,insumos!$AF$3:$AF$50,0),MATCH('cuadro BP'!H$4,insumos!$AF$3:$XFD$3,0)),2)</f>
        <v>3.82</v>
      </c>
      <c r="I36" s="30">
        <f ca="1">ROUND(INDEX(insumos!$AF$3:$XFD$50,MATCH('cuadro BP'!$C36,insumos!$AF$3:$AF$50,0),MATCH('cuadro BP'!I$4,insumos!$AF$3:$XFD$3,0)),2)</f>
        <v>2.1</v>
      </c>
      <c r="J36" s="30">
        <f ca="1">ROUND(INDEX(insumos!$AF$3:$XFD$50,MATCH('cuadro BP'!$C36,insumos!$AF$3:$AF$50,0),MATCH('cuadro BP'!J$4,insumos!$AF$3:$XFD$3,0)),2)</f>
        <v>0</v>
      </c>
      <c r="K36" s="42"/>
      <c r="L36" s="42"/>
      <c r="R36" s="135"/>
      <c r="S36" s="135" t="s">
        <v>128</v>
      </c>
      <c r="T36" s="135" t="s">
        <v>32</v>
      </c>
      <c r="U36" s="135">
        <v>0</v>
      </c>
      <c r="V36" s="135">
        <v>-8</v>
      </c>
      <c r="X36" s="135">
        <f t="shared" si="0"/>
        <v>9.6999999999999993</v>
      </c>
      <c r="AA36" t="s">
        <v>128</v>
      </c>
      <c r="AB36" t="s">
        <v>32</v>
      </c>
      <c r="AC36" s="30">
        <v>-9.6999999999999993</v>
      </c>
      <c r="AD36">
        <v>-8</v>
      </c>
    </row>
    <row r="37" spans="2:30" x14ac:dyDescent="0.25">
      <c r="B37" s="134" t="s">
        <v>146</v>
      </c>
      <c r="C37" s="41" t="s">
        <v>30</v>
      </c>
      <c r="D37" s="30">
        <f ca="1">ROUND(INDEX(insumos!$AF$3:$XFD$50,MATCH('cuadro BP'!$C37,insumos!$AF$3:$AF$50,0),MATCH('cuadro BP'!D$4,insumos!$AF$3:$XFD$3,0)),2)</f>
        <v>2.93</v>
      </c>
      <c r="E37" s="30">
        <f ca="1">ROUND(INDEX(insumos!$AF$3:$XFD$50,MATCH('cuadro BP'!$C37,insumos!$AF$3:$AF$50,0),MATCH('cuadro BP'!E$4,insumos!$AF$3:$XFD$3,0)),2)</f>
        <v>0.25</v>
      </c>
      <c r="F37" s="30">
        <f ca="1">ROUND(INDEX(insumos!$AF$3:$XFD$50,MATCH('cuadro BP'!$C37,insumos!$AF$3:$AF$50,0),MATCH('cuadro BP'!F$4,insumos!$AF$3:$XFD$3,0)),2)</f>
        <v>-2.6</v>
      </c>
      <c r="G37" s="30">
        <f ca="1">ROUND(INDEX(insumos!$AF$3:$XFD$50,MATCH('cuadro BP'!$C37,insumos!$AF$3:$AF$50,0),MATCH('cuadro BP'!G$4,insumos!$AF$3:$XFD$3,0)),2)</f>
        <v>-5.14</v>
      </c>
      <c r="H37" s="30">
        <f ca="1">ROUND(INDEX(insumos!$AF$3:$XFD$50,MATCH('cuadro BP'!$C37,insumos!$AF$3:$AF$50,0),MATCH('cuadro BP'!H$4,insumos!$AF$3:$XFD$3,0)),2)</f>
        <v>1.5</v>
      </c>
      <c r="I37" s="30">
        <f ca="1">ROUND(INDEX(insumos!$AF$3:$XFD$50,MATCH('cuadro BP'!$C37,insumos!$AF$3:$AF$50,0),MATCH('cuadro BP'!I$4,insumos!$AF$3:$XFD$3,0)),2)</f>
        <v>2.7</v>
      </c>
      <c r="J37" s="30">
        <f ca="1">ROUND(INDEX(insumos!$AF$3:$XFD$50,MATCH('cuadro BP'!$C37,insumos!$AF$3:$AF$50,0),MATCH('cuadro BP'!J$4,insumos!$AF$3:$XFD$3,0)),2)</f>
        <v>0</v>
      </c>
      <c r="K37" s="42"/>
      <c r="L37" s="42"/>
      <c r="S37" s="135"/>
      <c r="T37" s="135" t="s">
        <v>33</v>
      </c>
      <c r="U37" s="135">
        <v>-0.6</v>
      </c>
      <c r="V37" s="135">
        <v>1.2</v>
      </c>
      <c r="AB37" t="s">
        <v>34</v>
      </c>
      <c r="AC37" s="30">
        <v>-1.0413337581593463</v>
      </c>
      <c r="AD37">
        <v>1.351914092957629</v>
      </c>
    </row>
    <row r="38" spans="2:30" x14ac:dyDescent="0.25">
      <c r="B38" s="134" t="s">
        <v>148</v>
      </c>
      <c r="C38" s="41" t="s">
        <v>31</v>
      </c>
      <c r="D38" s="30">
        <f ca="1">ROUND(INDEX(insumos!$AF$3:$XFD$50,MATCH('cuadro BP'!$C38,insumos!$AF$3:$AF$50,0),MATCH('cuadro BP'!D$4,insumos!$AF$3:$XFD$3,0)),2)</f>
        <v>0.98</v>
      </c>
      <c r="E38" s="30">
        <f ca="1">ROUND(INDEX(insumos!$AF$3:$XFD$50,MATCH('cuadro BP'!$C38,insumos!$AF$3:$AF$50,0),MATCH('cuadro BP'!E$4,insumos!$AF$3:$XFD$3,0)),2)</f>
        <v>-0.25</v>
      </c>
      <c r="F38" s="30">
        <f ca="1">ROUND(INDEX(insumos!$AF$3:$XFD$50,MATCH('cuadro BP'!$C38,insumos!$AF$3:$AF$50,0),MATCH('cuadro BP'!F$4,insumos!$AF$3:$XFD$3,0)),2)</f>
        <v>1.52</v>
      </c>
      <c r="G38" s="30">
        <f ca="1">ROUND(INDEX(insumos!$AF$3:$XFD$50,MATCH('cuadro BP'!$C38,insumos!$AF$3:$AF$50,0),MATCH('cuadro BP'!G$4,insumos!$AF$3:$XFD$3,0)),2)</f>
        <v>-5.96</v>
      </c>
      <c r="H38" s="30">
        <f ca="1">ROUND(INDEX(insumos!$AF$3:$XFD$50,MATCH('cuadro BP'!$C38,insumos!$AF$3:$AF$50,0),MATCH('cuadro BP'!H$4,insumos!$AF$3:$XFD$3,0)),2)</f>
        <v>-2.34</v>
      </c>
      <c r="I38" s="30">
        <f ca="1">ROUND(INDEX(insumos!$AF$3:$XFD$50,MATCH('cuadro BP'!$C38,insumos!$AF$3:$AF$50,0),MATCH('cuadro BP'!I$4,insumos!$AF$3:$XFD$3,0)),2)</f>
        <v>1.5</v>
      </c>
      <c r="J38" s="30">
        <f ca="1">ROUND(INDEX(insumos!$AF$3:$XFD$50,MATCH('cuadro BP'!$C38,insumos!$AF$3:$AF$50,0),MATCH('cuadro BP'!J$4,insumos!$AF$3:$XFD$3,0)),2)</f>
        <v>0</v>
      </c>
      <c r="K38" s="42"/>
      <c r="L38" s="42"/>
      <c r="S38" s="135"/>
      <c r="T38" s="135" t="s">
        <v>34</v>
      </c>
      <c r="U38" s="135">
        <v>-0.6</v>
      </c>
      <c r="V38" s="135">
        <v>1.2</v>
      </c>
      <c r="AB38" t="s">
        <v>35</v>
      </c>
      <c r="AC38" s="30">
        <v>-0.82745987892286488</v>
      </c>
      <c r="AD38">
        <v>3.9138238612990151E-2</v>
      </c>
    </row>
    <row r="39" spans="2:30" x14ac:dyDescent="0.25">
      <c r="C39" s="34" t="s">
        <v>35</v>
      </c>
      <c r="D39" s="43">
        <f ca="1">ROUND(INDEX(insumos!$AF$3:$XFD$50,MATCH('cuadro BP'!$C39,insumos!$AF$3:$AF$50,0),MATCH('cuadro BP'!D$4,insumos!$AF$3:$XFD$3,0)),2)</f>
        <v>0.87</v>
      </c>
      <c r="E39" s="43">
        <f ca="1">ROUND(INDEX(insumos!$AF$3:$XFD$50,MATCH('cuadro BP'!$C39,insumos!$AF$3:$AF$50,0),MATCH('cuadro BP'!E$4,insumos!$AF$3:$XFD$3,0)),2)</f>
        <v>0.67</v>
      </c>
      <c r="F39" s="43">
        <f ca="1">ROUND(INDEX(insumos!$AF$3:$XFD$50,MATCH('cuadro BP'!$C39,insumos!$AF$3:$AF$50,0),MATCH('cuadro BP'!F$4,insumos!$AF$3:$XFD$3,0)),2)</f>
        <v>1.1200000000000001</v>
      </c>
      <c r="G39" s="43">
        <f ca="1">ROUND(INDEX(insumos!$AF$3:$XFD$50,MATCH('cuadro BP'!$C39,insumos!$AF$3:$AF$50,0),MATCH('cuadro BP'!G$4,insumos!$AF$3:$XFD$3,0)),2)</f>
        <v>-1.84</v>
      </c>
      <c r="H39" s="43">
        <f ca="1">ROUND(INDEX(insumos!$AF$3:$XFD$50,MATCH('cuadro BP'!$C39,insumos!$AF$3:$AF$50,0),MATCH('cuadro BP'!H$4,insumos!$AF$3:$XFD$3,0)),2)</f>
        <v>0</v>
      </c>
      <c r="I39" s="43">
        <f ca="1">ROUND(INDEX(insumos!$AF$3:$XFD$50,MATCH('cuadro BP'!$C39,insumos!$AF$3:$AF$50,0),MATCH('cuadro BP'!I$4,insumos!$AF$3:$XFD$3,0)),2)</f>
        <v>1.74</v>
      </c>
      <c r="J39" s="43">
        <f ca="1">ROUND(INDEX(insumos!$AF$3:$XFD$50,MATCH('cuadro BP'!$C39,insumos!$AF$3:$AF$50,0),MATCH('cuadro BP'!J$4,insumos!$AF$3:$XFD$3,0)),2)</f>
        <v>0</v>
      </c>
      <c r="L39" s="34" t="s">
        <v>60</v>
      </c>
      <c r="S39" s="135"/>
      <c r="T39" s="135" t="s">
        <v>35</v>
      </c>
      <c r="U39" s="135">
        <v>-2</v>
      </c>
      <c r="V39" s="135">
        <v>-0.2</v>
      </c>
      <c r="AB39" t="s">
        <v>33</v>
      </c>
      <c r="AC39" s="30">
        <v>-1.0389188224892876</v>
      </c>
      <c r="AD39">
        <v>1.3370593409651521</v>
      </c>
    </row>
    <row r="40" spans="2:30" x14ac:dyDescent="0.25">
      <c r="C40" s="34" t="s">
        <v>33</v>
      </c>
      <c r="D40" s="43">
        <f ca="1">ROUND(INDEX(insumos!$AF$3:$XFD$50,MATCH('cuadro BP'!$C40,insumos!$AF$3:$AF$50,0),MATCH('cuadro BP'!D$4,insumos!$AF$3:$XFD$3,0)),2)</f>
        <v>2.87</v>
      </c>
      <c r="E40" s="43">
        <f ca="1">ROUND(INDEX(insumos!$AF$3:$XFD$50,MATCH('cuadro BP'!$C40,insumos!$AF$3:$AF$50,0),MATCH('cuadro BP'!E$4,insumos!$AF$3:$XFD$3,0)),2)</f>
        <v>1.2</v>
      </c>
      <c r="F40" s="43">
        <f ca="1">ROUND(INDEX(insumos!$AF$3:$XFD$50,MATCH('cuadro BP'!$C40,insumos!$AF$3:$AF$50,0),MATCH('cuadro BP'!F$4,insumos!$AF$3:$XFD$3,0)),2)</f>
        <v>-0.18</v>
      </c>
      <c r="G40" s="43">
        <f ca="1">ROUND(INDEX(insumos!$AF$3:$XFD$50,MATCH('cuadro BP'!$C40,insumos!$AF$3:$AF$50,0),MATCH('cuadro BP'!G$4,insumos!$AF$3:$XFD$3,0)),2)</f>
        <v>-1.1100000000000001</v>
      </c>
      <c r="H40" s="43">
        <f ca="1">ROUND(INDEX(insumos!$AF$3:$XFD$50,MATCH('cuadro BP'!$C40,insumos!$AF$3:$AF$50,0),MATCH('cuadro BP'!H$4,insumos!$AF$3:$XFD$3,0)),2)</f>
        <v>1.22</v>
      </c>
      <c r="I40" s="43">
        <f ca="1">ROUND(INDEX(insumos!$AF$3:$XFD$50,MATCH('cuadro BP'!$C40,insumos!$AF$3:$AF$50,0),MATCH('cuadro BP'!I$4,insumos!$AF$3:$XFD$3,0)),2)</f>
        <v>1.33</v>
      </c>
      <c r="J40" s="43">
        <f ca="1">ROUND(INDEX(insumos!$AF$3:$XFD$50,MATCH('cuadro BP'!$C40,insumos!$AF$3:$AF$50,0),MATCH('cuadro BP'!J$4,insumos!$AF$3:$XFD$3,0)),2)</f>
        <v>2.12</v>
      </c>
      <c r="L40" s="34" t="s">
        <v>33</v>
      </c>
      <c r="AB40" t="s">
        <v>40</v>
      </c>
      <c r="AC40" s="30">
        <v>3.3081966879580094</v>
      </c>
      <c r="AD40">
        <v>3.3487920381643832</v>
      </c>
    </row>
    <row r="41" spans="2:30" x14ac:dyDescent="0.25">
      <c r="C41" s="34" t="s">
        <v>40</v>
      </c>
      <c r="D41" s="43">
        <f ca="1">ROUND(INDEX(insumos!$AF$3:$XFD$50,MATCH('cuadro BP'!$C41,insumos!$AF$3:$AF$50,0),MATCH('cuadro BP'!D$4,insumos!$AF$3:$XFD$3,0)),2)</f>
        <v>4.13</v>
      </c>
      <c r="E41" s="43">
        <f ca="1">ROUND(INDEX(insumos!$AF$3:$XFD$50,MATCH('cuadro BP'!$C41,insumos!$AF$3:$AF$50,0),MATCH('cuadro BP'!E$4,insumos!$AF$3:$XFD$3,0)),2)</f>
        <v>3.94</v>
      </c>
      <c r="F41" s="43">
        <f ca="1">ROUND(INDEX(insumos!$AF$3:$XFD$50,MATCH('cuadro BP'!$C41,insumos!$AF$3:$AF$50,0),MATCH('cuadro BP'!F$4,insumos!$AF$3:$XFD$3,0)),2)</f>
        <v>4.71</v>
      </c>
      <c r="G41" s="43">
        <f ca="1">ROUND(INDEX(insumos!$AF$3:$XFD$50,MATCH('cuadro BP'!$C41,insumos!$AF$3:$AF$50,0),MATCH('cuadro BP'!G$4,insumos!$AF$3:$XFD$3,0)),2)</f>
        <v>3.64</v>
      </c>
      <c r="H41" s="43">
        <f ca="1">ROUND(INDEX(insumos!$AF$3:$XFD$50,MATCH('cuadro BP'!$C41,insumos!$AF$3:$AF$50,0),MATCH('cuadro BP'!H$4,insumos!$AF$3:$XFD$3,0)),2)</f>
        <v>3.4</v>
      </c>
      <c r="I41" s="43">
        <f ca="1">ROUND(INDEX(insumos!$AF$3:$XFD$50,MATCH('cuadro BP'!$C41,insumos!$AF$3:$AF$50,0),MATCH('cuadro BP'!I$4,insumos!$AF$3:$XFD$3,0)),2)</f>
        <v>3.32</v>
      </c>
      <c r="J41" s="43">
        <f ca="1">ROUND(INDEX(insumos!$AF$3:$XFD$50,MATCH('cuadro BP'!$C41,insumos!$AF$3:$AF$50,0),MATCH('cuadro BP'!J$4,insumos!$AF$3:$XFD$3,0)),2)</f>
        <v>3.39</v>
      </c>
      <c r="L41" s="34" t="s">
        <v>61</v>
      </c>
      <c r="AB41" t="s">
        <v>39</v>
      </c>
      <c r="AC41" s="30">
        <v>-2.417841998294834</v>
      </c>
      <c r="AD41">
        <v>0.90584542406293433</v>
      </c>
    </row>
    <row r="42" spans="2:30" x14ac:dyDescent="0.25">
      <c r="C42" s="34" t="s">
        <v>39</v>
      </c>
      <c r="D42" s="43">
        <f ca="1">ROUND(INDEX(insumos!$AF$3:$XFD$50,MATCH('cuadro BP'!$C42,insumos!$AF$3:$AF$50,0),MATCH('cuadro BP'!D$4,insumos!$AF$3:$XFD$3,0)),2)</f>
        <v>3.25</v>
      </c>
      <c r="E42" s="43">
        <f ca="1">ROUND(INDEX(insumos!$AF$3:$XFD$50,MATCH('cuadro BP'!$C42,insumos!$AF$3:$AF$50,0),MATCH('cuadro BP'!E$4,insumos!$AF$3:$XFD$3,0)),2)</f>
        <v>0.54</v>
      </c>
      <c r="F42" s="43">
        <f ca="1">ROUND(INDEX(insumos!$AF$3:$XFD$50,MATCH('cuadro BP'!$C42,insumos!$AF$3:$AF$50,0),MATCH('cuadro BP'!F$4,insumos!$AF$3:$XFD$3,0)),2)</f>
        <v>-1.58</v>
      </c>
      <c r="G42" s="43">
        <f ca="1">ROUND(INDEX(insumos!$AF$3:$XFD$50,MATCH('cuadro BP'!$C42,insumos!$AF$3:$AF$50,0),MATCH('cuadro BP'!G$4,insumos!$AF$3:$XFD$3,0)),2)</f>
        <v>-2.71</v>
      </c>
      <c r="H42" s="43">
        <f ca="1">ROUND(INDEX(insumos!$AF$3:$XFD$50,MATCH('cuadro BP'!$C42,insumos!$AF$3:$AF$50,0),MATCH('cuadro BP'!H$4,insumos!$AF$3:$XFD$3,0)),2)</f>
        <v>0.79</v>
      </c>
      <c r="I42" s="43">
        <f ca="1">ROUND(INDEX(insumos!$AF$3:$XFD$50,MATCH('cuadro BP'!$C42,insumos!$AF$3:$AF$50,0),MATCH('cuadro BP'!I$4,insumos!$AF$3:$XFD$3,0)),2)</f>
        <v>0.86</v>
      </c>
      <c r="J42" s="43">
        <f ca="1">ROUND(INDEX(insumos!$AF$3:$XFD$50,MATCH('cuadro BP'!$C42,insumos!$AF$3:$AF$50,0),MATCH('cuadro BP'!J$4,insumos!$AF$3:$XFD$3,0)),2)</f>
        <v>1.97</v>
      </c>
      <c r="L42" s="34" t="s">
        <v>62</v>
      </c>
    </row>
  </sheetData>
  <sortState ref="S4:V39">
    <sortCondition ref="S4:S39"/>
  </sortState>
  <pageMargins left="0.34" right="0.39" top="0.75" bottom="0.75" header="0.3" footer="0.3"/>
  <pageSetup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CB513-F250-4824-B5A9-5A119E28B2E2}">
  <dimension ref="A1:J44"/>
  <sheetViews>
    <sheetView zoomScale="80" zoomScaleNormal="80" workbookViewId="0">
      <selection activeCell="D9" sqref="D9"/>
    </sheetView>
  </sheetViews>
  <sheetFormatPr defaultRowHeight="15" x14ac:dyDescent="0.25"/>
  <cols>
    <col min="1" max="1" width="9.140625" style="135"/>
    <col min="2" max="2" width="45.28515625" style="135" customWidth="1"/>
    <col min="3" max="4" width="13.85546875" style="135" customWidth="1"/>
    <col min="5" max="7" width="9.140625" style="135"/>
    <col min="8" max="8" width="45.28515625" style="135" customWidth="1"/>
    <col min="9" max="10" width="13.85546875" style="135" customWidth="1"/>
    <col min="11" max="16384" width="9.140625" style="135"/>
  </cols>
  <sheetData>
    <row r="1" spans="1:10" x14ac:dyDescent="0.25">
      <c r="B1" s="190" t="s">
        <v>53</v>
      </c>
      <c r="C1" s="178" t="s">
        <v>49</v>
      </c>
      <c r="D1" s="180"/>
      <c r="H1" s="190" t="s">
        <v>86</v>
      </c>
      <c r="I1" s="178" t="s">
        <v>87</v>
      </c>
      <c r="J1" s="180"/>
    </row>
    <row r="2" spans="1:10" x14ac:dyDescent="0.25">
      <c r="B2" s="191"/>
      <c r="C2" s="1">
        <v>2017</v>
      </c>
      <c r="D2" s="1">
        <v>2018</v>
      </c>
      <c r="H2" s="191"/>
      <c r="I2" s="1">
        <v>2017</v>
      </c>
      <c r="J2" s="1">
        <v>2018</v>
      </c>
    </row>
    <row r="3" spans="1:10" x14ac:dyDescent="0.25">
      <c r="A3" s="145" t="s">
        <v>33</v>
      </c>
      <c r="B3" s="27" t="s">
        <v>33</v>
      </c>
      <c r="C3" s="25">
        <f>ROUND(INDEX(insumos!$AE$3:$XFD$50,MATCH('TABLA CON 1.5'!$A3,insumos!$AE$3:$AE$50,0),MATCH('TABLA CON 1.5'!C$2,insumos!$AE$3:$XFD$3,0)),2)</f>
        <v>1.22</v>
      </c>
      <c r="D3" s="25">
        <v>1.5</v>
      </c>
      <c r="G3" s="145" t="s">
        <v>33</v>
      </c>
      <c r="H3" s="27" t="s">
        <v>88</v>
      </c>
      <c r="I3" s="25">
        <f>ROUND(INDEX(insumos!$AE$3:$XFD$50,MATCH('TABLA CON 1.5'!$G3,insumos!$AE$3:$AE$50,0),MATCH('TABLA CON 1.5'!I$2,insumos!$AE$3:$XFD$3,0)),2)</f>
        <v>1.22</v>
      </c>
      <c r="J3" s="25">
        <v>1.5</v>
      </c>
    </row>
    <row r="4" spans="1:10" x14ac:dyDescent="0.25">
      <c r="A4" s="145" t="s">
        <v>118</v>
      </c>
      <c r="B4" s="20" t="s">
        <v>0</v>
      </c>
      <c r="C4" s="26">
        <f>ROUND(INDEX(insumos!$AE$3:$XFD$50,MATCH('TABLA CON 1.5'!$A4,insumos!$AE$3:$AE$50,0),MATCH('TABLA CON 1.5'!C$2,insumos!$AE$3:$XFD$3,0)),2)</f>
        <v>2.85</v>
      </c>
      <c r="D4" s="26">
        <f>ROUND(INDEX(insumos!$AE$3:$XFD$50,MATCH('TABLA CON 1.5'!$A4,insumos!$AE$3:$AE$50,0),MATCH('TABLA CON 1.5'!D$2,insumos!$AE$3:$XFD$3,0)),2)</f>
        <v>-2.2999999999999998</v>
      </c>
      <c r="G4" s="145" t="s">
        <v>118</v>
      </c>
      <c r="H4" s="20" t="s">
        <v>0</v>
      </c>
      <c r="I4" s="26">
        <f>ROUND(INDEX(insumos!$AE$3:$XFD$50,MATCH('TABLA CON 1.5'!$G4,insumos!$AE$3:$AE$50,0),MATCH('TABLA CON 1.5'!I$2,insumos!$AE$3:$XFD$3,0)),2)</f>
        <v>2.85</v>
      </c>
      <c r="J4" s="26">
        <f>ROUND(INDEX(insumos!$AE$3:$XFD$50,MATCH('TABLA CON 1.5'!$G4,insumos!$AE$3:$AE$50,0),MATCH('TABLA CON 1.5'!J$2,insumos!$AE$3:$XFD$3,0)),2)</f>
        <v>-2.2999999999999998</v>
      </c>
    </row>
    <row r="5" spans="1:10" x14ac:dyDescent="0.25">
      <c r="A5" s="145" t="s">
        <v>119</v>
      </c>
      <c r="B5" s="20" t="s">
        <v>9</v>
      </c>
      <c r="C5" s="26">
        <f>ROUND(INDEX(insumos!$AE$3:$XFD$50,MATCH('TABLA CON 1.5'!$A5,insumos!$AE$3:$AE$50,0),MATCH('TABLA CON 1.5'!C$2,insumos!$AE$3:$XFD$3,0)),2)</f>
        <v>4.2</v>
      </c>
      <c r="D5" s="26">
        <f>ROUND(INDEX(insumos!$AE$3:$XFD$50,MATCH('TABLA CON 1.5'!$A5,insumos!$AE$3:$AE$50,0),MATCH('TABLA CON 1.5'!D$2,insumos!$AE$3:$XFD$3,0)),2)</f>
        <v>4.3</v>
      </c>
      <c r="G5" s="145" t="s">
        <v>119</v>
      </c>
      <c r="H5" s="20" t="s">
        <v>89</v>
      </c>
      <c r="I5" s="26">
        <f>ROUND(INDEX(insumos!$AE$3:$XFD$50,MATCH('TABLA CON 1.5'!$G5,insumos!$AE$3:$AE$50,0),MATCH('TABLA CON 1.5'!I$2,insumos!$AE$3:$XFD$3,0)),2)</f>
        <v>4.2</v>
      </c>
      <c r="J5" s="26">
        <f>ROUND(INDEX(insumos!$AE$3:$XFD$50,MATCH('TABLA CON 1.5'!$G5,insumos!$AE$3:$AE$50,0),MATCH('TABLA CON 1.5'!J$2,insumos!$AE$3:$XFD$3,0)),2)</f>
        <v>4.3</v>
      </c>
    </row>
    <row r="6" spans="1:10" x14ac:dyDescent="0.25">
      <c r="A6" s="145" t="s">
        <v>120</v>
      </c>
      <c r="B6" s="20" t="s">
        <v>2</v>
      </c>
      <c r="C6" s="26">
        <f>ROUND(INDEX(insumos!$AE$3:$XFD$50,MATCH('TABLA CON 1.5'!$A6,insumos!$AE$3:$AE$50,0),MATCH('TABLA CON 1.5'!C$2,insumos!$AE$3:$XFD$3,0)),2)</f>
        <v>0.99</v>
      </c>
      <c r="D6" s="26">
        <f>ROUND(INDEX(insumos!$AE$3:$XFD$50,MATCH('TABLA CON 1.5'!$A6,insumos!$AE$3:$AE$50,0),MATCH('TABLA CON 1.5'!D$2,insumos!$AE$3:$XFD$3,0)),2)</f>
        <v>1.4</v>
      </c>
      <c r="G6" s="145" t="s">
        <v>120</v>
      </c>
      <c r="H6" s="20" t="s">
        <v>90</v>
      </c>
      <c r="I6" s="26">
        <f>ROUND(INDEX(insumos!$AE$3:$XFD$50,MATCH('TABLA CON 1.5'!$G6,insumos!$AE$3:$AE$50,0),MATCH('TABLA CON 1.5'!I$2,insumos!$AE$3:$XFD$3,0)),2)</f>
        <v>0.99</v>
      </c>
      <c r="J6" s="26">
        <f>ROUND(INDEX(insumos!$AE$3:$XFD$50,MATCH('TABLA CON 1.5'!$G6,insumos!$AE$3:$AE$50,0),MATCH('TABLA CON 1.5'!J$2,insumos!$AE$3:$XFD$3,0)),2)</f>
        <v>1.4</v>
      </c>
    </row>
    <row r="7" spans="1:10" x14ac:dyDescent="0.25">
      <c r="A7" s="145" t="s">
        <v>121</v>
      </c>
      <c r="B7" s="20" t="s">
        <v>4</v>
      </c>
      <c r="C7" s="26">
        <f>ROUND(INDEX(insumos!$AE$3:$XFD$50,MATCH('TABLA CON 1.5'!$A7,insumos!$AE$3:$AE$50,0),MATCH('TABLA CON 1.5'!C$2,insumos!$AE$3:$XFD$3,0)),2)</f>
        <v>1.49</v>
      </c>
      <c r="D7" s="26">
        <f>ROUND(INDEX(insumos!$AE$3:$XFD$50,MATCH('TABLA CON 1.5'!$A7,insumos!$AE$3:$AE$50,0),MATCH('TABLA CON 1.5'!D$2,insumos!$AE$3:$XFD$3,0)),2)</f>
        <v>3.9</v>
      </c>
      <c r="G7" s="145" t="s">
        <v>121</v>
      </c>
      <c r="H7" s="20" t="s">
        <v>4</v>
      </c>
      <c r="I7" s="26">
        <f>ROUND(INDEX(insumos!$AE$3:$XFD$50,MATCH('TABLA CON 1.5'!$G7,insumos!$AE$3:$AE$50,0),MATCH('TABLA CON 1.5'!I$2,insumos!$AE$3:$XFD$3,0)),2)</f>
        <v>1.49</v>
      </c>
      <c r="J7" s="26">
        <f>ROUND(INDEX(insumos!$AE$3:$XFD$50,MATCH('TABLA CON 1.5'!$G7,insumos!$AE$3:$AE$50,0),MATCH('TABLA CON 1.5'!J$2,insumos!$AE$3:$XFD$3,0)),2)</f>
        <v>3.9</v>
      </c>
    </row>
    <row r="8" spans="1:10" x14ac:dyDescent="0.25">
      <c r="A8" s="145" t="s">
        <v>122</v>
      </c>
      <c r="B8" s="20" t="s">
        <v>6</v>
      </c>
      <c r="C8" s="26">
        <f>ROUND(INDEX(insumos!$AE$3:$XFD$50,MATCH('TABLA CON 1.5'!$A8,insumos!$AE$3:$AE$50,0),MATCH('TABLA CON 1.5'!C$2,insumos!$AE$3:$XFD$3,0)),2)</f>
        <v>1.79</v>
      </c>
      <c r="D8" s="26">
        <f>ROUND(INDEX(insumos!$AE$3:$XFD$50,MATCH('TABLA CON 1.5'!$A8,insumos!$AE$3:$AE$50,0),MATCH('TABLA CON 1.5'!D$2,insumos!$AE$3:$XFD$3,0)),2)</f>
        <v>2.7</v>
      </c>
      <c r="G8" s="145" t="s">
        <v>122</v>
      </c>
      <c r="H8" s="20" t="s">
        <v>6</v>
      </c>
      <c r="I8" s="26">
        <f>ROUND(INDEX(insumos!$AE$3:$XFD$50,MATCH('TABLA CON 1.5'!$G8,insumos!$AE$3:$AE$50,0),MATCH('TABLA CON 1.5'!I$2,insumos!$AE$3:$XFD$3,0)),2)</f>
        <v>1.79</v>
      </c>
      <c r="J8" s="26">
        <f>ROUND(INDEX(insumos!$AE$3:$XFD$50,MATCH('TABLA CON 1.5'!$G8,insumos!$AE$3:$AE$50,0),MATCH('TABLA CON 1.5'!J$2,insumos!$AE$3:$XFD$3,0)),2)</f>
        <v>2.7</v>
      </c>
    </row>
    <row r="9" spans="1:10" x14ac:dyDescent="0.25">
      <c r="A9" s="145" t="s">
        <v>123</v>
      </c>
      <c r="B9" s="20" t="s">
        <v>10</v>
      </c>
      <c r="C9" s="26">
        <f>ROUND(INDEX(insumos!$AE$3:$XFD$50,MATCH('TABLA CON 1.5'!$A9,insumos!$AE$3:$AE$50,0),MATCH('TABLA CON 1.5'!C$2,insumos!$AE$3:$XFD$3,0)),2)</f>
        <v>3</v>
      </c>
      <c r="D9" s="26">
        <f>ROUND(INDEX(insumos!$AE$3:$XFD$50,MATCH('TABLA CON 1.5'!$A9,insumos!$AE$3:$AE$50,0),MATCH('TABLA CON 1.5'!D$2,insumos!$AE$3:$XFD$3,0)),2)</f>
        <v>1.5</v>
      </c>
      <c r="G9" s="145" t="s">
        <v>123</v>
      </c>
      <c r="H9" s="20" t="s">
        <v>10</v>
      </c>
      <c r="I9" s="26">
        <f>ROUND(INDEX(insumos!$AE$3:$XFD$50,MATCH('TABLA CON 1.5'!$G9,insumos!$AE$3:$AE$50,0),MATCH('TABLA CON 1.5'!I$2,insumos!$AE$3:$XFD$3,0)),2)</f>
        <v>3</v>
      </c>
      <c r="J9" s="26">
        <f>ROUND(INDEX(insumos!$AE$3:$XFD$50,MATCH('TABLA CON 1.5'!$G9,insumos!$AE$3:$AE$50,0),MATCH('TABLA CON 1.5'!J$2,insumos!$AE$3:$XFD$3,0)),2)</f>
        <v>1.5</v>
      </c>
    </row>
    <row r="10" spans="1:10" x14ac:dyDescent="0.25">
      <c r="A10" s="145" t="s">
        <v>125</v>
      </c>
      <c r="B10" s="20" t="s">
        <v>13</v>
      </c>
      <c r="C10" s="26">
        <f>ROUND(INDEX(insumos!$AE$3:$XFD$50,MATCH('TABLA CON 1.5'!$A10,insumos!$AE$3:$AE$50,0),MATCH('TABLA CON 1.5'!C$2,insumos!$AE$3:$XFD$3,0)),2)</f>
        <v>4.76</v>
      </c>
      <c r="D10" s="26">
        <f>ROUND(INDEX(insumos!$AE$3:$XFD$50,MATCH('TABLA CON 1.5'!$A10,insumos!$AE$3:$AE$50,0),MATCH('TABLA CON 1.5'!D$2,insumos!$AE$3:$XFD$3,0)),2)</f>
        <v>4.5999999999999996</v>
      </c>
      <c r="G10" s="145" t="s">
        <v>125</v>
      </c>
      <c r="H10" s="20" t="s">
        <v>13</v>
      </c>
      <c r="I10" s="26">
        <f>ROUND(INDEX(insumos!$AE$3:$XFD$50,MATCH('TABLA CON 1.5'!$G10,insumos!$AE$3:$AE$50,0),MATCH('TABLA CON 1.5'!I$2,insumos!$AE$3:$XFD$3,0)),2)</f>
        <v>4.76</v>
      </c>
      <c r="J10" s="26">
        <f>ROUND(INDEX(insumos!$AE$3:$XFD$50,MATCH('TABLA CON 1.5'!$G10,insumos!$AE$3:$AE$50,0),MATCH('TABLA CON 1.5'!J$2,insumos!$AE$3:$XFD$3,0)),2)</f>
        <v>4.5999999999999996</v>
      </c>
    </row>
    <row r="11" spans="1:10" x14ac:dyDescent="0.25">
      <c r="A11" s="145" t="s">
        <v>126</v>
      </c>
      <c r="B11" s="20" t="s">
        <v>15</v>
      </c>
      <c r="C11" s="26">
        <f>ROUND(INDEX(insumos!$AE$3:$XFD$50,MATCH('TABLA CON 1.5'!$A11,insumos!$AE$3:$AE$50,0),MATCH('TABLA CON 1.5'!C$2,insumos!$AE$3:$XFD$3,0)),2)</f>
        <v>2.5299999999999998</v>
      </c>
      <c r="D11" s="26">
        <f>ROUND(INDEX(insumos!$AE$3:$XFD$50,MATCH('TABLA CON 1.5'!$A11,insumos!$AE$3:$AE$50,0),MATCH('TABLA CON 1.5'!D$2,insumos!$AE$3:$XFD$3,0)),2)</f>
        <v>4</v>
      </c>
      <c r="G11" s="145" t="s">
        <v>126</v>
      </c>
      <c r="H11" s="20" t="s">
        <v>91</v>
      </c>
      <c r="I11" s="26">
        <f>ROUND(INDEX(insumos!$AE$3:$XFD$50,MATCH('TABLA CON 1.5'!$G11,insumos!$AE$3:$AE$50,0),MATCH('TABLA CON 1.5'!I$2,insumos!$AE$3:$XFD$3,0)),2)</f>
        <v>2.5299999999999998</v>
      </c>
      <c r="J11" s="26">
        <f>ROUND(INDEX(insumos!$AE$3:$XFD$50,MATCH('TABLA CON 1.5'!$G11,insumos!$AE$3:$AE$50,0),MATCH('TABLA CON 1.5'!J$2,insumos!$AE$3:$XFD$3,0)),2)</f>
        <v>4</v>
      </c>
    </row>
    <row r="12" spans="1:10" x14ac:dyDescent="0.25">
      <c r="A12" s="145" t="s">
        <v>127</v>
      </c>
      <c r="B12" s="20" t="s">
        <v>17</v>
      </c>
      <c r="C12" s="26">
        <f>ROUND(INDEX(insumos!$AE$3:$XFD$50,MATCH('TABLA CON 1.5'!$A12,insumos!$AE$3:$AE$50,0),MATCH('TABLA CON 1.5'!C$2,insumos!$AE$3:$XFD$3,0)),2)</f>
        <v>2.66</v>
      </c>
      <c r="D12" s="26">
        <f>ROUND(INDEX(insumos!$AE$3:$XFD$50,MATCH('TABLA CON 1.5'!$A12,insumos!$AE$3:$AE$50,0),MATCH('TABLA CON 1.5'!D$2,insumos!$AE$3:$XFD$3,0)),2)</f>
        <v>2.2999999999999998</v>
      </c>
      <c r="G12" s="145" t="s">
        <v>127</v>
      </c>
      <c r="H12" s="20" t="s">
        <v>17</v>
      </c>
      <c r="I12" s="26">
        <f>ROUND(INDEX(insumos!$AE$3:$XFD$50,MATCH('TABLA CON 1.5'!$G12,insumos!$AE$3:$AE$50,0),MATCH('TABLA CON 1.5'!I$2,insumos!$AE$3:$XFD$3,0)),2)</f>
        <v>2.66</v>
      </c>
      <c r="J12" s="26">
        <f>ROUND(INDEX(insumos!$AE$3:$XFD$50,MATCH('TABLA CON 1.5'!$G12,insumos!$AE$3:$AE$50,0),MATCH('TABLA CON 1.5'!J$2,insumos!$AE$3:$XFD$3,0)),2)</f>
        <v>2.2999999999999998</v>
      </c>
    </row>
    <row r="13" spans="1:10" x14ac:dyDescent="0.25">
      <c r="A13" s="145" t="s">
        <v>128</v>
      </c>
      <c r="B13" s="20" t="s">
        <v>32</v>
      </c>
      <c r="C13" s="26">
        <f>ROUND(INDEX(insumos!$AE$3:$XFD$50,MATCH('TABLA CON 1.5'!$A13,insumos!$AE$3:$AE$50,0),MATCH('TABLA CON 1.5'!C$2,insumos!$AE$3:$XFD$3,0)),2)</f>
        <v>-13</v>
      </c>
      <c r="D13" s="26">
        <f>ROUND(INDEX(insumos!$AE$3:$XFD$50,MATCH('TABLA CON 1.5'!$A13,insumos!$AE$3:$AE$50,0),MATCH('TABLA CON 1.5'!D$2,insumos!$AE$3:$XFD$3,0)),2)</f>
        <v>-12</v>
      </c>
      <c r="G13" s="145" t="s">
        <v>128</v>
      </c>
      <c r="H13" s="20" t="s">
        <v>92</v>
      </c>
      <c r="I13" s="26">
        <f>ROUND(INDEX(insumos!$AE$3:$XFD$50,MATCH('TABLA CON 1.5'!$G13,insumos!$AE$3:$AE$50,0),MATCH('TABLA CON 1.5'!I$2,insumos!$AE$3:$XFD$3,0)),2)</f>
        <v>-13</v>
      </c>
      <c r="J13" s="26">
        <f>ROUND(INDEX(insumos!$AE$3:$XFD$50,MATCH('TABLA CON 1.5'!$G13,insumos!$AE$3:$AE$50,0),MATCH('TABLA CON 1.5'!J$2,insumos!$AE$3:$XFD$3,0)),2)</f>
        <v>-12</v>
      </c>
    </row>
    <row r="14" spans="1:10" x14ac:dyDescent="0.25">
      <c r="A14" s="145" t="s">
        <v>39</v>
      </c>
      <c r="B14" s="28" t="s">
        <v>39</v>
      </c>
      <c r="C14" s="25">
        <f>ROUND(INDEX(insumos!$AE$3:$XFD$50,MATCH('TABLA CON 1.5'!$A14,insumos!$AE$3:$AE$50,0),MATCH('TABLA CON 1.5'!C$2,insumos!$AE$3:$XFD$3,0)),2)</f>
        <v>0.79</v>
      </c>
      <c r="D14" s="25">
        <f>ROUND(INDEX(insumos!$AE$3:$XFD$50,MATCH('TABLA CON 1.5'!$A14,insumos!$AE$3:$AE$50,0),MATCH('TABLA CON 1.5'!D$2,insumos!$AE$3:$XFD$3,0)),2)</f>
        <v>0.86</v>
      </c>
      <c r="G14" s="145" t="s">
        <v>39</v>
      </c>
      <c r="H14" s="28" t="s">
        <v>93</v>
      </c>
      <c r="I14" s="25">
        <f>ROUND(INDEX(insumos!$AE$3:$XFD$50,MATCH('TABLA CON 1.5'!$G14,insumos!$AE$3:$AE$50,0),MATCH('TABLA CON 1.5'!I$2,insumos!$AE$3:$XFD$3,0)),2)</f>
        <v>0.79</v>
      </c>
      <c r="J14" s="25">
        <f>ROUND(INDEX(insumos!$AE$3:$XFD$50,MATCH('TABLA CON 1.5'!$G14,insumos!$AE$3:$AE$50,0),MATCH('TABLA CON 1.5'!J$2,insumos!$AE$3:$XFD$3,0)),2)</f>
        <v>0.86</v>
      </c>
    </row>
    <row r="15" spans="1:10" x14ac:dyDescent="0.25">
      <c r="A15" s="145" t="s">
        <v>129</v>
      </c>
      <c r="B15" s="20" t="s">
        <v>8</v>
      </c>
      <c r="C15" s="26">
        <f>ROUND(INDEX(insumos!$AE$3:$XFD$50,MATCH('TABLA CON 1.5'!$A15,insumos!$AE$3:$AE$50,0),MATCH('TABLA CON 1.5'!C$2,insumos!$AE$3:$XFD$3,0)),2)</f>
        <v>3.19</v>
      </c>
      <c r="D15" s="26">
        <f>ROUND(INDEX(insumos!$AE$3:$XFD$50,MATCH('TABLA CON 1.5'!$A15,insumos!$AE$3:$AE$50,0),MATCH('TABLA CON 1.5'!D$2,insumos!$AE$3:$XFD$3,0)),2)</f>
        <v>3.2</v>
      </c>
      <c r="G15" s="145" t="s">
        <v>129</v>
      </c>
      <c r="H15" s="20" t="s">
        <v>8</v>
      </c>
      <c r="I15" s="26">
        <f>ROUND(INDEX(insumos!$AE$3:$XFD$50,MATCH('TABLA CON 1.5'!$G15,insumos!$AE$3:$AE$50,0),MATCH('TABLA CON 1.5'!I$2,insumos!$AE$3:$XFD$3,0)),2)</f>
        <v>3.19</v>
      </c>
      <c r="J15" s="26">
        <f>ROUND(INDEX(insumos!$AE$3:$XFD$50,MATCH('TABLA CON 1.5'!$G15,insumos!$AE$3:$AE$50,0),MATCH('TABLA CON 1.5'!J$2,insumos!$AE$3:$XFD$3,0)),2)</f>
        <v>3.2</v>
      </c>
    </row>
    <row r="16" spans="1:10" x14ac:dyDescent="0.25">
      <c r="A16" s="145" t="s">
        <v>149</v>
      </c>
      <c r="B16" s="20" t="s">
        <v>11</v>
      </c>
      <c r="C16" s="26">
        <f>ROUND(INDEX(insumos!$AE$3:$XFD$50,MATCH('TABLA CON 1.5'!$A16,insumos!$AE$3:$AE$50,0),MATCH('TABLA CON 1.5'!C$2,insumos!$AE$3:$XFD$3,0)),2)</f>
        <v>1.6</v>
      </c>
      <c r="D16" s="26">
        <f>ROUND(INDEX(insumos!$AE$3:$XFD$50,MATCH('TABLA CON 1.5'!$A16,insumos!$AE$3:$AE$50,0),MATCH('TABLA CON 1.5'!D$2,insumos!$AE$3:$XFD$3,0)),2)</f>
        <v>1.5</v>
      </c>
      <c r="G16" s="145" t="s">
        <v>149</v>
      </c>
      <c r="H16" s="20" t="s">
        <v>11</v>
      </c>
      <c r="I16" s="26">
        <f>ROUND(INDEX(insumos!$AE$3:$XFD$50,MATCH('TABLA CON 1.5'!$G16,insumos!$AE$3:$AE$50,0),MATCH('TABLA CON 1.5'!I$2,insumos!$AE$3:$XFD$3,0)),2)</f>
        <v>1.6</v>
      </c>
      <c r="J16" s="26">
        <f>ROUND(INDEX(insumos!$AE$3:$XFD$50,MATCH('TABLA CON 1.5'!$G16,insumos!$AE$3:$AE$50,0),MATCH('TABLA CON 1.5'!J$2,insumos!$AE$3:$XFD$3,0)),2)</f>
        <v>1.5</v>
      </c>
    </row>
    <row r="17" spans="1:10" x14ac:dyDescent="0.25">
      <c r="A17" s="145" t="s">
        <v>131</v>
      </c>
      <c r="B17" s="20" t="s">
        <v>14</v>
      </c>
      <c r="C17" s="26">
        <f>ROUND(INDEX(insumos!$AE$3:$XFD$50,MATCH('TABLA CON 1.5'!$A17,insumos!$AE$3:$AE$50,0),MATCH('TABLA CON 1.5'!C$2,insumos!$AE$3:$XFD$3,0)),2)</f>
        <v>2.3199999999999998</v>
      </c>
      <c r="D17" s="26">
        <f>ROUND(INDEX(insumos!$AE$3:$XFD$50,MATCH('TABLA CON 1.5'!$A17,insumos!$AE$3:$AE$50,0),MATCH('TABLA CON 1.5'!D$2,insumos!$AE$3:$XFD$3,0)),2)</f>
        <v>2.4</v>
      </c>
      <c r="G17" s="145" t="s">
        <v>130</v>
      </c>
      <c r="H17" s="20" t="s">
        <v>96</v>
      </c>
      <c r="I17" s="26">
        <f>ROUND(INDEX(insumos!$AE$3:$XFD$50,MATCH('TABLA CON 1.5'!$G17,insumos!$AE$3:$AE$50,0),MATCH('TABLA CON 1.5'!I$2,insumos!$AE$3:$XFD$3,0)),2)</f>
        <v>4.55</v>
      </c>
      <c r="J17" s="26">
        <f>ROUND(INDEX(insumos!$AE$3:$XFD$50,MATCH('TABLA CON 1.5'!$G17,insumos!$AE$3:$AE$50,0),MATCH('TABLA CON 1.5'!J$2,insumos!$AE$3:$XFD$3,0)),2)</f>
        <v>5.6</v>
      </c>
    </row>
    <row r="18" spans="1:10" x14ac:dyDescent="0.25">
      <c r="A18" s="145" t="s">
        <v>132</v>
      </c>
      <c r="B18" s="20" t="s">
        <v>16</v>
      </c>
      <c r="C18" s="26">
        <f>ROUND(INDEX(insumos!$AE$3:$XFD$50,MATCH('TABLA CON 1.5'!$A18,insumos!$AE$3:$AE$50,0),MATCH('TABLA CON 1.5'!C$2,insumos!$AE$3:$XFD$3,0)),2)</f>
        <v>2.76</v>
      </c>
      <c r="D18" s="26">
        <f>ROUND(INDEX(insumos!$AE$3:$XFD$50,MATCH('TABLA CON 1.5'!$A18,insumos!$AE$3:$AE$50,0),MATCH('TABLA CON 1.5'!D$2,insumos!$AE$3:$XFD$3,0)),2)</f>
        <v>2.9</v>
      </c>
      <c r="G18" s="145" t="s">
        <v>131</v>
      </c>
      <c r="H18" s="20" t="s">
        <v>14</v>
      </c>
      <c r="I18" s="26">
        <f>ROUND(INDEX(insumos!$AE$3:$XFD$50,MATCH('TABLA CON 1.5'!$G18,insumos!$AE$3:$AE$50,0),MATCH('TABLA CON 1.5'!I$2,insumos!$AE$3:$XFD$3,0)),2)</f>
        <v>2.3199999999999998</v>
      </c>
      <c r="J18" s="26">
        <f>ROUND(INDEX(insumos!$AE$3:$XFD$50,MATCH('TABLA CON 1.5'!$G18,insumos!$AE$3:$AE$50,0),MATCH('TABLA CON 1.5'!J$2,insumos!$AE$3:$XFD$3,0)),2)</f>
        <v>2.4</v>
      </c>
    </row>
    <row r="19" spans="1:10" x14ac:dyDescent="0.25">
      <c r="A19" s="145" t="s">
        <v>133</v>
      </c>
      <c r="B19" s="20" t="s">
        <v>18</v>
      </c>
      <c r="C19" s="26">
        <f>ROUND(INDEX(insumos!$AE$3:$XFD$50,MATCH('TABLA CON 1.5'!$A19,insumos!$AE$3:$AE$50,0),MATCH('TABLA CON 1.5'!C$2,insumos!$AE$3:$XFD$3,0)),2)</f>
        <v>1.17</v>
      </c>
      <c r="D19" s="26">
        <f>ROUND(INDEX(insumos!$AE$3:$XFD$50,MATCH('TABLA CON 1.5'!$A19,insumos!$AE$3:$AE$50,0),MATCH('TABLA CON 1.5'!D$2,insumos!$AE$3:$XFD$3,0)),2)</f>
        <v>1.8</v>
      </c>
      <c r="G19" s="145" t="s">
        <v>132</v>
      </c>
      <c r="H19" s="20" t="s">
        <v>16</v>
      </c>
      <c r="I19" s="26">
        <f>ROUND(INDEX(insumos!$AE$3:$XFD$50,MATCH('TABLA CON 1.5'!$G19,insumos!$AE$3:$AE$50,0),MATCH('TABLA CON 1.5'!I$2,insumos!$AE$3:$XFD$3,0)),2)</f>
        <v>2.76</v>
      </c>
      <c r="J19" s="26">
        <f>ROUND(INDEX(insumos!$AE$3:$XFD$50,MATCH('TABLA CON 1.5'!$G19,insumos!$AE$3:$AE$50,0),MATCH('TABLA CON 1.5'!J$2,insumos!$AE$3:$XFD$3,0)),2)</f>
        <v>2.9</v>
      </c>
    </row>
    <row r="20" spans="1:10" x14ac:dyDescent="0.25">
      <c r="A20" s="145" t="s">
        <v>134</v>
      </c>
      <c r="B20" s="20" t="s">
        <v>19</v>
      </c>
      <c r="C20" s="26">
        <f>ROUND(INDEX(insumos!$AE$3:$XFD$50,MATCH('TABLA CON 1.5'!$A20,insumos!$AE$3:$AE$50,0),MATCH('TABLA CON 1.5'!C$2,insumos!$AE$3:$XFD$3,0)),2)</f>
        <v>4.79</v>
      </c>
      <c r="D20" s="26">
        <f>ROUND(INDEX(insumos!$AE$3:$XFD$50,MATCH('TABLA CON 1.5'!$A20,insumos!$AE$3:$AE$50,0),MATCH('TABLA CON 1.5'!D$2,insumos!$AE$3:$XFD$3,0)),2)</f>
        <v>3.6</v>
      </c>
      <c r="G20" s="145" t="s">
        <v>133</v>
      </c>
      <c r="H20" s="20" t="s">
        <v>94</v>
      </c>
      <c r="I20" s="26">
        <f>ROUND(INDEX(insumos!$AE$3:$XFD$50,MATCH('TABLA CON 1.5'!$G20,insumos!$AE$3:$AE$50,0),MATCH('TABLA CON 1.5'!I$2,insumos!$AE$3:$XFD$3,0)),2)</f>
        <v>1.17</v>
      </c>
      <c r="J20" s="26">
        <f>ROUND(INDEX(insumos!$AE$3:$XFD$50,MATCH('TABLA CON 1.5'!$G20,insumos!$AE$3:$AE$50,0),MATCH('TABLA CON 1.5'!J$2,insumos!$AE$3:$XFD$3,0)),2)</f>
        <v>1.8</v>
      </c>
    </row>
    <row r="21" spans="1:10" x14ac:dyDescent="0.25">
      <c r="A21" s="145" t="s">
        <v>124</v>
      </c>
      <c r="B21" s="20" t="s">
        <v>12</v>
      </c>
      <c r="C21" s="26">
        <f>ROUND(INDEX(insumos!$AE$3:$XFD$50,MATCH('TABLA CON 1.5'!$A21,insumos!$AE$3:$AE$50,0),MATCH('TABLA CON 1.5'!C$2,insumos!$AE$3:$XFD$3,0)),2)</f>
        <v>2.04</v>
      </c>
      <c r="D21" s="26">
        <f>ROUND(INDEX(insumos!$AE$3:$XFD$50,MATCH('TABLA CON 1.5'!$A21,insumos!$AE$3:$AE$50,0),MATCH('TABLA CON 1.5'!D$2,insumos!$AE$3:$XFD$3,0)),2)</f>
        <v>2.2000000000000002</v>
      </c>
      <c r="G21" s="145" t="s">
        <v>134</v>
      </c>
      <c r="H21" s="20" t="s">
        <v>19</v>
      </c>
      <c r="I21" s="26">
        <f>ROUND(INDEX(insumos!$AE$3:$XFD$50,MATCH('TABLA CON 1.5'!$G21,insumos!$AE$3:$AE$50,0),MATCH('TABLA CON 1.5'!I$2,insumos!$AE$3:$XFD$3,0)),2)</f>
        <v>4.79</v>
      </c>
      <c r="J21" s="26">
        <f>ROUND(INDEX(insumos!$AE$3:$XFD$50,MATCH('TABLA CON 1.5'!$G21,insumos!$AE$3:$AE$50,0),MATCH('TABLA CON 1.5'!J$2,insumos!$AE$3:$XFD$3,0)),2)</f>
        <v>3.6</v>
      </c>
    </row>
    <row r="22" spans="1:10" x14ac:dyDescent="0.25">
      <c r="A22" s="145" t="s">
        <v>135</v>
      </c>
      <c r="B22" s="20" t="s">
        <v>21</v>
      </c>
      <c r="C22" s="26">
        <f>ROUND(INDEX(insumos!$AE$3:$XFD$50,MATCH('TABLA CON 1.5'!$A22,insumos!$AE$3:$AE$50,0),MATCH('TABLA CON 1.5'!C$2,insumos!$AE$3:$XFD$3,0)),2)</f>
        <v>4.8600000000000003</v>
      </c>
      <c r="D22" s="26">
        <f>ROUND(INDEX(insumos!$AE$3:$XFD$50,MATCH('TABLA CON 1.5'!$A22,insumos!$AE$3:$AE$50,0),MATCH('TABLA CON 1.5'!D$2,insumos!$AE$3:$XFD$3,0)),2)</f>
        <v>-1</v>
      </c>
      <c r="G22" s="145" t="s">
        <v>124</v>
      </c>
      <c r="H22" s="20" t="s">
        <v>95</v>
      </c>
      <c r="I22" s="26">
        <f>ROUND(INDEX(insumos!$AE$3:$XFD$50,MATCH('TABLA CON 1.5'!$G22,insumos!$AE$3:$AE$50,0),MATCH('TABLA CON 1.5'!I$2,insumos!$AE$3:$XFD$3,0)),2)</f>
        <v>2.04</v>
      </c>
      <c r="J22" s="26">
        <f>ROUND(INDEX(insumos!$AE$3:$XFD$50,MATCH('TABLA CON 1.5'!$G22,insumos!$AE$3:$AE$50,0),MATCH('TABLA CON 1.5'!J$2,insumos!$AE$3:$XFD$3,0)),2)</f>
        <v>2.2000000000000002</v>
      </c>
    </row>
    <row r="23" spans="1:10" x14ac:dyDescent="0.25">
      <c r="A23" s="145" t="s">
        <v>136</v>
      </c>
      <c r="B23" s="20" t="s">
        <v>22</v>
      </c>
      <c r="C23" s="26">
        <f>ROUND(INDEX(insumos!$AE$3:$XFD$50,MATCH('TABLA CON 1.5'!$A23,insumos!$AE$3:$AE$50,0),MATCH('TABLA CON 1.5'!C$2,insumos!$AE$3:$XFD$3,0)),2)</f>
        <v>5.36</v>
      </c>
      <c r="D23" s="26">
        <f>ROUND(INDEX(insumos!$AE$3:$XFD$50,MATCH('TABLA CON 1.5'!$A23,insumos!$AE$3:$AE$50,0),MATCH('TABLA CON 1.5'!D$2,insumos!$AE$3:$XFD$3,0)),2)</f>
        <v>4.8</v>
      </c>
      <c r="G23" s="145" t="s">
        <v>135</v>
      </c>
      <c r="H23" s="20" t="s">
        <v>21</v>
      </c>
      <c r="I23" s="26">
        <f>ROUND(INDEX(insumos!$AE$3:$XFD$50,MATCH('TABLA CON 1.5'!$G23,insumos!$AE$3:$AE$50,0),MATCH('TABLA CON 1.5'!I$2,insumos!$AE$3:$XFD$3,0)),2)</f>
        <v>4.8600000000000003</v>
      </c>
      <c r="J23" s="26">
        <f>ROUND(INDEX(insumos!$AE$3:$XFD$50,MATCH('TABLA CON 1.5'!$G23,insumos!$AE$3:$AE$50,0),MATCH('TABLA CON 1.5'!J$2,insumos!$AE$3:$XFD$3,0)),2)</f>
        <v>-1</v>
      </c>
    </row>
    <row r="24" spans="1:10" x14ac:dyDescent="0.25">
      <c r="A24" s="145" t="s">
        <v>130</v>
      </c>
      <c r="B24" s="20" t="s">
        <v>25</v>
      </c>
      <c r="C24" s="26">
        <f>ROUND(INDEX(insumos!$AE$3:$XFD$50,MATCH('TABLA CON 1.5'!$A24,insumos!$AE$3:$AE$50,0),MATCH('TABLA CON 1.5'!C$2,insumos!$AE$3:$XFD$3,0)),2)</f>
        <v>4.55</v>
      </c>
      <c r="D24" s="26">
        <f>ROUND(INDEX(insumos!$AE$3:$XFD$50,MATCH('TABLA CON 1.5'!$A24,insumos!$AE$3:$AE$50,0),MATCH('TABLA CON 1.5'!D$2,insumos!$AE$3:$XFD$3,0)),2)</f>
        <v>5.6</v>
      </c>
      <c r="G24" s="145" t="s">
        <v>136</v>
      </c>
      <c r="H24" s="20" t="s">
        <v>159</v>
      </c>
      <c r="I24" s="26">
        <f>ROUND(INDEX(insumos!$AE$3:$XFD$50,MATCH('TABLA CON 1.5'!$G24,insumos!$AE$3:$AE$50,0),MATCH('TABLA CON 1.5'!I$2,insumos!$AE$3:$XFD$3,0)),2)</f>
        <v>5.36</v>
      </c>
      <c r="J24" s="26">
        <f>ROUND(INDEX(insumos!$AE$3:$XFD$50,MATCH('TABLA CON 1.5'!$G24,insumos!$AE$3:$AE$50,0),MATCH('TABLA CON 1.5'!J$2,insumos!$AE$3:$XFD$3,0)),2)</f>
        <v>4.8</v>
      </c>
    </row>
    <row r="25" spans="1:10" x14ac:dyDescent="0.25">
      <c r="A25" s="145" t="s">
        <v>41</v>
      </c>
      <c r="B25" s="28" t="s">
        <v>41</v>
      </c>
      <c r="C25" s="25">
        <f>ROUND(INDEX(insumos!$AE$3:$XFD$50,MATCH('TABLA CON 1.5'!$A25,insumos!$AE$3:$AE$50,0),MATCH('TABLA CON 1.5'!C$2,insumos!$AE$3:$XFD$3,0)),2)</f>
        <v>2.34</v>
      </c>
      <c r="D25" s="25">
        <f>ROUND(INDEX(insumos!$AE$3:$XFD$50,MATCH('TABLA CON 1.5'!$A25,insumos!$AE$3:$AE$50,0),MATCH('TABLA CON 1.5'!D$2,insumos!$AE$3:$XFD$3,0)),2)</f>
        <v>2.4500000000000002</v>
      </c>
      <c r="G25" s="145" t="s">
        <v>41</v>
      </c>
      <c r="H25" s="28" t="s">
        <v>97</v>
      </c>
      <c r="I25" s="25">
        <f>ROUND(INDEX(insumos!$AE$3:$XFD$50,MATCH('TABLA CON 1.5'!$G25,insumos!$AE$3:$AE$50,0),MATCH('TABLA CON 1.5'!I$2,insumos!$AE$3:$XFD$3,0)),2)</f>
        <v>2.34</v>
      </c>
      <c r="J25" s="25">
        <f>ROUND(INDEX(insumos!$AE$3:$XFD$50,MATCH('TABLA CON 1.5'!$G25,insumos!$AE$3:$AE$50,0),MATCH('TABLA CON 1.5'!J$2,insumos!$AE$3:$XFD$3,0)),2)</f>
        <v>2.4500000000000002</v>
      </c>
    </row>
    <row r="26" spans="1:10" x14ac:dyDescent="0.25">
      <c r="A26" s="145" t="s">
        <v>40</v>
      </c>
      <c r="B26" s="28" t="s">
        <v>40</v>
      </c>
      <c r="C26" s="25">
        <f>ROUND(INDEX(insumos!$AE$3:$XFD$50,MATCH('TABLA CON 1.5'!$A26,insumos!$AE$3:$AE$50,0),MATCH('TABLA CON 1.5'!C$2,insumos!$AE$3:$XFD$3,0)),2)</f>
        <v>3.4</v>
      </c>
      <c r="D26" s="25">
        <f>ROUND(INDEX(insumos!$AE$3:$XFD$50,MATCH('TABLA CON 1.5'!$A26,insumos!$AE$3:$AE$50,0),MATCH('TABLA CON 1.5'!D$2,insumos!$AE$3:$XFD$3,0)),2)</f>
        <v>3.32</v>
      </c>
      <c r="G26" s="145" t="s">
        <v>40</v>
      </c>
      <c r="H26" s="28" t="s">
        <v>98</v>
      </c>
      <c r="I26" s="25">
        <f>ROUND(INDEX(insumos!$AE$3:$XFD$50,MATCH('TABLA CON 1.5'!$G26,insumos!$AE$3:$AE$50,0),MATCH('TABLA CON 1.5'!I$2,insumos!$AE$3:$XFD$3,0)),2)</f>
        <v>3.4</v>
      </c>
      <c r="J26" s="25">
        <f>ROUND(INDEX(insumos!$AE$3:$XFD$50,MATCH('TABLA CON 1.5'!$G26,insumos!$AE$3:$AE$50,0),MATCH('TABLA CON 1.5'!J$2,insumos!$AE$3:$XFD$3,0)),2)</f>
        <v>3.32</v>
      </c>
    </row>
    <row r="27" spans="1:10" x14ac:dyDescent="0.25">
      <c r="A27" s="145" t="s">
        <v>34</v>
      </c>
      <c r="B27" s="28" t="s">
        <v>34</v>
      </c>
      <c r="C27" s="25">
        <f>ROUND(INDEX(insumos!$AE$3:$XFD$50,MATCH('TABLA CON 1.5'!$A27,insumos!$AE$3:$AE$50,0),MATCH('TABLA CON 1.5'!C$2,insumos!$AE$3:$XFD$3,0)),2)</f>
        <v>1.24</v>
      </c>
      <c r="D27" s="25">
        <v>1.5</v>
      </c>
      <c r="G27" s="145" t="s">
        <v>34</v>
      </c>
      <c r="H27" s="28" t="s">
        <v>99</v>
      </c>
      <c r="I27" s="25">
        <f>ROUND(INDEX(insumos!$AE$3:$XFD$50,MATCH('TABLA CON 1.5'!$G27,insumos!$AE$3:$AE$50,0),MATCH('TABLA CON 1.5'!I$2,insumos!$AE$3:$XFD$3,0)),2)</f>
        <v>1.24</v>
      </c>
      <c r="J27" s="25">
        <v>1.5</v>
      </c>
    </row>
    <row r="28" spans="1:10" x14ac:dyDescent="0.25">
      <c r="A28" s="145" t="s">
        <v>117</v>
      </c>
      <c r="B28" s="20" t="s">
        <v>1</v>
      </c>
      <c r="C28" s="26">
        <f>ROUND(INDEX(insumos!$AE$3:$XFD$50,MATCH('TABLA CON 1.5'!$A28,insumos!$AE$3:$AE$50,0),MATCH('TABLA CON 1.5'!C$2,insumos!$AE$3:$XFD$3,0)),2)</f>
        <v>3.09</v>
      </c>
      <c r="D28" s="26">
        <f>ROUND(INDEX(insumos!$AE$3:$XFD$50,MATCH('TABLA CON 1.5'!$A28,insumos!$AE$3:$AE$50,0),MATCH('TABLA CON 1.5'!D$2,insumos!$AE$3:$XFD$3,0)),2)</f>
        <v>4.2</v>
      </c>
      <c r="G28" s="145" t="s">
        <v>117</v>
      </c>
      <c r="H28" s="20" t="s">
        <v>100</v>
      </c>
      <c r="I28" s="26">
        <f>ROUND(INDEX(insumos!$AE$3:$XFD$50,MATCH('TABLA CON 1.5'!$G28,insumos!$AE$3:$AE$50,0),MATCH('TABLA CON 1.5'!I$2,insumos!$AE$3:$XFD$3,0)),2)</f>
        <v>3.09</v>
      </c>
      <c r="J28" s="26">
        <f>ROUND(INDEX(insumos!$AE$3:$XFD$50,MATCH('TABLA CON 1.5'!$G28,insumos!$AE$3:$AE$50,0),MATCH('TABLA CON 1.5'!J$2,insumos!$AE$3:$XFD$3,0)),2)</f>
        <v>4.2</v>
      </c>
    </row>
    <row r="29" spans="1:10" x14ac:dyDescent="0.25">
      <c r="A29" s="145" t="s">
        <v>147</v>
      </c>
      <c r="B29" s="20" t="s">
        <v>3</v>
      </c>
      <c r="C29" s="26">
        <f>ROUND(INDEX(insumos!$AE$3:$XFD$50,MATCH('TABLA CON 1.5'!$A29,insumos!$AE$3:$AE$50,0),MATCH('TABLA CON 1.5'!C$2,insumos!$AE$3:$XFD$3,0)),2)</f>
        <v>1.44</v>
      </c>
      <c r="D29" s="26">
        <f>ROUND(INDEX(insumos!$AE$3:$XFD$50,MATCH('TABLA CON 1.5'!$A29,insumos!$AE$3:$AE$50,0),MATCH('TABLA CON 1.5'!D$2,insumos!$AE$3:$XFD$3,0)),2)</f>
        <v>2.5</v>
      </c>
      <c r="G29" s="145" t="s">
        <v>147</v>
      </c>
      <c r="H29" s="20" t="s">
        <v>3</v>
      </c>
      <c r="I29" s="26">
        <f>ROUND(INDEX(insumos!$AE$3:$XFD$50,MATCH('TABLA CON 1.5'!$G29,insumos!$AE$3:$AE$50,0),MATCH('TABLA CON 1.5'!I$2,insumos!$AE$3:$XFD$3,0)),2)</f>
        <v>1.44</v>
      </c>
      <c r="J29" s="26">
        <f>ROUND(INDEX(insumos!$AE$3:$XFD$50,MATCH('TABLA CON 1.5'!$G29,insumos!$AE$3:$AE$50,0),MATCH('TABLA CON 1.5'!J$2,insumos!$AE$3:$XFD$3,0)),2)</f>
        <v>2.5</v>
      </c>
    </row>
    <row r="30" spans="1:10" x14ac:dyDescent="0.25">
      <c r="A30" s="145" t="s">
        <v>137</v>
      </c>
      <c r="B30" s="20" t="s">
        <v>5</v>
      </c>
      <c r="C30" s="26">
        <f>ROUND(INDEX(insumos!$AE$3:$XFD$50,MATCH('TABLA CON 1.5'!$A30,insumos!$AE$3:$AE$50,0),MATCH('TABLA CON 1.5'!C$2,insumos!$AE$3:$XFD$3,0)),2)</f>
        <v>0.6</v>
      </c>
      <c r="D30" s="26">
        <f>ROUND(INDEX(insumos!$AE$3:$XFD$50,MATCH('TABLA CON 1.5'!$A30,insumos!$AE$3:$AE$50,0),MATCH('TABLA CON 1.5'!D$2,insumos!$AE$3:$XFD$3,0)),2)</f>
        <v>0</v>
      </c>
      <c r="G30" s="145" t="s">
        <v>137</v>
      </c>
      <c r="H30" s="20" t="s">
        <v>5</v>
      </c>
      <c r="I30" s="26">
        <f>ROUND(INDEX(insumos!$AE$3:$XFD$50,MATCH('TABLA CON 1.5'!$G30,insumos!$AE$3:$AE$50,0),MATCH('TABLA CON 1.5'!I$2,insumos!$AE$3:$XFD$3,0)),2)</f>
        <v>0.6</v>
      </c>
      <c r="J30" s="26">
        <f>ROUND(INDEX(insumos!$AE$3:$XFD$50,MATCH('TABLA CON 1.5'!$G30,insumos!$AE$3:$AE$50,0),MATCH('TABLA CON 1.5'!J$2,insumos!$AE$3:$XFD$3,0)),2)</f>
        <v>0</v>
      </c>
    </row>
    <row r="31" spans="1:10" x14ac:dyDescent="0.25">
      <c r="A31" s="145" t="s">
        <v>138</v>
      </c>
      <c r="B31" s="20" t="s">
        <v>7</v>
      </c>
      <c r="C31" s="26">
        <f>ROUND(INDEX(insumos!$AE$3:$XFD$50,MATCH('TABLA CON 1.5'!$A31,insumos!$AE$3:$AE$50,0),MATCH('TABLA CON 1.5'!C$2,insumos!$AE$3:$XFD$3,0)),2)</f>
        <v>0.71</v>
      </c>
      <c r="D31" s="26">
        <f>ROUND(INDEX(insumos!$AE$3:$XFD$50,MATCH('TABLA CON 1.5'!$A31,insumos!$AE$3:$AE$50,0),MATCH('TABLA CON 1.5'!D$2,insumos!$AE$3:$XFD$3,0)),2)</f>
        <v>2.6</v>
      </c>
      <c r="G31" s="145" t="s">
        <v>138</v>
      </c>
      <c r="H31" s="20" t="s">
        <v>101</v>
      </c>
      <c r="I31" s="26">
        <f>ROUND(INDEX(insumos!$AE$3:$XFD$50,MATCH('TABLA CON 1.5'!$G31,insumos!$AE$3:$AE$50,0),MATCH('TABLA CON 1.5'!I$2,insumos!$AE$3:$XFD$3,0)),2)</f>
        <v>0.71</v>
      </c>
      <c r="J31" s="26">
        <f>ROUND(INDEX(insumos!$AE$3:$XFD$50,MATCH('TABLA CON 1.5'!$G31,insumos!$AE$3:$AE$50,0),MATCH('TABLA CON 1.5'!J$2,insumos!$AE$3:$XFD$3,0)),2)</f>
        <v>2.6</v>
      </c>
    </row>
    <row r="32" spans="1:10" x14ac:dyDescent="0.25">
      <c r="A32" s="145" t="s">
        <v>139</v>
      </c>
      <c r="B32" s="20" t="s">
        <v>20</v>
      </c>
      <c r="C32" s="26">
        <f>ROUND(INDEX(insumos!$AE$3:$XFD$50,MATCH('TABLA CON 1.5'!$A32,insumos!$AE$3:$AE$50,0),MATCH('TABLA CON 1.5'!C$2,insumos!$AE$3:$XFD$3,0)),2)</f>
        <v>-9.5299999999999994</v>
      </c>
      <c r="D32" s="26">
        <f>ROUND(INDEX(insumos!$AE$3:$XFD$50,MATCH('TABLA CON 1.5'!$A32,insumos!$AE$3:$AE$50,0),MATCH('TABLA CON 1.5'!D$2,insumos!$AE$3:$XFD$3,0)),2)</f>
        <v>-6.4</v>
      </c>
      <c r="G32" s="145" t="s">
        <v>139</v>
      </c>
      <c r="H32" s="20" t="s">
        <v>20</v>
      </c>
      <c r="I32" s="26">
        <f>ROUND(INDEX(insumos!$AE$3:$XFD$50,MATCH('TABLA CON 1.5'!$G32,insumos!$AE$3:$AE$50,0),MATCH('TABLA CON 1.5'!I$2,insumos!$AE$3:$XFD$3,0)),2)</f>
        <v>-9.5299999999999994</v>
      </c>
      <c r="J32" s="26">
        <f>ROUND(INDEX(insumos!$AE$3:$XFD$50,MATCH('TABLA CON 1.5'!$G32,insumos!$AE$3:$AE$50,0),MATCH('TABLA CON 1.5'!J$2,insumos!$AE$3:$XFD$3,0)),2)</f>
        <v>-6.4</v>
      </c>
    </row>
    <row r="33" spans="1:10" x14ac:dyDescent="0.25">
      <c r="A33" s="145" t="s">
        <v>140</v>
      </c>
      <c r="B33" s="20" t="s">
        <v>23</v>
      </c>
      <c r="C33" s="26">
        <f>ROUND(INDEX(insumos!$AE$3:$XFD$50,MATCH('TABLA CON 1.5'!$A33,insumos!$AE$3:$AE$50,0),MATCH('TABLA CON 1.5'!C$2,insumos!$AE$3:$XFD$3,0)),2)</f>
        <v>5.0599999999999996</v>
      </c>
      <c r="D33" s="26">
        <f>ROUND(INDEX(insumos!$AE$3:$XFD$50,MATCH('TABLA CON 1.5'!$A33,insumos!$AE$3:$AE$50,0),MATCH('TABLA CON 1.5'!D$2,insumos!$AE$3:$XFD$3,0)),2)</f>
        <v>3.5</v>
      </c>
      <c r="G33" s="145" t="s">
        <v>140</v>
      </c>
      <c r="H33" s="20" t="s">
        <v>106</v>
      </c>
      <c r="I33" s="26">
        <f>ROUND(INDEX(insumos!$AE$3:$XFD$50,MATCH('TABLA CON 1.5'!$G33,insumos!$AE$3:$AE$50,0),MATCH('TABLA CON 1.5'!I$2,insumos!$AE$3:$XFD$3,0)),2)</f>
        <v>5.0599999999999996</v>
      </c>
      <c r="J33" s="26">
        <f>ROUND(INDEX(insumos!$AE$3:$XFD$50,MATCH('TABLA CON 1.5'!$G33,insumos!$AE$3:$AE$50,0),MATCH('TABLA CON 1.5'!J$2,insumos!$AE$3:$XFD$3,0)),2)</f>
        <v>3.5</v>
      </c>
    </row>
    <row r="34" spans="1:10" x14ac:dyDescent="0.25">
      <c r="A34" s="145" t="s">
        <v>141</v>
      </c>
      <c r="B34" s="20" t="s">
        <v>24</v>
      </c>
      <c r="C34" s="26">
        <f>ROUND(INDEX(insumos!$AE$3:$XFD$50,MATCH('TABLA CON 1.5'!$A34,insumos!$AE$3:$AE$50,0),MATCH('TABLA CON 1.5'!C$2,insumos!$AE$3:$XFD$3,0)),2)</f>
        <v>2.17</v>
      </c>
      <c r="D34" s="26">
        <f>ROUND(INDEX(insumos!$AE$3:$XFD$50,MATCH('TABLA CON 1.5'!$A34,insumos!$AE$3:$AE$50,0),MATCH('TABLA CON 1.5'!D$2,insumos!$AE$3:$XFD$3,0)),2)</f>
        <v>3</v>
      </c>
      <c r="G34" s="145" t="s">
        <v>141</v>
      </c>
      <c r="H34" s="20" t="s">
        <v>24</v>
      </c>
      <c r="I34" s="26">
        <f>ROUND(INDEX(insumos!$AE$3:$XFD$50,MATCH('TABLA CON 1.5'!$G34,insumos!$AE$3:$AE$50,0),MATCH('TABLA CON 1.5'!I$2,insumos!$AE$3:$XFD$3,0)),2)</f>
        <v>2.17</v>
      </c>
      <c r="J34" s="26">
        <f>ROUND(INDEX(insumos!$AE$3:$XFD$50,MATCH('TABLA CON 1.5'!$G34,insumos!$AE$3:$AE$50,0),MATCH('TABLA CON 1.5'!J$2,insumos!$AE$3:$XFD$3,0)),2)</f>
        <v>3</v>
      </c>
    </row>
    <row r="35" spans="1:10" x14ac:dyDescent="0.25">
      <c r="A35" s="145" t="s">
        <v>142</v>
      </c>
      <c r="B35" s="20" t="s">
        <v>26</v>
      </c>
      <c r="C35" s="26">
        <f>ROUND(INDEX(insumos!$AE$3:$XFD$50,MATCH('TABLA CON 1.5'!$A35,insumos!$AE$3:$AE$50,0),MATCH('TABLA CON 1.5'!C$2,insumos!$AE$3:$XFD$3,0)),2)</f>
        <v>0.5</v>
      </c>
      <c r="D35" s="26">
        <f>ROUND(INDEX(insumos!$AE$3:$XFD$50,MATCH('TABLA CON 1.5'!$A35,insumos!$AE$3:$AE$50,0),MATCH('TABLA CON 1.5'!D$2,insumos!$AE$3:$XFD$3,0)),2)</f>
        <v>1.3</v>
      </c>
      <c r="G35" s="145" t="s">
        <v>142</v>
      </c>
      <c r="H35" s="20" t="s">
        <v>26</v>
      </c>
      <c r="I35" s="26">
        <f>ROUND(INDEX(insumos!$AE$3:$XFD$50,MATCH('TABLA CON 1.5'!$G35,insumos!$AE$3:$AE$50,0),MATCH('TABLA CON 1.5'!I$2,insumos!$AE$3:$XFD$3,0)),2)</f>
        <v>0.5</v>
      </c>
      <c r="J35" s="26">
        <f>ROUND(INDEX(insumos!$AE$3:$XFD$50,MATCH('TABLA CON 1.5'!$G35,insumos!$AE$3:$AE$50,0),MATCH('TABLA CON 1.5'!J$2,insumos!$AE$3:$XFD$3,0)),2)</f>
        <v>1.3</v>
      </c>
    </row>
    <row r="36" spans="1:10" x14ac:dyDescent="0.25">
      <c r="A36" s="145" t="s">
        <v>143</v>
      </c>
      <c r="B36" s="20" t="s">
        <v>27</v>
      </c>
      <c r="C36" s="26">
        <f>ROUND(INDEX(insumos!$AE$3:$XFD$50,MATCH('TABLA CON 1.5'!$A36,insumos!$AE$3:$AE$50,0),MATCH('TABLA CON 1.5'!C$2,insumos!$AE$3:$XFD$3,0)),2)</f>
        <v>1.29</v>
      </c>
      <c r="D36" s="26">
        <f>ROUND(INDEX(insumos!$AE$3:$XFD$50,MATCH('TABLA CON 1.5'!$A36,insumos!$AE$3:$AE$50,0),MATCH('TABLA CON 1.5'!D$2,insumos!$AE$3:$XFD$3,0)),2)</f>
        <v>2.4</v>
      </c>
      <c r="G36" s="145" t="s">
        <v>143</v>
      </c>
      <c r="H36" s="20" t="s">
        <v>102</v>
      </c>
      <c r="I36" s="26">
        <f>ROUND(INDEX(insumos!$AE$3:$XFD$50,MATCH('TABLA CON 1.5'!$G36,insumos!$AE$3:$AE$50,0),MATCH('TABLA CON 1.5'!I$2,insumos!$AE$3:$XFD$3,0)),2)</f>
        <v>1.29</v>
      </c>
      <c r="J36" s="26">
        <f>ROUND(INDEX(insumos!$AE$3:$XFD$50,MATCH('TABLA CON 1.5'!$G36,insumos!$AE$3:$AE$50,0),MATCH('TABLA CON 1.5'!J$2,insumos!$AE$3:$XFD$3,0)),2)</f>
        <v>2.4</v>
      </c>
    </row>
    <row r="37" spans="1:10" x14ac:dyDescent="0.25">
      <c r="A37" s="145" t="s">
        <v>145</v>
      </c>
      <c r="B37" s="20" t="s">
        <v>28</v>
      </c>
      <c r="C37" s="26">
        <f>ROUND(INDEX(insumos!$AE$3:$XFD$50,MATCH('TABLA CON 1.5'!$A37,insumos!$AE$3:$AE$50,0),MATCH('TABLA CON 1.5'!C$2,insumos!$AE$3:$XFD$3,0)),2)</f>
        <v>0.51</v>
      </c>
      <c r="D37" s="26">
        <f>ROUND(INDEX(insumos!$AE$3:$XFD$50,MATCH('TABLA CON 1.5'!$A37,insumos!$AE$3:$AE$50,0),MATCH('TABLA CON 1.5'!D$2,insumos!$AE$3:$XFD$3,0)),2)</f>
        <v>1.3</v>
      </c>
      <c r="G37" s="145" t="s">
        <v>145</v>
      </c>
      <c r="H37" s="20" t="s">
        <v>103</v>
      </c>
      <c r="I37" s="26">
        <f>ROUND(INDEX(insumos!$AE$3:$XFD$50,MATCH('TABLA CON 1.5'!$G37,insumos!$AE$3:$AE$50,0),MATCH('TABLA CON 1.5'!I$2,insumos!$AE$3:$XFD$3,0)),2)</f>
        <v>0.51</v>
      </c>
      <c r="J37" s="26">
        <f>ROUND(INDEX(insumos!$AE$3:$XFD$50,MATCH('TABLA CON 1.5'!$G37,insumos!$AE$3:$AE$50,0),MATCH('TABLA CON 1.5'!J$2,insumos!$AE$3:$XFD$3,0)),2)</f>
        <v>1.3</v>
      </c>
    </row>
    <row r="38" spans="1:10" x14ac:dyDescent="0.25">
      <c r="A38" s="145" t="s">
        <v>144</v>
      </c>
      <c r="B38" s="20" t="s">
        <v>29</v>
      </c>
      <c r="C38" s="26">
        <f>ROUND(INDEX(insumos!$AE$3:$XFD$50,MATCH('TABLA CON 1.5'!$A38,insumos!$AE$3:$AE$50,0),MATCH('TABLA CON 1.5'!C$2,insumos!$AE$3:$XFD$3,0)),2)</f>
        <v>3.82</v>
      </c>
      <c r="D38" s="26">
        <f>ROUND(INDEX(insumos!$AE$3:$XFD$50,MATCH('TABLA CON 1.5'!$A38,insumos!$AE$3:$AE$50,0),MATCH('TABLA CON 1.5'!D$2,insumos!$AE$3:$XFD$3,0)),2)</f>
        <v>2.1</v>
      </c>
      <c r="G38" s="145" t="s">
        <v>144</v>
      </c>
      <c r="H38" s="20" t="s">
        <v>104</v>
      </c>
      <c r="I38" s="26">
        <f>ROUND(INDEX(insumos!$AE$3:$XFD$50,MATCH('TABLA CON 1.5'!$G38,insumos!$AE$3:$AE$50,0),MATCH('TABLA CON 1.5'!I$2,insumos!$AE$3:$XFD$3,0)),2)</f>
        <v>3.82</v>
      </c>
      <c r="J38" s="26">
        <f>ROUND(INDEX(insumos!$AE$3:$XFD$50,MATCH('TABLA CON 1.5'!$G38,insumos!$AE$3:$AE$50,0),MATCH('TABLA CON 1.5'!J$2,insumos!$AE$3:$XFD$3,0)),2)</f>
        <v>2.1</v>
      </c>
    </row>
    <row r="39" spans="1:10" x14ac:dyDescent="0.25">
      <c r="A39" s="145" t="s">
        <v>146</v>
      </c>
      <c r="B39" s="20" t="s">
        <v>30</v>
      </c>
      <c r="C39" s="26">
        <f>ROUND(INDEX(insumos!$AE$3:$XFD$50,MATCH('TABLA CON 1.5'!$A39,insumos!$AE$3:$AE$50,0),MATCH('TABLA CON 1.5'!C$2,insumos!$AE$3:$XFD$3,0)),2)</f>
        <v>1.5</v>
      </c>
      <c r="D39" s="26">
        <f>ROUND(INDEX(insumos!$AE$3:$XFD$50,MATCH('TABLA CON 1.5'!$A39,insumos!$AE$3:$AE$50,0),MATCH('TABLA CON 1.5'!D$2,insumos!$AE$3:$XFD$3,0)),2)</f>
        <v>2.7</v>
      </c>
      <c r="G39" s="145" t="s">
        <v>146</v>
      </c>
      <c r="H39" s="20" t="s">
        <v>30</v>
      </c>
      <c r="I39" s="26">
        <f>ROUND(INDEX(insumos!$AE$3:$XFD$50,MATCH('TABLA CON 1.5'!$G39,insumos!$AE$3:$AE$50,0),MATCH('TABLA CON 1.5'!I$2,insumos!$AE$3:$XFD$3,0)),2)</f>
        <v>1.5</v>
      </c>
      <c r="J39" s="26">
        <f>ROUND(INDEX(insumos!$AE$3:$XFD$50,MATCH('TABLA CON 1.5'!$G39,insumos!$AE$3:$AE$50,0),MATCH('TABLA CON 1.5'!J$2,insumos!$AE$3:$XFD$3,0)),2)</f>
        <v>2.7</v>
      </c>
    </row>
    <row r="40" spans="1:10" x14ac:dyDescent="0.25">
      <c r="A40" s="145" t="s">
        <v>148</v>
      </c>
      <c r="B40" s="20" t="s">
        <v>31</v>
      </c>
      <c r="C40" s="26">
        <f>ROUND(INDEX(insumos!$AE$3:$XFD$50,MATCH('TABLA CON 1.5'!$A40,insumos!$AE$3:$AE$50,0),MATCH('TABLA CON 1.5'!C$2,insumos!$AE$3:$XFD$3,0)),2)</f>
        <v>-2.34</v>
      </c>
      <c r="D40" s="26">
        <f>ROUND(INDEX(insumos!$AE$3:$XFD$50,MATCH('TABLA CON 1.5'!$A40,insumos!$AE$3:$AE$50,0),MATCH('TABLA CON 1.5'!D$2,insumos!$AE$3:$XFD$3,0)),2)</f>
        <v>1.5</v>
      </c>
      <c r="G40" s="145" t="s">
        <v>148</v>
      </c>
      <c r="H40" s="20" t="s">
        <v>105</v>
      </c>
      <c r="I40" s="26">
        <f>ROUND(INDEX(insumos!$AE$3:$XFD$50,MATCH('TABLA CON 1.5'!$G40,insumos!$AE$3:$AE$50,0),MATCH('TABLA CON 1.5'!I$2,insumos!$AE$3:$XFD$3,0)),2)</f>
        <v>-2.34</v>
      </c>
      <c r="J40" s="26">
        <f>ROUND(INDEX(insumos!$AE$3:$XFD$50,MATCH('TABLA CON 1.5'!$G40,insumos!$AE$3:$AE$50,0),MATCH('TABLA CON 1.5'!J$2,insumos!$AE$3:$XFD$3,0)),2)</f>
        <v>1.5</v>
      </c>
    </row>
    <row r="41" spans="1:10" x14ac:dyDescent="0.25">
      <c r="A41" s="145" t="s">
        <v>35</v>
      </c>
      <c r="B41" s="28" t="s">
        <v>35</v>
      </c>
      <c r="C41" s="25">
        <f>ROUND(INDEX(insumos!$AE$3:$XFD$50,MATCH('TABLA CON 1.5'!$A41,insumos!$AE$3:$AE$50,0),MATCH('TABLA CON 1.5'!C$2,insumos!$AE$3:$XFD$3,0)),2)</f>
        <v>0</v>
      </c>
      <c r="D41" s="25">
        <f>ROUND(INDEX(insumos!$AE$3:$XFD$50,MATCH('TABLA CON 1.5'!$A41,insumos!$AE$3:$AE$50,0),MATCH('TABLA CON 1.5'!D$2,insumos!$AE$3:$XFD$3,0)),2)</f>
        <v>1.74</v>
      </c>
      <c r="G41" s="145" t="s">
        <v>35</v>
      </c>
      <c r="H41" s="28" t="s">
        <v>107</v>
      </c>
      <c r="I41" s="25">
        <f>ROUND(INDEX(insumos!$AE$3:$XFD$50,MATCH('TABLA CON 1.5'!$G41,insumos!$AE$3:$AE$50,0),MATCH('TABLA CON 1.5'!I$2,insumos!$AE$3:$XFD$3,0)),2)</f>
        <v>0</v>
      </c>
      <c r="J41" s="25">
        <f>ROUND(INDEX(insumos!$AE$3:$XFD$50,MATCH('TABLA CON 1.5'!$G41,insumos!$AE$3:$AE$50,0),MATCH('TABLA CON 1.5'!J$2,insumos!$AE$3:$XFD$3,0)),2)</f>
        <v>1.74</v>
      </c>
    </row>
    <row r="43" spans="1:10" x14ac:dyDescent="0.25">
      <c r="B43" s="135" t="s">
        <v>50</v>
      </c>
      <c r="H43" s="135" t="s">
        <v>108</v>
      </c>
    </row>
    <row r="44" spans="1:10" x14ac:dyDescent="0.25">
      <c r="B44" s="135" t="s">
        <v>164</v>
      </c>
      <c r="H44" s="135" t="s">
        <v>165</v>
      </c>
    </row>
  </sheetData>
  <mergeCells count="4">
    <mergeCell ref="B1:B2"/>
    <mergeCell ref="C1:D1"/>
    <mergeCell ref="H1:H2"/>
    <mergeCell ref="I1:J1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&amp;C&amp;D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Gráfico</vt:lpstr>
      <vt:lpstr>Tabla trabajo</vt:lpstr>
      <vt:lpstr>Tabla final prensa ESP-ENG</vt:lpstr>
      <vt:lpstr>insumos</vt:lpstr>
      <vt:lpstr>Datos1</vt:lpstr>
      <vt:lpstr>Datos2</vt:lpstr>
      <vt:lpstr>cuadro BP</vt:lpstr>
      <vt:lpstr>TABLA CON 1.5</vt:lpstr>
      <vt:lpstr>'cuadro BP'!Print_Area</vt:lpstr>
      <vt:lpstr>Gráfico!Print_Area</vt:lpstr>
      <vt:lpstr>'TABLA CON 1.5'!Print_Area</vt:lpstr>
      <vt:lpstr>'Tabla final prensa ESP-ENG'!Print_Area</vt:lpstr>
      <vt:lpstr>'Tabla trabajo'!Print_Area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 Carvallo</dc:creator>
  <cp:lastModifiedBy>user</cp:lastModifiedBy>
  <cp:lastPrinted>2018-04-18T15:20:40Z</cp:lastPrinted>
  <dcterms:created xsi:type="dcterms:W3CDTF">2016-09-29T19:54:15Z</dcterms:created>
  <dcterms:modified xsi:type="dcterms:W3CDTF">2018-12-10T20:19:05Z</dcterms:modified>
</cp:coreProperties>
</file>