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Riccardo\Documenti\Uni\2\Tesi\SA\"/>
    </mc:Choice>
  </mc:AlternateContent>
  <xr:revisionPtr revIDLastSave="0" documentId="13_ncr:1_{1FC4B4BE-2C36-4D2C-B983-5176EF42E0C5}" xr6:coauthVersionLast="36" xr6:coauthVersionMax="36" xr10:uidLastSave="{00000000-0000-0000-0000-000000000000}"/>
  <bookViews>
    <workbookView xWindow="0" yWindow="0" windowWidth="17256" windowHeight="5556" activeTab="3" xr2:uid="{24937B65-D658-40B3-B683-B836C3881DD3}"/>
  </bookViews>
  <sheets>
    <sheet name="cv" sheetId="1" r:id="rId1"/>
    <sheet name="Dt" sheetId="2" r:id="rId2"/>
    <sheet name="ct" sheetId="3" r:id="rId3"/>
    <sheet name="SF 3D" sheetId="6" r:id="rId4"/>
    <sheet name="Calcolo cv" sheetId="4" r:id="rId5"/>
    <sheet name="Half life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6" l="1"/>
  <c r="D7" i="6"/>
  <c r="D6" i="6"/>
  <c r="C6" i="6"/>
  <c r="D5" i="6"/>
  <c r="C5" i="6"/>
  <c r="D4" i="6"/>
  <c r="C4" i="6"/>
  <c r="D3" i="6"/>
  <c r="C3" i="6"/>
  <c r="D15" i="3" l="1"/>
  <c r="C15" i="3" l="1"/>
  <c r="D4" i="3" l="1"/>
  <c r="C4" i="3" l="1"/>
  <c r="D7" i="1" l="1"/>
  <c r="C7" i="1"/>
  <c r="D5" i="1"/>
  <c r="C5" i="1"/>
  <c r="D13" i="3"/>
  <c r="C13" i="3"/>
  <c r="D12" i="3"/>
  <c r="C12" i="3"/>
  <c r="D11" i="3"/>
  <c r="C11" i="3"/>
  <c r="D10" i="3"/>
  <c r="C10" i="3"/>
  <c r="D9" i="3"/>
  <c r="C9" i="3"/>
  <c r="D8" i="3"/>
  <c r="C8" i="3"/>
  <c r="D7" i="3"/>
  <c r="C7" i="3"/>
  <c r="D6" i="3"/>
  <c r="C6" i="3"/>
  <c r="D5" i="3"/>
  <c r="C5" i="3"/>
  <c r="D3" i="3" l="1"/>
  <c r="C3" i="3"/>
  <c r="D4" i="1" l="1"/>
  <c r="C4" i="1"/>
  <c r="C3" i="5"/>
  <c r="B3" i="5"/>
  <c r="B2" i="4"/>
  <c r="A2" i="4"/>
</calcChain>
</file>

<file path=xl/sharedStrings.xml><?xml version="1.0" encoding="utf-8"?>
<sst xmlns="http://schemas.openxmlformats.org/spreadsheetml/2006/main" count="195" uniqueCount="109">
  <si>
    <t>Symbol</t>
  </si>
  <si>
    <t>Physical quantity</t>
  </si>
  <si>
    <t>Unit</t>
  </si>
  <si>
    <t>Reference</t>
  </si>
  <si>
    <t>min</t>
  </si>
  <si>
    <t>max</t>
  </si>
  <si>
    <t>\tau</t>
  </si>
  <si>
    <t>c_v0</t>
  </si>
  <si>
    <t>t1</t>
  </si>
  <si>
    <t>t2</t>
  </si>
  <si>
    <t>MW</t>
  </si>
  <si>
    <t>log(P_{7,4 })</t>
  </si>
  <si>
    <t>HD</t>
  </si>
  <si>
    <t>HA</t>
  </si>
  <si>
    <t>P_tpz</t>
  </si>
  <si>
    <t>k_met</t>
  </si>
  <si>
    <t>V_max_tpz</t>
  </si>
  <si>
    <t>K_m_tpz</t>
  </si>
  <si>
    <t>K</t>
  </si>
  <si>
    <t>c_v0_ox</t>
  </si>
  <si>
    <t>V_max_ox</t>
  </si>
  <si>
    <t>K_m_ox</t>
  </si>
  <si>
    <t>Vessel concentration of drug</t>
  </si>
  <si>
    <t>Diffusion coefficient of the drug in the tissue</t>
  </si>
  <si>
    <t>Permeability of the capillary wall</t>
  </si>
  <si>
    <t>First order MM constant</t>
  </si>
  <si>
    <t>MM constant for drug</t>
  </si>
  <si>
    <t>Ox concentation required to halve the drug metabolism</t>
  </si>
  <si>
    <t>Coeffidient PD</t>
  </si>
  <si>
    <t>Vessel concentration of ox</t>
  </si>
  <si>
    <t>Maximale rate of consumption for ox</t>
  </si>
  <si>
    <t>MM constant for ox</t>
  </si>
  <si>
    <t>Max = 330mg/m^2</t>
  </si>
  <si>
    <t>Max = Phase I and Pharmacokinetic Study of Tirapazamine (SR 4233) Administered Every Three Weeks’</t>
  </si>
  <si>
    <t>Min = Phase I and Pharmacokinetic Study of Tirapazamine (SR 4233)
Administered Every Three Weeks’</t>
  </si>
  <si>
    <t>AUC min</t>
  </si>
  <si>
    <t>AUC max</t>
  </si>
  <si>
    <t xml:space="preserve">Unità </t>
  </si>
  <si>
    <t>microg * h / mL</t>
  </si>
  <si>
    <t>cv min</t>
  </si>
  <si>
    <t>cv max</t>
  </si>
  <si>
    <t>Unità</t>
  </si>
  <si>
    <t>mol/m^3</t>
  </si>
  <si>
    <t>Calcolato</t>
  </si>
  <si>
    <t>g/mol</t>
  </si>
  <si>
    <t>Molecular weight</t>
  </si>
  <si>
    <t>Log partition coefficient</t>
  </si>
  <si>
    <t>Hydrogen donor</t>
  </si>
  <si>
    <t>Hydrogen acceptor</t>
  </si>
  <si>
    <t>a</t>
  </si>
  <si>
    <t>b</t>
  </si>
  <si>
    <t>c</t>
  </si>
  <si>
    <t>w</t>
  </si>
  <si>
    <t>x</t>
  </si>
  <si>
    <t>y</t>
  </si>
  <si>
    <t>z</t>
  </si>
  <si>
    <t>Half life</t>
  </si>
  <si>
    <t xml:space="preserve">min </t>
  </si>
  <si>
    <t xml:space="preserve">Ref </t>
  </si>
  <si>
    <t>PHASE I TRIAL OF THE HYPOXIC CELL CYTOTOXIN TIRAPAZAMINE WITH CONCURRENT RADIATION THERAPY IN THE TREATMENT OF REFRACTORY SOLID TUMORS</t>
  </si>
  <si>
    <t>s</t>
  </si>
  <si>
    <t>più o meno 25%</t>
  </si>
  <si>
    <t>max2</t>
  </si>
  <si>
    <t>max2 = 390mg/m^2 Phase I Tirapazamine in Childre</t>
  </si>
  <si>
    <t>max = 1,25 10^-6 cm^2/s</t>
  </si>
  <si>
    <t>m^2/s</t>
  </si>
  <si>
    <t>m/s</t>
  </si>
  <si>
    <t>EXTRAVASCULAR DIFFUSION OF TIRAPAZAMINE: EFFECT OF METABOLIC CONSUMPTION ASSESSED USING THE MULTICELLULAR LAYER MODE</t>
  </si>
  <si>
    <t>Min = 200 mg/m^2</t>
  </si>
  <si>
    <t>Maximal rate of consumption for drug</t>
  </si>
  <si>
    <t>19-58 min Half life</t>
  </si>
  <si>
    <t>Phase I and Pharmacokinetic Study of Tirapazamine (SR 4233) Administered Every Three Weeks’</t>
  </si>
  <si>
    <t>Prediction of Tumour Tissue Diffusion Coefficients of Hypoxia-Activated Prodrugs from Physicochemical Parameters</t>
  </si>
  <si>
    <t>mol/(m^3*s)</t>
  </si>
  <si>
    <t>Multicellular Resistance to Tirapazamine Is Due to Restricted Extravascular Transport: A Pharmacokinetic/Pharmacodynamic Study in HT29 Multicellular Layer Cultures</t>
  </si>
  <si>
    <t>più e meno 25%</t>
  </si>
  <si>
    <t>2mmHg-10mmHg</t>
  </si>
  <si>
    <t>Measurement of delivery and metabolism of tirapazamine to tumour tissue using the multilayered cell culture model cambiato da 1mmHg</t>
  </si>
  <si>
    <t>min AUC = 443 ug*min/mL</t>
  </si>
  <si>
    <t>max AUC = 1000ug*min/mL</t>
  </si>
  <si>
    <t xml:space="preserve">Non ci sono dosi specifiche corrispondenti,  la AUC varia molto da perosna a persona vedi anche </t>
  </si>
  <si>
    <t>..\Articoli\tpzpk.pdf</t>
  </si>
  <si>
    <t>(mol/m^3)^-2</t>
  </si>
  <si>
    <t>30mmHg-100mmHg</t>
  </si>
  <si>
    <t>mol/m^3/s</t>
  </si>
  <si>
    <t>1mmHg/s - 8 mmHg/s</t>
  </si>
  <si>
    <t>Sensitivity analysis of a multi-physics model for the vascular microenvironmen</t>
  </si>
  <si>
    <t>A computational model of drug delivery through microcirculation to compare different tumor treatments</t>
  </si>
  <si>
    <t>0,5mmHg-1mmHg</t>
  </si>
  <si>
    <t>3 esperimenti nello studio</t>
  </si>
  <si>
    <t>Sensitivity e Cattaneo</t>
  </si>
  <si>
    <t xml:space="preserve">Sensitivity </t>
  </si>
  <si>
    <t>2 ordini di grandezza</t>
  </si>
  <si>
    <t>minimo e max dallo studio</t>
  </si>
  <si>
    <t>AUC</t>
  </si>
  <si>
    <t>ug*min/mL</t>
  </si>
  <si>
    <t>mol * s / m^3</t>
  </si>
  <si>
    <t>Interstitial volume fraction</t>
  </si>
  <si>
    <t>c_v0_tpz</t>
  </si>
  <si>
    <t>D_tpz</t>
  </si>
  <si>
    <t>alpha</t>
  </si>
  <si>
    <t>phi_0</t>
  </si>
  <si>
    <t>P_ox</t>
  </si>
  <si>
    <t>Sensitivity</t>
  </si>
  <si>
    <t>Permeability oxygen</t>
  </si>
  <si>
    <t>Diffusion coefficient oxygen</t>
  </si>
  <si>
    <t>D_ox</t>
  </si>
  <si>
    <t>min = 0,18 * 10^-6  cm^2/S</t>
  </si>
  <si>
    <t>min2 = 4E-11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</si>
</sst>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/>
    <xf numFmtId="11" fontId="0" fillId="0" borderId="0" xfId="0" applyNumberFormat="1" applyFont="1"/>
    <xf numFmtId="11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10" fontId="0" fillId="0" borderId="0" xfId="0" applyNumberFormat="1"/>
    <xf numFmtId="0" fontId="1" fillId="0" borderId="0" xfId="1"/>
    <xf numFmtId="0" fontId="1" fillId="0" borderId="0" xfId="1" applyAlignment="1">
      <alignment wrapText="1"/>
    </xf>
    <xf numFmtId="0" fontId="1" fillId="0" borderId="0" xfId="1" applyAlignment="1"/>
    <xf numFmtId="11" fontId="0" fillId="0" borderId="0" xfId="0" applyNumberFormat="1" applyFill="1"/>
    <xf numFmtId="11" fontId="0" fillId="2" borderId="0" xfId="0" applyNumberFormat="1" applyFill="1"/>
    <xf numFmtId="0" fontId="0" fillId="0" borderId="0" xfId="0" applyFont="1" applyFill="1"/>
    <xf numFmtId="11" fontId="0" fillId="0" borderId="0" xfId="0" applyNumberFormat="1" applyFont="1" applyFill="1"/>
    <xf numFmtId="0" fontId="0" fillId="0" borderId="0" xfId="0" applyFill="1"/>
    <xf numFmtId="0" fontId="1" fillId="0" borderId="0" xfId="1" applyFill="1"/>
    <xf numFmtId="0" fontId="1" fillId="0" borderId="0" xfId="1" applyFill="1" applyAlignme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\Articoli\tpzpk.pdf" TargetMode="External"/><Relationship Id="rId2" Type="http://schemas.openxmlformats.org/officeDocument/2006/relationships/hyperlink" Target="..\Articoli\Phase%20I%20Trial%20of%20Tirapazamine%20in%20Combination%20With%20Cisplatin%20in%20a%20Single%20Dose%20Every%203%20Weeks%20in%20Patients%20With%20Solid%20Tumors.pdf" TargetMode="External"/><Relationship Id="rId1" Type="http://schemas.openxmlformats.org/officeDocument/2006/relationships/hyperlink" Target="..\Articoli\PHASE%20I%20TRIAL%20OF%20THE%20HYPOXIC%20CELL%20CYTOTOXIN%20TIRAPAZAMINE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Articoli\Prediction%20of%20Tumour%20Tissue%20Diffusion%20Coefficients%20Dmcl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..\Articoli\Sensitivity_analysis_of_microvascular_environment_IJNMBE%20(1).pdf" TargetMode="External"/><Relationship Id="rId3" Type="http://schemas.openxmlformats.org/officeDocument/2006/relationships/hyperlink" Target="..\Articoli\Multicellular%20Resistance%20to%20Tirapazamine%20Is%20Due%20to%20Restricted%20Extravascular.pdf" TargetMode="External"/><Relationship Id="rId7" Type="http://schemas.openxmlformats.org/officeDocument/2006/relationships/hyperlink" Target="..\Articoli\A%20computational%20model%20for%20microcirculation%20including.pdf" TargetMode="External"/><Relationship Id="rId2" Type="http://schemas.openxmlformats.org/officeDocument/2006/relationships/hyperlink" Target="..\Articoli\Phase%20I%20Trial%20of%20Tirapazamine%20in%20Combination%20With%20Cisplatin%20in%20a%20Single%20Dose%20Every%203%20Weeks%20in%20Patients%20With%20Solid%20Tumors.pdf" TargetMode="External"/><Relationship Id="rId1" Type="http://schemas.openxmlformats.org/officeDocument/2006/relationships/hyperlink" Target="..\Articoli\EXTRAVASCULAR%20DIFFUSION%20OF%20TIRAPAZAMINE%20EFFECT%20OF.pdf" TargetMode="External"/><Relationship Id="rId6" Type="http://schemas.openxmlformats.org/officeDocument/2006/relationships/hyperlink" Target="..\Articoli\Sensitivity_analysis_of_microvascular_environment_IJNMBE%20(1).pdf" TargetMode="External"/><Relationship Id="rId5" Type="http://schemas.openxmlformats.org/officeDocument/2006/relationships/hyperlink" Target="..\Articoli\Measurement%20of%20delivery%20and%20metabolism%20of%20tirapazamine.pdf" TargetMode="External"/><Relationship Id="rId4" Type="http://schemas.openxmlformats.org/officeDocument/2006/relationships/hyperlink" Target="..\Articoli\Multicellular%20Resistance%20to%20Tirapazamine%20Is%20Due%20to%20Restricted%20Extravascular.pdf" TargetMode="External"/><Relationship Id="rId9" Type="http://schemas.openxmlformats.org/officeDocument/2006/relationships/hyperlink" Target="..\Articoli\EXTRAVASCULAR%20DIFFUSION%20OF%20TIRAPAZAMINE%20EFFECT%20OF.pd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..\Articoli\Measurement%20of%20delivery%20and%20metabolism%20of%20tirapazamine.pdf" TargetMode="External"/><Relationship Id="rId2" Type="http://schemas.openxmlformats.org/officeDocument/2006/relationships/hyperlink" Target="..\Articoli\Phase%20I%20Trial%20of%20Tirapazamine%20in%20Combination%20With%20Cisplatin%20in%20a%20Single%20Dose%20Every%203%20Weeks%20in%20Patients%20With%20Solid%20Tumors.pdf" TargetMode="External"/><Relationship Id="rId1" Type="http://schemas.openxmlformats.org/officeDocument/2006/relationships/hyperlink" Target="..\Articoli\EXTRAVASCULAR%20DIFFUSION%20OF%20TIRAPAZAMINE%20EFFECT%20OF.pdf" TargetMode="External"/><Relationship Id="rId6" Type="http://schemas.openxmlformats.org/officeDocument/2006/relationships/hyperlink" Target="..\Articoli\Multicellular%20Resistance%20to%20Tirapazamine%20Is%20Due%20to%20Restricted%20Extravascular.pdf" TargetMode="External"/><Relationship Id="rId5" Type="http://schemas.openxmlformats.org/officeDocument/2006/relationships/hyperlink" Target="..\Articoli\Sensitivity_analysis_of_microvascular_environment_IJNMBE%20(1).pdf" TargetMode="External"/><Relationship Id="rId4" Type="http://schemas.openxmlformats.org/officeDocument/2006/relationships/hyperlink" Target="..\Articoli\A%20computational%20model%20for%20microcirculation%20including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9E68E-B337-4326-86D8-ACD1FEFC59A8}">
  <dimension ref="A1:J7"/>
  <sheetViews>
    <sheetView workbookViewId="0">
      <selection activeCell="E8" sqref="E8"/>
    </sheetView>
  </sheetViews>
  <sheetFormatPr defaultRowHeight="14.4" x14ac:dyDescent="0.3"/>
  <cols>
    <col min="1" max="1" width="6.88671875" bestFit="1" customWidth="1"/>
    <col min="2" max="2" width="14.6640625" bestFit="1" customWidth="1"/>
    <col min="5" max="5" width="12" bestFit="1" customWidth="1"/>
    <col min="6" max="6" width="135.5546875" bestFit="1" customWidth="1"/>
    <col min="7" max="7" width="18.88671875" customWidth="1"/>
    <col min="8" max="8" width="23.77734375" bestFit="1" customWidth="1"/>
    <col min="9" max="9" width="81.109375" bestFit="1" customWidth="1"/>
  </cols>
  <sheetData>
    <row r="1" spans="1:10" x14ac:dyDescent="0.3">
      <c r="A1" s="1" t="s">
        <v>0</v>
      </c>
      <c r="B1" s="1" t="s">
        <v>1</v>
      </c>
      <c r="C1" s="2" t="s">
        <v>4</v>
      </c>
      <c r="D1" s="1" t="s">
        <v>5</v>
      </c>
      <c r="E1" s="1" t="s">
        <v>2</v>
      </c>
      <c r="F1" s="1" t="s">
        <v>3</v>
      </c>
    </row>
    <row r="2" spans="1:10" x14ac:dyDescent="0.3">
      <c r="A2" t="s">
        <v>6</v>
      </c>
      <c r="C2">
        <v>1558</v>
      </c>
      <c r="D2">
        <v>5020</v>
      </c>
      <c r="E2" t="s">
        <v>60</v>
      </c>
      <c r="F2" s="7" t="s">
        <v>59</v>
      </c>
      <c r="G2" t="s">
        <v>70</v>
      </c>
    </row>
    <row r="3" spans="1:10" x14ac:dyDescent="0.3">
      <c r="A3" t="s">
        <v>7</v>
      </c>
      <c r="C3" s="3">
        <v>1.7812000000000001E-2</v>
      </c>
      <c r="D3" s="3">
        <v>4.7334000000000001E-2</v>
      </c>
      <c r="E3" t="s">
        <v>42</v>
      </c>
      <c r="F3" s="8" t="s">
        <v>71</v>
      </c>
      <c r="G3" t="s">
        <v>78</v>
      </c>
      <c r="H3" t="s">
        <v>79</v>
      </c>
      <c r="I3" t="s">
        <v>80</v>
      </c>
      <c r="J3" s="7" t="s">
        <v>81</v>
      </c>
    </row>
    <row r="4" spans="1:10" x14ac:dyDescent="0.3">
      <c r="A4" t="s">
        <v>8</v>
      </c>
      <c r="C4">
        <f>45*60</f>
        <v>2700</v>
      </c>
      <c r="D4">
        <f>75*60</f>
        <v>4500</v>
      </c>
      <c r="E4" t="s">
        <v>60</v>
      </c>
      <c r="F4" s="6" t="s">
        <v>61</v>
      </c>
    </row>
    <row r="5" spans="1:10" x14ac:dyDescent="0.3">
      <c r="A5" t="s">
        <v>9</v>
      </c>
      <c r="C5">
        <f>105*60</f>
        <v>6300</v>
      </c>
      <c r="D5">
        <f>135*60</f>
        <v>8100</v>
      </c>
      <c r="E5" t="s">
        <v>60</v>
      </c>
      <c r="F5" s="6" t="s">
        <v>61</v>
      </c>
    </row>
    <row r="6" spans="1:10" x14ac:dyDescent="0.3">
      <c r="A6" t="s">
        <v>94</v>
      </c>
      <c r="C6">
        <v>400</v>
      </c>
      <c r="D6">
        <v>1000</v>
      </c>
      <c r="E6" t="s">
        <v>95</v>
      </c>
    </row>
    <row r="7" spans="1:10" x14ac:dyDescent="0.3">
      <c r="A7" t="s">
        <v>94</v>
      </c>
      <c r="C7">
        <f>C6*60/178</f>
        <v>134.83146067415731</v>
      </c>
      <c r="D7">
        <f>D6*60/178</f>
        <v>337.07865168539325</v>
      </c>
      <c r="E7" t="s">
        <v>96</v>
      </c>
    </row>
  </sheetData>
  <hyperlinks>
    <hyperlink ref="F2" r:id="rId1" xr:uid="{BE128517-2BEB-4B38-B1CB-30A3FEC035AD}"/>
    <hyperlink ref="F3" r:id="rId2" xr:uid="{7C7E8A8E-92F1-4D0D-8E85-31076108E1C7}"/>
    <hyperlink ref="J3" r:id="rId3" xr:uid="{BEE38251-643E-4F13-A5FD-F2D8AE0DDE7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D21FA-2B42-4569-BD76-D121EC40BC64}">
  <dimension ref="A1:F12"/>
  <sheetViews>
    <sheetView workbookViewId="0">
      <selection activeCell="B3" sqref="B3"/>
    </sheetView>
  </sheetViews>
  <sheetFormatPr defaultRowHeight="14.4" x14ac:dyDescent="0.3"/>
  <cols>
    <col min="1" max="1" width="10.77734375" bestFit="1" customWidth="1"/>
    <col min="2" max="2" width="20.77734375" bestFit="1" customWidth="1"/>
    <col min="6" max="6" width="97.109375" bestFit="1" customWidth="1"/>
  </cols>
  <sheetData>
    <row r="1" spans="1:6" x14ac:dyDescent="0.3">
      <c r="A1" s="1" t="s">
        <v>0</v>
      </c>
      <c r="B1" s="1" t="s">
        <v>1</v>
      </c>
      <c r="C1" s="2" t="s">
        <v>4</v>
      </c>
      <c r="D1" s="1" t="s">
        <v>5</v>
      </c>
      <c r="E1" s="1" t="s">
        <v>2</v>
      </c>
      <c r="F1" s="1" t="s">
        <v>3</v>
      </c>
    </row>
    <row r="2" spans="1:6" x14ac:dyDescent="0.3">
      <c r="A2" t="s">
        <v>10</v>
      </c>
      <c r="B2" t="s">
        <v>45</v>
      </c>
      <c r="C2">
        <v>162</v>
      </c>
      <c r="D2">
        <v>539</v>
      </c>
      <c r="E2" t="s">
        <v>44</v>
      </c>
      <c r="F2" s="7" t="s">
        <v>72</v>
      </c>
    </row>
    <row r="3" spans="1:6" x14ac:dyDescent="0.3">
      <c r="A3" t="s">
        <v>11</v>
      </c>
      <c r="B3" t="s">
        <v>46</v>
      </c>
      <c r="C3">
        <v>-2.62</v>
      </c>
      <c r="D3">
        <v>2.63</v>
      </c>
    </row>
    <row r="4" spans="1:6" x14ac:dyDescent="0.3">
      <c r="A4" t="s">
        <v>12</v>
      </c>
      <c r="B4" t="s">
        <v>47</v>
      </c>
      <c r="C4">
        <v>0</v>
      </c>
      <c r="D4">
        <v>3</v>
      </c>
    </row>
    <row r="5" spans="1:6" x14ac:dyDescent="0.3">
      <c r="A5" t="s">
        <v>13</v>
      </c>
      <c r="B5" t="s">
        <v>48</v>
      </c>
      <c r="C5">
        <v>5</v>
      </c>
      <c r="D5">
        <v>11</v>
      </c>
    </row>
    <row r="6" spans="1:6" x14ac:dyDescent="0.3">
      <c r="A6" t="s">
        <v>49</v>
      </c>
      <c r="B6" s="5">
        <v>-5.2</v>
      </c>
    </row>
    <row r="7" spans="1:6" x14ac:dyDescent="0.3">
      <c r="A7" t="s">
        <v>50</v>
      </c>
      <c r="B7" s="5">
        <v>-0.62</v>
      </c>
    </row>
    <row r="8" spans="1:6" x14ac:dyDescent="0.3">
      <c r="A8" t="s">
        <v>51</v>
      </c>
      <c r="B8" s="5">
        <v>1.149</v>
      </c>
    </row>
    <row r="9" spans="1:6" x14ac:dyDescent="0.3">
      <c r="A9" t="s">
        <v>52</v>
      </c>
      <c r="B9" s="5">
        <v>0.78</v>
      </c>
    </row>
    <row r="10" spans="1:6" x14ac:dyDescent="0.3">
      <c r="A10" t="s">
        <v>53</v>
      </c>
      <c r="B10" s="5">
        <v>-3.67</v>
      </c>
    </row>
    <row r="11" spans="1:6" x14ac:dyDescent="0.3">
      <c r="A11" t="s">
        <v>54</v>
      </c>
      <c r="B11" s="5">
        <v>-1.109</v>
      </c>
    </row>
    <row r="12" spans="1:6" x14ac:dyDescent="0.3">
      <c r="A12" t="s">
        <v>55</v>
      </c>
      <c r="B12" s="5">
        <v>-0.35</v>
      </c>
    </row>
  </sheetData>
  <hyperlinks>
    <hyperlink ref="F2" r:id="rId1" xr:uid="{5FBDA476-D7CC-4B1E-A198-7295B7FC0D7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F827-1918-4A7D-8E06-5311336032EB}">
  <dimension ref="A1:K15"/>
  <sheetViews>
    <sheetView workbookViewId="0">
      <selection sqref="A1:XFD15"/>
    </sheetView>
  </sheetViews>
  <sheetFormatPr defaultRowHeight="14.4" x14ac:dyDescent="0.3"/>
  <cols>
    <col min="1" max="1" width="10" bestFit="1" customWidth="1"/>
    <col min="2" max="2" width="46.77734375" bestFit="1" customWidth="1"/>
    <col min="3" max="4" width="8.88671875" style="3"/>
    <col min="5" max="5" width="11.5546875" style="3" bestFit="1" customWidth="1"/>
    <col min="6" max="6" width="12.21875" bestFit="1" customWidth="1"/>
    <col min="7" max="7" width="22.5546875" bestFit="1" customWidth="1"/>
    <col min="8" max="8" width="22.21875" bestFit="1" customWidth="1"/>
    <col min="9" max="9" width="119.109375" bestFit="1" customWidth="1"/>
    <col min="10" max="10" width="85.5546875" bestFit="1" customWidth="1"/>
    <col min="11" max="11" width="81.6640625" customWidth="1"/>
    <col min="12" max="12" width="68.109375" customWidth="1"/>
  </cols>
  <sheetData>
    <row r="1" spans="1:11" x14ac:dyDescent="0.3">
      <c r="A1" s="1" t="s">
        <v>0</v>
      </c>
      <c r="B1" s="1" t="s">
        <v>1</v>
      </c>
      <c r="C1" s="2" t="s">
        <v>4</v>
      </c>
      <c r="D1" s="2" t="s">
        <v>5</v>
      </c>
      <c r="E1" s="2" t="s">
        <v>62</v>
      </c>
      <c r="F1" s="1" t="s">
        <v>2</v>
      </c>
      <c r="G1" s="1" t="s">
        <v>3</v>
      </c>
    </row>
    <row r="2" spans="1:11" x14ac:dyDescent="0.3">
      <c r="A2" t="s">
        <v>98</v>
      </c>
      <c r="B2" t="s">
        <v>22</v>
      </c>
      <c r="C2" s="3">
        <v>1.7812000000000001E-2</v>
      </c>
      <c r="D2" s="3">
        <v>4.7334000000000001E-2</v>
      </c>
      <c r="E2" s="3">
        <v>6.2909000000000007E-2</v>
      </c>
      <c r="F2" t="s">
        <v>42</v>
      </c>
      <c r="G2" t="s">
        <v>68</v>
      </c>
      <c r="H2" t="s">
        <v>32</v>
      </c>
      <c r="I2" s="7" t="s">
        <v>34</v>
      </c>
      <c r="J2" t="s">
        <v>33</v>
      </c>
      <c r="K2" t="s">
        <v>63</v>
      </c>
    </row>
    <row r="3" spans="1:11" x14ac:dyDescent="0.3">
      <c r="A3" t="s">
        <v>99</v>
      </c>
      <c r="B3" t="s">
        <v>23</v>
      </c>
      <c r="C3" s="3">
        <f>0.000000000018</f>
        <v>1.7999999999999999E-11</v>
      </c>
      <c r="D3" s="3">
        <f>0.000000000125</f>
        <v>1.2500000000000001E-10</v>
      </c>
      <c r="E3" s="11" t="s">
        <v>108</v>
      </c>
      <c r="F3" t="s">
        <v>65</v>
      </c>
      <c r="G3" t="s">
        <v>107</v>
      </c>
      <c r="H3" t="s">
        <v>64</v>
      </c>
      <c r="I3" s="7" t="s">
        <v>67</v>
      </c>
    </row>
    <row r="4" spans="1:11" x14ac:dyDescent="0.3">
      <c r="A4" t="s">
        <v>14</v>
      </c>
      <c r="B4" t="s">
        <v>24</v>
      </c>
      <c r="C4" s="10">
        <f>0.00005 -0.25*0.00005</f>
        <v>3.7500000000000003E-5</v>
      </c>
      <c r="D4" s="10">
        <f>0.00005 +0.25*0.00005</f>
        <v>6.2500000000000001E-5</v>
      </c>
      <c r="F4" t="s">
        <v>66</v>
      </c>
      <c r="H4" t="s">
        <v>92</v>
      </c>
      <c r="I4" s="7"/>
    </row>
    <row r="5" spans="1:11" x14ac:dyDescent="0.3">
      <c r="A5" t="s">
        <v>15</v>
      </c>
      <c r="B5" t="s">
        <v>25</v>
      </c>
      <c r="C5" s="3">
        <f>0.3/60</f>
        <v>5.0000000000000001E-3</v>
      </c>
      <c r="D5" s="3">
        <f>2/60</f>
        <v>3.3333333333333333E-2</v>
      </c>
      <c r="F5" t="s">
        <v>60</v>
      </c>
      <c r="H5" t="s">
        <v>93</v>
      </c>
      <c r="I5" s="7" t="s">
        <v>67</v>
      </c>
    </row>
    <row r="6" spans="1:11" x14ac:dyDescent="0.3">
      <c r="A6" t="s">
        <v>16</v>
      </c>
      <c r="B6" t="s">
        <v>69</v>
      </c>
      <c r="C6" s="3">
        <f>0.000142 - 0.25*0.000142</f>
        <v>1.0650000000000001E-4</v>
      </c>
      <c r="D6" s="3">
        <f>0.000142 + 0.25*0.000142</f>
        <v>1.775E-4</v>
      </c>
      <c r="F6" t="s">
        <v>73</v>
      </c>
      <c r="G6" t="s">
        <v>75</v>
      </c>
      <c r="I6" s="7" t="s">
        <v>74</v>
      </c>
    </row>
    <row r="7" spans="1:11" x14ac:dyDescent="0.3">
      <c r="A7" t="s">
        <v>17</v>
      </c>
      <c r="B7" t="s">
        <v>26</v>
      </c>
      <c r="C7" s="3">
        <f>0.0035 - 0.25*0.0035</f>
        <v>2.6250000000000002E-3</v>
      </c>
      <c r="D7" s="3">
        <f>0.0035 + 0.25*0.0035</f>
        <v>4.3750000000000004E-3</v>
      </c>
      <c r="F7" t="s">
        <v>42</v>
      </c>
      <c r="G7" t="s">
        <v>75</v>
      </c>
      <c r="I7" s="7" t="s">
        <v>74</v>
      </c>
    </row>
    <row r="8" spans="1:11" x14ac:dyDescent="0.3">
      <c r="A8" t="s">
        <v>18</v>
      </c>
      <c r="B8" t="s">
        <v>27</v>
      </c>
      <c r="C8" s="3">
        <f>2*0.0013</f>
        <v>2.5999999999999999E-3</v>
      </c>
      <c r="D8" s="3">
        <f>10*0.0013</f>
        <v>1.2999999999999999E-2</v>
      </c>
      <c r="F8" t="s">
        <v>42</v>
      </c>
      <c r="G8" t="s">
        <v>76</v>
      </c>
      <c r="H8" t="s">
        <v>89</v>
      </c>
      <c r="I8" s="9" t="s">
        <v>77</v>
      </c>
    </row>
    <row r="9" spans="1:11" x14ac:dyDescent="0.3">
      <c r="A9" t="s">
        <v>100</v>
      </c>
      <c r="B9" t="s">
        <v>28</v>
      </c>
      <c r="C9" s="3">
        <f>23.3 - 0.25*23.3</f>
        <v>17.475000000000001</v>
      </c>
      <c r="D9" s="3">
        <f>23.3 + 0.25*23.3</f>
        <v>29.125</v>
      </c>
      <c r="F9" t="s">
        <v>82</v>
      </c>
      <c r="G9" t="s">
        <v>75</v>
      </c>
    </row>
    <row r="10" spans="1:11" x14ac:dyDescent="0.3">
      <c r="A10" t="s">
        <v>101</v>
      </c>
      <c r="B10" t="s">
        <v>97</v>
      </c>
      <c r="C10" s="3">
        <f>0.517 - 0.25*0.517</f>
        <v>0.38775000000000004</v>
      </c>
      <c r="D10" s="3">
        <f>0.517 + 0.25*0.517</f>
        <v>0.64624999999999999</v>
      </c>
      <c r="G10" t="s">
        <v>75</v>
      </c>
    </row>
    <row r="11" spans="1:11" x14ac:dyDescent="0.3">
      <c r="A11" t="s">
        <v>19</v>
      </c>
      <c r="B11" t="s">
        <v>29</v>
      </c>
      <c r="C11" s="3">
        <f>30*0.0013</f>
        <v>3.9E-2</v>
      </c>
      <c r="D11" s="3">
        <f>100*0.0013</f>
        <v>0.13</v>
      </c>
      <c r="F11" t="s">
        <v>42</v>
      </c>
      <c r="G11" t="s">
        <v>83</v>
      </c>
    </row>
    <row r="12" spans="1:11" x14ac:dyDescent="0.3">
      <c r="A12" t="s">
        <v>20</v>
      </c>
      <c r="B12" t="s">
        <v>30</v>
      </c>
      <c r="C12" s="3">
        <f>1*0.0013</f>
        <v>1.2999999999999999E-3</v>
      </c>
      <c r="D12" s="3">
        <f>8*0.0013</f>
        <v>1.04E-2</v>
      </c>
      <c r="F12" t="s">
        <v>84</v>
      </c>
      <c r="G12" t="s">
        <v>85</v>
      </c>
      <c r="H12" t="s">
        <v>90</v>
      </c>
      <c r="I12" s="7" t="s">
        <v>86</v>
      </c>
      <c r="J12" s="7" t="s">
        <v>87</v>
      </c>
    </row>
    <row r="13" spans="1:11" x14ac:dyDescent="0.3">
      <c r="A13" t="s">
        <v>21</v>
      </c>
      <c r="B13" t="s">
        <v>31</v>
      </c>
      <c r="C13" s="3">
        <f>0.5*0.0013</f>
        <v>6.4999999999999997E-4</v>
      </c>
      <c r="D13" s="3">
        <f>1*0.0013</f>
        <v>1.2999999999999999E-3</v>
      </c>
      <c r="F13" t="s">
        <v>84</v>
      </c>
      <c r="G13" t="s">
        <v>88</v>
      </c>
      <c r="H13" t="s">
        <v>91</v>
      </c>
      <c r="I13" s="7" t="s">
        <v>86</v>
      </c>
    </row>
    <row r="14" spans="1:11" x14ac:dyDescent="0.3">
      <c r="A14" t="s">
        <v>102</v>
      </c>
      <c r="B14" t="s">
        <v>104</v>
      </c>
      <c r="C14" s="3">
        <v>3.4999999999999997E-5</v>
      </c>
      <c r="D14" s="3">
        <v>2.9999999999999997E-4</v>
      </c>
      <c r="F14" t="s">
        <v>66</v>
      </c>
      <c r="G14" t="s">
        <v>103</v>
      </c>
    </row>
    <row r="15" spans="1:11" x14ac:dyDescent="0.3">
      <c r="A15" t="s">
        <v>106</v>
      </c>
      <c r="B15" t="s">
        <v>105</v>
      </c>
      <c r="C15" s="3">
        <f>0.00000000241 - 0.25*0.00000000241</f>
        <v>1.8075000000000002E-9</v>
      </c>
      <c r="D15" s="3">
        <f>0.00000000241 + 0.25*0.00000000241</f>
        <v>3.0125000000000001E-9</v>
      </c>
      <c r="F15" t="s">
        <v>65</v>
      </c>
      <c r="G15" t="s">
        <v>75</v>
      </c>
    </row>
  </sheetData>
  <hyperlinks>
    <hyperlink ref="I5" r:id="rId1" xr:uid="{3C5DA001-4AB7-48E6-8683-1F1B7E9D1D56}"/>
    <hyperlink ref="I2" r:id="rId2" display="..\Articoli\Phase I Trial of Tirapazamine in Combination With Cisplatin in a Single Dose Every 3 Weeks in Patients With Solid Tumors.pdf" xr:uid="{DAA441D3-ED38-4C00-A994-CEE9C507B41D}"/>
    <hyperlink ref="I6" r:id="rId3" xr:uid="{24D72E2F-DE9C-457E-9B31-427E9A24EA51}"/>
    <hyperlink ref="I7" r:id="rId4" xr:uid="{F1E1D572-AEA2-4B85-A881-1E2401E1D643}"/>
    <hyperlink ref="I8" r:id="rId5" xr:uid="{A9436EE1-92EC-4332-8875-CCAB7E433FE9}"/>
    <hyperlink ref="I12" r:id="rId6" xr:uid="{AAF8A1AA-FF97-46CF-B95B-E85126DDBCD7}"/>
    <hyperlink ref="J12" r:id="rId7" xr:uid="{B5C3F270-50CF-4049-B8EF-3878E9B6173E}"/>
    <hyperlink ref="I13" r:id="rId8" xr:uid="{F0719086-7CCB-430C-A9EC-2883004026C3}"/>
    <hyperlink ref="I3" r:id="rId9" xr:uid="{70191A13-9D46-4B0B-89CF-CC2C09EA7A2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B2EBF-B211-4165-8C21-D9B50DCEFF4C}">
  <dimension ref="A1:K8"/>
  <sheetViews>
    <sheetView tabSelected="1" workbookViewId="0">
      <selection activeCell="B14" sqref="B14"/>
    </sheetView>
  </sheetViews>
  <sheetFormatPr defaultRowHeight="14.4" x14ac:dyDescent="0.3"/>
  <cols>
    <col min="1" max="1" width="10" style="14" bestFit="1" customWidth="1"/>
    <col min="2" max="2" width="46.77734375" style="14" bestFit="1" customWidth="1"/>
    <col min="3" max="4" width="8.44140625" style="14" bestFit="1" customWidth="1"/>
    <col min="5" max="5" width="11.5546875" style="14" bestFit="1" customWidth="1"/>
    <col min="6" max="6" width="12.21875" style="14" bestFit="1" customWidth="1"/>
    <col min="7" max="7" width="23.21875" style="14" bestFit="1" customWidth="1"/>
    <col min="8" max="8" width="22.6640625" style="14" bestFit="1" customWidth="1"/>
    <col min="9" max="9" width="139.109375" style="14" bestFit="1" customWidth="1"/>
    <col min="10" max="10" width="87.88671875" style="14" bestFit="1" customWidth="1"/>
    <col min="11" max="11" width="43.5546875" style="14" bestFit="1" customWidth="1"/>
    <col min="12" max="16384" width="8.88671875" style="14"/>
  </cols>
  <sheetData>
    <row r="1" spans="1:11" x14ac:dyDescent="0.3">
      <c r="A1" s="12" t="s">
        <v>0</v>
      </c>
      <c r="B1" s="12" t="s">
        <v>1</v>
      </c>
      <c r="C1" s="13" t="s">
        <v>4</v>
      </c>
      <c r="D1" s="13" t="s">
        <v>5</v>
      </c>
      <c r="E1" s="13" t="s">
        <v>62</v>
      </c>
      <c r="F1" s="12" t="s">
        <v>2</v>
      </c>
      <c r="G1" s="12" t="s">
        <v>3</v>
      </c>
    </row>
    <row r="2" spans="1:11" x14ac:dyDescent="0.3">
      <c r="A2" s="14" t="s">
        <v>98</v>
      </c>
      <c r="B2" s="14" t="s">
        <v>22</v>
      </c>
      <c r="C2" s="10">
        <v>1.7812000000000001E-2</v>
      </c>
      <c r="D2" s="10">
        <v>4.7334000000000001E-2</v>
      </c>
      <c r="E2" s="10">
        <v>6.2909000000000007E-2</v>
      </c>
      <c r="F2" s="14" t="s">
        <v>42</v>
      </c>
      <c r="G2" s="14" t="s">
        <v>68</v>
      </c>
      <c r="H2" s="14" t="s">
        <v>32</v>
      </c>
      <c r="I2" s="15" t="s">
        <v>34</v>
      </c>
      <c r="J2" s="14" t="s">
        <v>33</v>
      </c>
      <c r="K2" s="14" t="s">
        <v>63</v>
      </c>
    </row>
    <row r="3" spans="1:11" x14ac:dyDescent="0.3">
      <c r="A3" s="14" t="s">
        <v>15</v>
      </c>
      <c r="B3" s="14" t="s">
        <v>25</v>
      </c>
      <c r="C3" s="10">
        <f>0.3/60</f>
        <v>5.0000000000000001E-3</v>
      </c>
      <c r="D3" s="10">
        <f>2/60</f>
        <v>3.3333333333333333E-2</v>
      </c>
      <c r="E3" s="10"/>
      <c r="F3" s="14" t="s">
        <v>60</v>
      </c>
      <c r="H3" s="14" t="s">
        <v>93</v>
      </c>
      <c r="I3" s="15" t="s">
        <v>67</v>
      </c>
    </row>
    <row r="4" spans="1:11" x14ac:dyDescent="0.3">
      <c r="A4" s="14" t="s">
        <v>18</v>
      </c>
      <c r="B4" s="14" t="s">
        <v>27</v>
      </c>
      <c r="C4" s="10">
        <f>2*0.0013</f>
        <v>2.5999999999999999E-3</v>
      </c>
      <c r="D4" s="10">
        <f>10*0.0013</f>
        <v>1.2999999999999999E-2</v>
      </c>
      <c r="E4" s="10"/>
      <c r="F4" s="14" t="s">
        <v>42</v>
      </c>
      <c r="G4" s="14" t="s">
        <v>76</v>
      </c>
      <c r="H4" s="14" t="s">
        <v>89</v>
      </c>
      <c r="I4" s="16" t="s">
        <v>77</v>
      </c>
    </row>
    <row r="5" spans="1:11" x14ac:dyDescent="0.3">
      <c r="A5" s="14" t="s">
        <v>100</v>
      </c>
      <c r="B5" s="14" t="s">
        <v>28</v>
      </c>
      <c r="C5" s="10">
        <f>23.3 - 0.25*23.3</f>
        <v>17.475000000000001</v>
      </c>
      <c r="D5" s="10">
        <f>23.3 + 0.25*23.3</f>
        <v>29.125</v>
      </c>
      <c r="E5" s="10"/>
      <c r="F5" s="14" t="s">
        <v>82</v>
      </c>
      <c r="G5" s="14" t="s">
        <v>75</v>
      </c>
    </row>
    <row r="6" spans="1:11" x14ac:dyDescent="0.3">
      <c r="A6" s="14" t="s">
        <v>19</v>
      </c>
      <c r="B6" s="14" t="s">
        <v>29</v>
      </c>
      <c r="C6" s="10">
        <f>30*0.0013</f>
        <v>3.9E-2</v>
      </c>
      <c r="D6" s="10">
        <f>100*0.0013</f>
        <v>0.13</v>
      </c>
      <c r="E6" s="10"/>
      <c r="F6" s="14" t="s">
        <v>42</v>
      </c>
      <c r="G6" s="14" t="s">
        <v>83</v>
      </c>
    </row>
    <row r="7" spans="1:11" x14ac:dyDescent="0.3">
      <c r="A7" s="14" t="s">
        <v>20</v>
      </c>
      <c r="B7" s="14" t="s">
        <v>30</v>
      </c>
      <c r="C7" s="10">
        <f>1*0.0013</f>
        <v>1.2999999999999999E-3</v>
      </c>
      <c r="D7" s="10">
        <f>8*0.0013</f>
        <v>1.04E-2</v>
      </c>
      <c r="E7" s="10"/>
      <c r="F7" s="14" t="s">
        <v>84</v>
      </c>
      <c r="G7" s="14" t="s">
        <v>85</v>
      </c>
      <c r="H7" s="14" t="s">
        <v>90</v>
      </c>
      <c r="I7" s="15" t="s">
        <v>86</v>
      </c>
      <c r="J7" s="15" t="s">
        <v>87</v>
      </c>
    </row>
    <row r="8" spans="1:11" x14ac:dyDescent="0.3">
      <c r="A8" s="14" t="s">
        <v>102</v>
      </c>
      <c r="B8" s="14" t="s">
        <v>104</v>
      </c>
      <c r="C8" s="10">
        <v>3.4999999999999997E-5</v>
      </c>
      <c r="D8" s="10">
        <v>2.9999999999999997E-4</v>
      </c>
      <c r="E8" s="10"/>
      <c r="F8" s="14" t="s">
        <v>66</v>
      </c>
      <c r="G8" s="14" t="s">
        <v>103</v>
      </c>
    </row>
  </sheetData>
  <hyperlinks>
    <hyperlink ref="I3" r:id="rId1" xr:uid="{5C44C385-CF4F-4CCD-91D2-6F4A7FF442B1}"/>
    <hyperlink ref="I2" r:id="rId2" display="..\Articoli\Phase I Trial of Tirapazamine in Combination With Cisplatin in a Single Dose Every 3 Weeks in Patients With Solid Tumors.pdf" xr:uid="{FC2A67F5-6E52-4FCA-9DEB-F6435B1CF7C6}"/>
    <hyperlink ref="I4" r:id="rId3" xr:uid="{B56558A8-33E4-4409-AC15-C981D9210B7E}"/>
    <hyperlink ref="J7" r:id="rId4" xr:uid="{CC9701AC-CFD2-4955-A561-27160372B1D1}"/>
    <hyperlink ref="I7" r:id="rId5" xr:uid="{194C873E-E8EC-418E-8804-CCF7D3059DC1}"/>
    <hyperlink ref="I3" r:id="rId6" display="Multicellular Resistance to Tirapazamine Is Due to Restricted Extravascular Transport: A Pharmacokinetic/Pharmacodynamic Study in HT29 Multicellular Layer Cultures" xr:uid="{23684FB4-7EA3-4DDF-AF86-EDA0CE0D33E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67D2-7312-4DC4-AC1A-CFA6456E3184}">
  <dimension ref="A1:F3"/>
  <sheetViews>
    <sheetView workbookViewId="0">
      <selection sqref="A1:A1048576"/>
    </sheetView>
  </sheetViews>
  <sheetFormatPr defaultRowHeight="14.4" x14ac:dyDescent="0.3"/>
  <cols>
    <col min="3" max="3" width="18.6640625" bestFit="1" customWidth="1"/>
  </cols>
  <sheetData>
    <row r="1" spans="1:6" x14ac:dyDescent="0.3">
      <c r="A1" t="s">
        <v>35</v>
      </c>
      <c r="B1" t="s">
        <v>36</v>
      </c>
      <c r="C1" t="s">
        <v>37</v>
      </c>
      <c r="D1" t="s">
        <v>39</v>
      </c>
      <c r="E1" t="s">
        <v>40</v>
      </c>
      <c r="F1" t="s">
        <v>41</v>
      </c>
    </row>
    <row r="2" spans="1:6" x14ac:dyDescent="0.3">
      <c r="A2" s="3">
        <f>453.6 / 60</f>
        <v>7.5600000000000005</v>
      </c>
      <c r="B2" s="3">
        <f>1252 / 60</f>
        <v>20.866666666666667</v>
      </c>
      <c r="C2" t="s">
        <v>38</v>
      </c>
      <c r="D2">
        <v>1.7812000000000001E-2</v>
      </c>
      <c r="E2">
        <v>4.7334000000000001E-2</v>
      </c>
      <c r="F2" t="s">
        <v>42</v>
      </c>
    </row>
    <row r="3" spans="1:6" ht="201.6" x14ac:dyDescent="0.3">
      <c r="A3" s="4" t="s">
        <v>34</v>
      </c>
      <c r="B3" s="4" t="s">
        <v>33</v>
      </c>
      <c r="D3" t="s">
        <v>43</v>
      </c>
      <c r="E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E662C-83FF-4E10-8E55-DBD9E4821D96}">
  <dimension ref="A1:E3"/>
  <sheetViews>
    <sheetView workbookViewId="0">
      <selection activeCell="B3" sqref="B3"/>
    </sheetView>
  </sheetViews>
  <sheetFormatPr defaultRowHeight="14.4" x14ac:dyDescent="0.3"/>
  <cols>
    <col min="5" max="5" width="135.5546875" bestFit="1" customWidth="1"/>
  </cols>
  <sheetData>
    <row r="1" spans="1:5" x14ac:dyDescent="0.3">
      <c r="A1" t="s">
        <v>56</v>
      </c>
      <c r="B1" t="s">
        <v>57</v>
      </c>
      <c r="C1" t="s">
        <v>5</v>
      </c>
      <c r="D1" t="s">
        <v>41</v>
      </c>
      <c r="E1" t="s">
        <v>58</v>
      </c>
    </row>
    <row r="2" spans="1:5" x14ac:dyDescent="0.3">
      <c r="B2">
        <v>18</v>
      </c>
      <c r="C2">
        <v>58</v>
      </c>
      <c r="D2" t="s">
        <v>4</v>
      </c>
      <c r="E2" t="s">
        <v>59</v>
      </c>
    </row>
    <row r="3" spans="1:5" x14ac:dyDescent="0.3">
      <c r="A3" t="s">
        <v>6</v>
      </c>
      <c r="B3">
        <f>B2*60/(LN(2))</f>
        <v>1558.1106441600805</v>
      </c>
      <c r="C3">
        <f>C2*60/(LN(2))</f>
        <v>5020.5787422935928</v>
      </c>
      <c r="D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cv</vt:lpstr>
      <vt:lpstr>Dt</vt:lpstr>
      <vt:lpstr>ct</vt:lpstr>
      <vt:lpstr>SF 3D</vt:lpstr>
      <vt:lpstr>Calcolo cv</vt:lpstr>
      <vt:lpstr>Half life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Montanelli Eccher</dc:creator>
  <cp:lastModifiedBy>Riccardo Montanelli Eccher</cp:lastModifiedBy>
  <dcterms:created xsi:type="dcterms:W3CDTF">2023-12-01T12:33:58Z</dcterms:created>
  <dcterms:modified xsi:type="dcterms:W3CDTF">2024-01-08T14:10:10Z</dcterms:modified>
</cp:coreProperties>
</file>