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60" yWindow="560" windowWidth="25040" windowHeight="13980" tabRatio="500"/>
  </bookViews>
  <sheets>
    <sheet name="summary intra" sheetId="5" r:id="rId1"/>
    <sheet name="pre1790Dutchdepart" sheetId="7" r:id="rId2"/>
    <sheet name="pre1790Britishdepart" sheetId="2" r:id="rId3"/>
    <sheet name="post1789SpanArriv" sheetId="3" r:id="rId4"/>
    <sheet name="RiodelaPlata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5" l="1"/>
  <c r="D20" i="4"/>
  <c r="D22" i="4"/>
  <c r="D10" i="4"/>
  <c r="D19" i="4"/>
  <c r="B6" i="5"/>
  <c r="B16" i="5"/>
  <c r="D8" i="4"/>
  <c r="P107" i="2"/>
  <c r="P78" i="2"/>
  <c r="R109" i="2"/>
  <c r="E201" i="2"/>
  <c r="I11" i="2"/>
  <c r="E202" i="2"/>
  <c r="I12" i="2"/>
  <c r="E203" i="2"/>
  <c r="I13" i="2"/>
  <c r="E204" i="2"/>
  <c r="I14" i="2"/>
  <c r="E205" i="2"/>
  <c r="I15" i="2"/>
  <c r="E206" i="2"/>
  <c r="I16" i="2"/>
  <c r="I17" i="2"/>
  <c r="D23" i="2"/>
  <c r="G19" i="2"/>
  <c r="G115" i="2"/>
  <c r="G116" i="2"/>
  <c r="G117" i="2"/>
  <c r="G118" i="2"/>
  <c r="G119" i="2"/>
  <c r="H119" i="2"/>
  <c r="H115" i="2"/>
  <c r="H120" i="2"/>
  <c r="I19" i="2"/>
  <c r="G20" i="2"/>
  <c r="I20" i="2"/>
  <c r="G21" i="2"/>
  <c r="I21" i="2"/>
  <c r="G22" i="2"/>
  <c r="I22" i="2"/>
  <c r="G23" i="2"/>
  <c r="I23" i="2"/>
  <c r="D28" i="2"/>
  <c r="G24" i="2"/>
  <c r="I24" i="2"/>
  <c r="G25" i="2"/>
  <c r="I25" i="2"/>
  <c r="G27" i="2"/>
  <c r="I27" i="2"/>
  <c r="G28" i="2"/>
  <c r="I28" i="2"/>
  <c r="D33" i="2"/>
  <c r="G29" i="2"/>
  <c r="I29" i="2"/>
  <c r="G30" i="2"/>
  <c r="I30" i="2"/>
  <c r="G32" i="2"/>
  <c r="I32" i="2"/>
  <c r="G33" i="2"/>
  <c r="I33" i="2"/>
  <c r="D38" i="2"/>
  <c r="G34" i="2"/>
  <c r="I34" i="2"/>
  <c r="G35" i="2"/>
  <c r="I35" i="2"/>
  <c r="G36" i="2"/>
  <c r="I36" i="2"/>
  <c r="G37" i="2"/>
  <c r="I37" i="2"/>
  <c r="G38" i="2"/>
  <c r="I38" i="2"/>
  <c r="D43" i="2"/>
  <c r="G39" i="2"/>
  <c r="I39" i="2"/>
  <c r="G40" i="2"/>
  <c r="I40" i="2"/>
  <c r="G41" i="2"/>
  <c r="I41" i="2"/>
  <c r="G42" i="2"/>
  <c r="I42" i="2"/>
  <c r="G43" i="2"/>
  <c r="I43" i="2"/>
  <c r="D48" i="2"/>
  <c r="G44" i="2"/>
  <c r="I44" i="2"/>
  <c r="G45" i="2"/>
  <c r="I45" i="2"/>
  <c r="G46" i="2"/>
  <c r="I46" i="2"/>
  <c r="G47" i="2"/>
  <c r="I47" i="2"/>
  <c r="G48" i="2"/>
  <c r="I48" i="2"/>
  <c r="D53" i="2"/>
  <c r="G49" i="2"/>
  <c r="I49" i="2"/>
  <c r="G50" i="2"/>
  <c r="I50" i="2"/>
  <c r="G51" i="2"/>
  <c r="I51" i="2"/>
  <c r="G52" i="2"/>
  <c r="I52" i="2"/>
  <c r="G53" i="2"/>
  <c r="I53" i="2"/>
  <c r="D58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D83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I109" i="2"/>
  <c r="J109" i="2"/>
  <c r="K109" i="2"/>
  <c r="F201" i="2"/>
  <c r="L11" i="2"/>
  <c r="F202" i="2"/>
  <c r="L12" i="2"/>
  <c r="F203" i="2"/>
  <c r="L13" i="2"/>
  <c r="F204" i="2"/>
  <c r="L14" i="2"/>
  <c r="F205" i="2"/>
  <c r="L15" i="2"/>
  <c r="F206" i="2"/>
  <c r="L16" i="2"/>
  <c r="L17" i="2"/>
  <c r="L109" i="2"/>
  <c r="M109" i="2"/>
  <c r="N123" i="2"/>
  <c r="N109" i="2"/>
  <c r="O109" i="2"/>
  <c r="N107" i="2"/>
  <c r="O107" i="2"/>
  <c r="N106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N92" i="2"/>
  <c r="O92" i="2"/>
  <c r="N91" i="2"/>
  <c r="O91" i="2"/>
  <c r="N90" i="2"/>
  <c r="O90" i="2"/>
  <c r="N89" i="2"/>
  <c r="O89" i="2"/>
  <c r="N88" i="2"/>
  <c r="O88" i="2"/>
  <c r="N87" i="2"/>
  <c r="O87" i="2"/>
  <c r="N86" i="2"/>
  <c r="O86" i="2"/>
  <c r="N85" i="2"/>
  <c r="O85" i="2"/>
  <c r="N84" i="2"/>
  <c r="O84" i="2"/>
  <c r="N83" i="2"/>
  <c r="O83" i="2"/>
  <c r="N82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N55" i="2"/>
  <c r="O55" i="2"/>
  <c r="N54" i="2"/>
  <c r="O54" i="2"/>
  <c r="N53" i="2"/>
  <c r="O53" i="2"/>
  <c r="N52" i="2"/>
  <c r="O52" i="2"/>
  <c r="N51" i="2"/>
  <c r="O51" i="2"/>
  <c r="N50" i="2"/>
  <c r="O50" i="2"/>
  <c r="N49" i="2"/>
  <c r="O49" i="2"/>
  <c r="N48" i="2"/>
  <c r="O48" i="2"/>
  <c r="N47" i="2"/>
  <c r="O47" i="2"/>
  <c r="N46" i="2"/>
  <c r="O46" i="2"/>
  <c r="N45" i="2"/>
  <c r="O45" i="2"/>
  <c r="O44" i="2"/>
  <c r="O43" i="2"/>
  <c r="N42" i="2"/>
  <c r="O42" i="2"/>
  <c r="N41" i="2"/>
  <c r="O41" i="2"/>
  <c r="O40" i="2"/>
  <c r="O39" i="2"/>
  <c r="O38" i="2"/>
  <c r="N37" i="2"/>
  <c r="O37" i="2"/>
  <c r="N36" i="2"/>
  <c r="O36" i="2"/>
  <c r="N35" i="2"/>
  <c r="O35" i="2"/>
  <c r="N34" i="2"/>
  <c r="O34" i="2"/>
  <c r="N33" i="2"/>
  <c r="O33" i="2"/>
  <c r="O32" i="2"/>
  <c r="N31" i="2"/>
  <c r="O31" i="2"/>
  <c r="O30" i="2"/>
  <c r="O29" i="2"/>
  <c r="O28" i="2"/>
  <c r="O27" i="2"/>
  <c r="O26" i="2"/>
  <c r="O25" i="2"/>
  <c r="O24" i="2"/>
  <c r="O23" i="2"/>
  <c r="O22" i="2"/>
  <c r="O21" i="2"/>
  <c r="O20" i="2"/>
  <c r="N19" i="2"/>
  <c r="O19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22" i="2"/>
  <c r="N121" i="2"/>
  <c r="N120" i="2"/>
  <c r="N119" i="2"/>
  <c r="N118" i="2"/>
  <c r="N117" i="2"/>
  <c r="N116" i="2"/>
  <c r="N115" i="2"/>
  <c r="N114" i="2"/>
  <c r="N113" i="2"/>
  <c r="H185" i="2"/>
  <c r="G31" i="2"/>
  <c r="G26" i="2"/>
  <c r="C8" i="4"/>
  <c r="C33" i="5"/>
  <c r="C32" i="5"/>
  <c r="C31" i="5"/>
  <c r="C30" i="5"/>
  <c r="C34" i="5"/>
  <c r="I191" i="4"/>
  <c r="D14" i="4"/>
  <c r="D16" i="4"/>
  <c r="D17" i="4"/>
  <c r="C14" i="4"/>
  <c r="C17" i="4"/>
  <c r="C207" i="2"/>
  <c r="D207" i="2"/>
  <c r="H1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G129" i="2"/>
  <c r="G127" i="2"/>
  <c r="G128" i="2"/>
  <c r="G130" i="2"/>
  <c r="G131" i="2"/>
  <c r="H129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G146" i="2"/>
  <c r="G144" i="2"/>
  <c r="G145" i="2"/>
  <c r="G147" i="2"/>
  <c r="G148" i="2"/>
  <c r="H146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G166" i="2"/>
  <c r="G164" i="2"/>
  <c r="G165" i="2"/>
  <c r="G167" i="2"/>
  <c r="G168" i="2"/>
  <c r="H166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51" i="3"/>
  <c r="J49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H85" i="3"/>
  <c r="J83" i="3"/>
  <c r="N25" i="3"/>
  <c r="N26" i="3"/>
  <c r="N27" i="3"/>
  <c r="N28" i="3"/>
  <c r="N29" i="3"/>
  <c r="N30" i="3"/>
  <c r="N31" i="3"/>
  <c r="N32" i="3"/>
  <c r="N33" i="3"/>
  <c r="N34" i="3"/>
  <c r="N35" i="3"/>
  <c r="N36" i="3"/>
  <c r="N38" i="3"/>
  <c r="G33" i="5"/>
  <c r="G35" i="5"/>
  <c r="J45" i="3"/>
  <c r="J7" i="3"/>
  <c r="J48" i="3"/>
  <c r="K7" i="3"/>
  <c r="J47" i="3"/>
  <c r="L7" i="3"/>
  <c r="J50" i="3"/>
  <c r="M7" i="3"/>
  <c r="O7" i="3"/>
  <c r="J8" i="3"/>
  <c r="K8" i="3"/>
  <c r="L8" i="3"/>
  <c r="M8" i="3"/>
  <c r="O8" i="3"/>
  <c r="J9" i="3"/>
  <c r="K9" i="3"/>
  <c r="L9" i="3"/>
  <c r="M9" i="3"/>
  <c r="O9" i="3"/>
  <c r="J10" i="3"/>
  <c r="K10" i="3"/>
  <c r="L10" i="3"/>
  <c r="M10" i="3"/>
  <c r="O10" i="3"/>
  <c r="J11" i="3"/>
  <c r="K11" i="3"/>
  <c r="L11" i="3"/>
  <c r="M11" i="3"/>
  <c r="O11" i="3"/>
  <c r="J12" i="3"/>
  <c r="K12" i="3"/>
  <c r="L12" i="3"/>
  <c r="M12" i="3"/>
  <c r="O12" i="3"/>
  <c r="J13" i="3"/>
  <c r="K13" i="3"/>
  <c r="L13" i="3"/>
  <c r="M13" i="3"/>
  <c r="O13" i="3"/>
  <c r="J14" i="3"/>
  <c r="K14" i="3"/>
  <c r="L14" i="3"/>
  <c r="M14" i="3"/>
  <c r="O14" i="3"/>
  <c r="J15" i="3"/>
  <c r="K15" i="3"/>
  <c r="L15" i="3"/>
  <c r="M15" i="3"/>
  <c r="O15" i="3"/>
  <c r="J16" i="3"/>
  <c r="K16" i="3"/>
  <c r="L16" i="3"/>
  <c r="M16" i="3"/>
  <c r="O16" i="3"/>
  <c r="J17" i="3"/>
  <c r="K17" i="3"/>
  <c r="L17" i="3"/>
  <c r="M17" i="3"/>
  <c r="O17" i="3"/>
  <c r="J18" i="3"/>
  <c r="K18" i="3"/>
  <c r="L18" i="3"/>
  <c r="M18" i="3"/>
  <c r="O18" i="3"/>
  <c r="J19" i="3"/>
  <c r="K19" i="3"/>
  <c r="L19" i="3"/>
  <c r="M19" i="3"/>
  <c r="O19" i="3"/>
  <c r="J20" i="3"/>
  <c r="K20" i="3"/>
  <c r="L20" i="3"/>
  <c r="M20" i="3"/>
  <c r="O20" i="3"/>
  <c r="J21" i="3"/>
  <c r="K21" i="3"/>
  <c r="L21" i="3"/>
  <c r="M21" i="3"/>
  <c r="O21" i="3"/>
  <c r="J22" i="3"/>
  <c r="K22" i="3"/>
  <c r="L22" i="3"/>
  <c r="M22" i="3"/>
  <c r="O22" i="3"/>
  <c r="J82" i="3"/>
  <c r="K23" i="3"/>
  <c r="O23" i="3"/>
  <c r="K24" i="3"/>
  <c r="O24" i="3"/>
  <c r="K25" i="3"/>
  <c r="J84" i="3"/>
  <c r="M25" i="3"/>
  <c r="O25" i="3"/>
  <c r="K26" i="3"/>
  <c r="M26" i="3"/>
  <c r="O26" i="3"/>
  <c r="K27" i="3"/>
  <c r="M27" i="3"/>
  <c r="O27" i="3"/>
  <c r="K28" i="3"/>
  <c r="M28" i="3"/>
  <c r="O28" i="3"/>
  <c r="K29" i="3"/>
  <c r="M29" i="3"/>
  <c r="O29" i="3"/>
  <c r="K30" i="3"/>
  <c r="M30" i="3"/>
  <c r="O30" i="3"/>
  <c r="K31" i="3"/>
  <c r="M31" i="3"/>
  <c r="O31" i="3"/>
  <c r="K32" i="3"/>
  <c r="M32" i="3"/>
  <c r="O32" i="3"/>
  <c r="K33" i="3"/>
  <c r="M33" i="3"/>
  <c r="O33" i="3"/>
  <c r="K34" i="3"/>
  <c r="M34" i="3"/>
  <c r="O34" i="3"/>
  <c r="K35" i="3"/>
  <c r="M35" i="3"/>
  <c r="O35" i="3"/>
  <c r="K36" i="3"/>
  <c r="M36" i="3"/>
  <c r="O36" i="3"/>
  <c r="O37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C35" i="5"/>
  <c r="H7" i="3"/>
  <c r="H25" i="3"/>
  <c r="H26" i="3"/>
  <c r="F27" i="3"/>
  <c r="H27" i="3"/>
  <c r="H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H30" i="5"/>
  <c r="P17" i="2"/>
  <c r="E31" i="5"/>
  <c r="B31" i="5"/>
  <c r="H31" i="5"/>
  <c r="E32" i="5"/>
  <c r="B32" i="5"/>
  <c r="H32" i="5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19" i="3"/>
  <c r="H19" i="3"/>
  <c r="F20" i="3"/>
  <c r="H20" i="3"/>
  <c r="F21" i="3"/>
  <c r="H21" i="3"/>
  <c r="F22" i="3"/>
  <c r="H22" i="3"/>
  <c r="F23" i="3"/>
  <c r="H23" i="3"/>
  <c r="F24" i="3"/>
  <c r="H24" i="3"/>
  <c r="K38" i="3"/>
  <c r="E33" i="5"/>
  <c r="M38" i="3"/>
  <c r="F33" i="5"/>
  <c r="B33" i="5"/>
  <c r="D33" i="5"/>
  <c r="H33" i="5"/>
  <c r="H34" i="5"/>
  <c r="J38" i="3"/>
  <c r="L38" i="3"/>
  <c r="O38" i="3"/>
  <c r="B22" i="5"/>
  <c r="B13" i="5"/>
  <c r="B35" i="5"/>
  <c r="D35" i="5"/>
  <c r="E35" i="5"/>
  <c r="F35" i="5"/>
  <c r="H35" i="5"/>
  <c r="F9" i="7"/>
  <c r="J7" i="7"/>
  <c r="L7" i="7"/>
  <c r="J8" i="7"/>
  <c r="L8" i="7"/>
  <c r="L9" i="7"/>
  <c r="F17" i="7"/>
  <c r="J15" i="7"/>
  <c r="L15" i="7"/>
  <c r="J16" i="7"/>
  <c r="L16" i="7"/>
  <c r="L17" i="7"/>
  <c r="F13" i="7"/>
  <c r="J11" i="7"/>
  <c r="L11" i="7"/>
  <c r="J12" i="7"/>
  <c r="L12" i="7"/>
  <c r="L13" i="7"/>
  <c r="L18" i="7"/>
  <c r="J18" i="7"/>
  <c r="H18" i="7"/>
  <c r="D90" i="3"/>
  <c r="H82" i="3"/>
  <c r="H83" i="3"/>
  <c r="H84" i="3"/>
  <c r="J85" i="3"/>
  <c r="H81" i="3"/>
  <c r="D77" i="3"/>
  <c r="H45" i="3"/>
  <c r="H46" i="3"/>
  <c r="H47" i="3"/>
  <c r="H48" i="3"/>
  <c r="H49" i="3"/>
  <c r="H50" i="3"/>
  <c r="J51" i="3"/>
  <c r="F7" i="3"/>
  <c r="F25" i="3"/>
  <c r="F26" i="3"/>
  <c r="F28" i="3"/>
  <c r="K40" i="3"/>
  <c r="H38" i="3"/>
  <c r="G38" i="3"/>
  <c r="F38" i="3"/>
  <c r="E38" i="3"/>
  <c r="D38" i="3"/>
  <c r="S19" i="3"/>
  <c r="D183" i="2"/>
  <c r="H168" i="2"/>
  <c r="H167" i="2"/>
  <c r="H165" i="2"/>
  <c r="H164" i="2"/>
  <c r="H148" i="2"/>
  <c r="H147" i="2"/>
  <c r="H145" i="2"/>
  <c r="H144" i="2"/>
  <c r="H131" i="2"/>
  <c r="H130" i="2"/>
  <c r="H128" i="2"/>
  <c r="H127" i="2"/>
  <c r="H118" i="2"/>
  <c r="H116" i="2"/>
  <c r="D103" i="2"/>
  <c r="D98" i="2"/>
  <c r="D93" i="2"/>
  <c r="D88" i="2"/>
  <c r="D78" i="2"/>
  <c r="D73" i="2"/>
  <c r="D68" i="2"/>
  <c r="D63" i="2"/>
</calcChain>
</file>

<file path=xl/sharedStrings.xml><?xml version="1.0" encoding="utf-8"?>
<sst xmlns="http://schemas.openxmlformats.org/spreadsheetml/2006/main" count="1314" uniqueCount="560">
  <si>
    <t>St.Eustatius/St Maarten</t>
  </si>
  <si>
    <t>Curacao/Dutch Caribbeanunspecified</t>
  </si>
  <si>
    <t>Dutch Caribbean</t>
  </si>
  <si>
    <t>1581-1640</t>
  </si>
  <si>
    <t>1641-1700</t>
  </si>
  <si>
    <t>1701-1760</t>
  </si>
  <si>
    <t>1761-1820</t>
  </si>
  <si>
    <t>1821-1867</t>
  </si>
  <si>
    <t>Total</t>
  </si>
  <si>
    <t>Slaves arriving in the Spanish Americas from:</t>
  </si>
  <si>
    <t>Dutch Americas</t>
  </si>
  <si>
    <t>Brasil</t>
  </si>
  <si>
    <t>French Amer</t>
  </si>
  <si>
    <t>French Americas</t>
  </si>
  <si>
    <t>Brazil to Spanish America</t>
  </si>
  <si>
    <t>British Amer</t>
  </si>
  <si>
    <t>Danish Amer</t>
  </si>
  <si>
    <t>1641-1789</t>
  </si>
  <si>
    <t>1761-1789</t>
  </si>
  <si>
    <t>Estimates</t>
  </si>
  <si>
    <t>page</t>
  </si>
  <si>
    <t>Database page</t>
  </si>
  <si>
    <t>Search the</t>
  </si>
  <si>
    <t>Col G redistributed</t>
  </si>
  <si>
    <t>by Col E</t>
  </si>
  <si>
    <t>Col I to Spanish</t>
  </si>
  <si>
    <t>Americas only</t>
  </si>
  <si>
    <t>CUBAN ARRIVALS</t>
  </si>
  <si>
    <t>JAMAICAN</t>
  </si>
  <si>
    <t>GRENADA</t>
  </si>
  <si>
    <t>DOMINICA</t>
  </si>
  <si>
    <t>BARBADOS/</t>
  </si>
  <si>
    <t>ST.KITTS</t>
  </si>
  <si>
    <t>TOTAL</t>
  </si>
  <si>
    <t>DEPARTURES</t>
  </si>
  <si>
    <t xml:space="preserve">DEPARTURES </t>
  </si>
  <si>
    <t>ANTIGUA</t>
  </si>
  <si>
    <t>BRITISH TO</t>
  </si>
  <si>
    <t>REGROUPED</t>
  </si>
  <si>
    <t>TO CUBA</t>
  </si>
  <si>
    <t>TO SP AMER</t>
  </si>
  <si>
    <t>SPAN AMER</t>
  </si>
  <si>
    <t>INTO TABLE 1</t>
  </si>
  <si>
    <t>intragreg14</t>
  </si>
  <si>
    <t>slavesimp</t>
  </si>
  <si>
    <t>(inc Lambert, 1789-91)</t>
  </si>
  <si>
    <t>Year of arrival</t>
  </si>
  <si>
    <t>Annual</t>
  </si>
  <si>
    <t>Five year sum</t>
  </si>
  <si>
    <t>1668-1700</t>
  </si>
  <si>
    <t>1661-1789</t>
  </si>
  <si>
    <t>year25</t>
  </si>
  <si>
    <t>Imputed principal region of sale</t>
  </si>
  <si>
    <t>Sum</t>
  </si>
  <si>
    <t>years 1701-25</t>
  </si>
  <si>
    <t>Rhode Island</t>
  </si>
  <si>
    <t>OtherAmericas</t>
  </si>
  <si>
    <t>Non RI New England</t>
  </si>
  <si>
    <t>Spanish Central Am</t>
  </si>
  <si>
    <t>Virginia</t>
  </si>
  <si>
    <t>Cuba</t>
  </si>
  <si>
    <t>South Carolina</t>
  </si>
  <si>
    <t>Other Spanish</t>
  </si>
  <si>
    <t>New York</t>
  </si>
  <si>
    <t>PennDelNJ</t>
  </si>
  <si>
    <t>Off-shore Atlantic</t>
  </si>
  <si>
    <t>Spanish Central America</t>
  </si>
  <si>
    <t>Montserrat</t>
  </si>
  <si>
    <t>Other Sp Carib</t>
  </si>
  <si>
    <t>Mississipi Delta</t>
  </si>
  <si>
    <t>Rio de la Plata</t>
  </si>
  <si>
    <t>Bahamas</t>
  </si>
  <si>
    <t>Puerto Rico</t>
  </si>
  <si>
    <t>Jamaica</t>
  </si>
  <si>
    <t>Dominica</t>
  </si>
  <si>
    <t>North Carolina</t>
  </si>
  <si>
    <t>Honduras</t>
  </si>
  <si>
    <t>Other S Amer</t>
  </si>
  <si>
    <t>years 1751-75</t>
  </si>
  <si>
    <t>Maryland</t>
  </si>
  <si>
    <t>Georgia</t>
  </si>
  <si>
    <t>St. Domingue</t>
  </si>
  <si>
    <t>Santo Domingo</t>
  </si>
  <si>
    <t>Florida</t>
  </si>
  <si>
    <t>Other Caribbean</t>
  </si>
  <si>
    <t>Other N Amer mainland</t>
  </si>
  <si>
    <t>1776-1789</t>
  </si>
  <si>
    <t>Guadeloupe</t>
  </si>
  <si>
    <t>Danish Americas</t>
  </si>
  <si>
    <t>Trinidad</t>
  </si>
  <si>
    <t>1790-1810</t>
  </si>
  <si>
    <t>South-east Africa (inc. CGH)</t>
  </si>
  <si>
    <t>slavevoyages estimates</t>
  </si>
  <si>
    <t>Barbados</t>
  </si>
  <si>
    <t>Totals</t>
  </si>
  <si>
    <t>ARRIVALS</t>
  </si>
  <si>
    <t>ARRIVALS IN</t>
  </si>
  <si>
    <t>French</t>
  </si>
  <si>
    <t>British</t>
  </si>
  <si>
    <t>Dutch</t>
  </si>
  <si>
    <t>Scandinavian</t>
  </si>
  <si>
    <t>Brazil</t>
  </si>
  <si>
    <t>IN HAVANA</t>
  </si>
  <si>
    <t>IN CUBA</t>
  </si>
  <si>
    <t>IN PR</t>
  </si>
  <si>
    <t>IN VENEZUELA</t>
  </si>
  <si>
    <t>Caribbean</t>
  </si>
  <si>
    <t>Cols D to F</t>
  </si>
  <si>
    <t>First port of disembarkation (see codebook)</t>
  </si>
  <si>
    <t>Year of arrival at port of disembarkation (imputed)</t>
  </si>
  <si>
    <t>1790-1820</t>
  </si>
  <si>
    <t>Origins of slaves arriving in Spanish Americas, 1790-1805</t>
  </si>
  <si>
    <t>Port-au-Prince</t>
  </si>
  <si>
    <t>Martinique</t>
  </si>
  <si>
    <t>Boston</t>
  </si>
  <si>
    <t>Curaçao</t>
  </si>
  <si>
    <t>St. Christopher</t>
  </si>
  <si>
    <t>Antigua</t>
  </si>
  <si>
    <t>Savannah</t>
  </si>
  <si>
    <t>Rio de Janeiro</t>
  </si>
  <si>
    <t>US</t>
  </si>
  <si>
    <t>US omitted because 80 percent of the slaves were from Charleston on transatlantic slavers</t>
  </si>
  <si>
    <t>Baltimore, Md</t>
  </si>
  <si>
    <t>Charleston, SC</t>
  </si>
  <si>
    <t>BritCaribbean</t>
  </si>
  <si>
    <t>St. Eustatius</t>
  </si>
  <si>
    <t>St. Thomas</t>
  </si>
  <si>
    <t>Scandinavian Americas</t>
  </si>
  <si>
    <t>St. Bartholomew</t>
  </si>
  <si>
    <t>Guadaloupe</t>
  </si>
  <si>
    <t>Grenada</t>
  </si>
  <si>
    <t>Providence, RI</t>
  </si>
  <si>
    <t>New Providence</t>
  </si>
  <si>
    <t>Tortola</t>
  </si>
  <si>
    <t>St. Cruz; St. Croix</t>
  </si>
  <si>
    <t>Kingston, Jamaica</t>
  </si>
  <si>
    <t>Montego Bay, Jamaica</t>
  </si>
  <si>
    <t>St. Vincent</t>
  </si>
  <si>
    <t>British North America</t>
  </si>
  <si>
    <t>British Caribbean</t>
  </si>
  <si>
    <t>Roseau, Dominica</t>
  </si>
  <si>
    <t>Origins of slaves arriving in Spanish Americas, 1806-1818</t>
  </si>
  <si>
    <t>Pernambuco</t>
  </si>
  <si>
    <t>Bahia</t>
  </si>
  <si>
    <t>*</t>
  </si>
  <si>
    <t>1821-1835</t>
  </si>
  <si>
    <t>1580-1640</t>
  </si>
  <si>
    <t>YEARS</t>
  </si>
  <si>
    <t>HARD DATA</t>
  </si>
  <si>
    <r>
      <t xml:space="preserve">Amores, Juan B. </t>
    </r>
    <r>
      <rPr>
        <i/>
        <sz val="12"/>
        <color rgb="FF000000"/>
        <rFont val="Times New Roman"/>
      </rPr>
      <t>Cuba en la época de Ezpeleta (1785-1790)</t>
    </r>
    <r>
      <rPr>
        <sz val="12"/>
        <color rgb="FF000000"/>
        <rFont val="Times New Roman"/>
      </rPr>
      <t>. Pamplona: Ediciones Universidad de Navarra, S. A., 2000.</t>
    </r>
  </si>
  <si>
    <t xml:space="preserve">states that 7,000 arrived in Cuba from St. Domingue 1780-3 with unspecified others, 1777-1780, so 7,000 is doubled </t>
  </si>
  <si>
    <t>French Americas to Spanish Americas</t>
  </si>
  <si>
    <t>Dutch Caribbean to Spanish Americas to 1789</t>
  </si>
  <si>
    <t>British Americas to Spanish Americas to 1789</t>
  </si>
  <si>
    <t>Danish Americas to Spanish Americas to 1789</t>
  </si>
  <si>
    <t>ORIGINS OF SLAVES ENTERING SPANISH AMERICAS VIA INTRA-AMERICAN SLAVE TRADE</t>
  </si>
  <si>
    <t>Spanish Caribbean arrivals, 1790-1818</t>
  </si>
  <si>
    <t>British Departures, pre-1790</t>
  </si>
  <si>
    <t>Brazil (to Rio de la Plata)</t>
  </si>
  <si>
    <t>Brazil (to Cuba)</t>
  </si>
  <si>
    <t>Arrivals in Spanish Caribbean, 1790-1820</t>
  </si>
  <si>
    <t>Arrivals in Spanish Caribbean after 1820</t>
  </si>
  <si>
    <t>Alex Borucki has 5,000 coming in to Venezuela in 1777-1783 from St. Domingue</t>
  </si>
  <si>
    <t>1726-50</t>
  </si>
  <si>
    <t>(D+10%)</t>
  </si>
  <si>
    <t>All origins</t>
  </si>
  <si>
    <t>Origins of Spanish Caribbean Arrivals</t>
  </si>
  <si>
    <t>Tot Span Americas</t>
  </si>
  <si>
    <t>(includes 25,237 from British Caribbean in E32 below)</t>
  </si>
  <si>
    <t>Arrivals from the Dutch Americas before 1790</t>
  </si>
  <si>
    <t>(intragreg14</t>
  </si>
  <si>
    <t>after 1700</t>
  </si>
  <si>
    <t xml:space="preserve"> slavesimp)</t>
  </si>
  <si>
    <t>Vessel Name</t>
  </si>
  <si>
    <t>Vessel Type</t>
  </si>
  <si>
    <t>Captain's Name</t>
  </si>
  <si>
    <t>Place Depart</t>
  </si>
  <si>
    <t>Vessel Owners</t>
  </si>
  <si>
    <t>Regist / Intended Port Disemb</t>
  </si>
  <si>
    <t>Date Arrival in Main Port of Disembarkation</t>
  </si>
  <si>
    <t>Port Disembark1</t>
  </si>
  <si>
    <t>Slav land 1</t>
  </si>
  <si>
    <t>Vila Vilar &amp; Other Published Sources</t>
  </si>
  <si>
    <t>Source A</t>
  </si>
  <si>
    <t>Source B</t>
  </si>
  <si>
    <t>Source C</t>
  </si>
  <si>
    <t>San Francisco</t>
  </si>
  <si>
    <t>1588-</t>
  </si>
  <si>
    <t>Buenos Aires</t>
    <phoneticPr fontId="0" type="noConversion"/>
  </si>
  <si>
    <t>Molina, Las primeras experiencias, 38</t>
    <phoneticPr fontId="0" type="noConversion"/>
  </si>
  <si>
    <t>1589-</t>
  </si>
  <si>
    <t>Molina, Las primeras experiencias, 59</t>
    <phoneticPr fontId="0" type="noConversion"/>
  </si>
  <si>
    <t>1596-</t>
  </si>
  <si>
    <t>Molina, Las primeras experiencias, 76</t>
    <phoneticPr fontId="0" type="noConversion"/>
  </si>
  <si>
    <t>Santo Antonio</t>
    <phoneticPr fontId="1" type="noConversion"/>
  </si>
  <si>
    <t>navio</t>
    <phoneticPr fontId="1" type="noConversion"/>
  </si>
  <si>
    <t>Juan Quintero (maestre)</t>
    <phoneticPr fontId="1" type="noConversion"/>
  </si>
  <si>
    <t>1601-01-25</t>
    <phoneticPr fontId="1" type="noConversion"/>
  </si>
  <si>
    <t>Buenos Aires</t>
    <phoneticPr fontId="1" type="noConversion"/>
  </si>
  <si>
    <t>AGI-Charcas 123, s/n, Certificazion de esclavos, fol. 3v</t>
    <phoneticPr fontId="1" type="noConversion"/>
  </si>
  <si>
    <t>AGI-Charcas 38, s/n, "Testimonio de todos los negros" (1597-1606)</t>
  </si>
  <si>
    <t>NS del Rosario</t>
    <phoneticPr fontId="0" type="noConversion"/>
  </si>
  <si>
    <t>Manuel Fernandez</t>
    <phoneticPr fontId="0" type="noConversion"/>
  </si>
  <si>
    <t>1603-</t>
  </si>
  <si>
    <t>Molina, 113</t>
  </si>
  <si>
    <t>AGI-Charcas 123, s/n, Certificazion de esclavos, fol. 7r</t>
    <phoneticPr fontId="0" type="noConversion"/>
  </si>
  <si>
    <t>San Andres</t>
    <phoneticPr fontId="0" type="noConversion"/>
  </si>
  <si>
    <t>Antonio Rosillo</t>
    <phoneticPr fontId="0" type="noConversion"/>
  </si>
  <si>
    <t>Maria y San Juan</t>
    <phoneticPr fontId="0" type="noConversion"/>
  </si>
  <si>
    <t>Lorenzo Nicolen</t>
    <phoneticPr fontId="0" type="noConversion"/>
  </si>
  <si>
    <t>AGI-Charcas 123, s/n, Certificazion de esclavos, fol. 7v</t>
    <phoneticPr fontId="0" type="noConversion"/>
  </si>
  <si>
    <t>NS del Carmen</t>
    <phoneticPr fontId="0" type="noConversion"/>
  </si>
  <si>
    <t>Antonio Francisco</t>
    <phoneticPr fontId="0" type="noConversion"/>
  </si>
  <si>
    <t>AGI-Charcas 123, s/n, Certificazion de esclavos, fols. 7v-8r</t>
    <phoneticPr fontId="0" type="noConversion"/>
  </si>
  <si>
    <t>Santa Catalina</t>
    <phoneticPr fontId="0" type="noConversion"/>
  </si>
  <si>
    <t>Domingo Diaz</t>
    <phoneticPr fontId="0" type="noConversion"/>
  </si>
  <si>
    <t>AGI-Charcas 123, s/n, Certificazion de esclavos, fols. 7r-7v</t>
    <phoneticPr fontId="0" type="noConversion"/>
  </si>
  <si>
    <t>NS de Monserrate</t>
  </si>
  <si>
    <t>patache</t>
  </si>
  <si>
    <t>Rui Gomez de Avila</t>
  </si>
  <si>
    <t>Buenos Aires</t>
  </si>
  <si>
    <t>AGI-Charcas 123, s/n, Certificazion de esclavos, fol. 7v</t>
  </si>
  <si>
    <t>NS del Carmen</t>
    <phoneticPr fontId="1" type="noConversion"/>
  </si>
  <si>
    <t>Antonio Francisco</t>
    <phoneticPr fontId="1" type="noConversion"/>
  </si>
  <si>
    <t>Rio de Janeiro</t>
    <phoneticPr fontId="1" type="noConversion"/>
  </si>
  <si>
    <t>1603-</t>
    <phoneticPr fontId="1" type="noConversion"/>
  </si>
  <si>
    <t>AGI-Charcas 123, s/n, Certificazion de esclavos, fols. 7v-8r</t>
    <phoneticPr fontId="1" type="noConversion"/>
  </si>
  <si>
    <t>NS de Monserrate</t>
    <phoneticPr fontId="0" type="noConversion"/>
  </si>
  <si>
    <t>Rui Gomez de Avila</t>
    <phoneticPr fontId="0" type="noConversion"/>
  </si>
  <si>
    <t>San Antonio</t>
  </si>
  <si>
    <t>navio</t>
  </si>
  <si>
    <t>Antonio Fernandez (or Rodriguez?) (maestre)</t>
  </si>
  <si>
    <t>San Andres</t>
    <phoneticPr fontId="1" type="noConversion"/>
  </si>
  <si>
    <t>Antonio Rosillo (maestre, licenciado)</t>
    <phoneticPr fontId="1" type="noConversion"/>
  </si>
  <si>
    <t>AGI-Charcas 123, s/n, Certificazion de esclavos, fol. 7r</t>
    <phoneticPr fontId="1" type="noConversion"/>
  </si>
  <si>
    <t>Santa Catalina</t>
    <phoneticPr fontId="1" type="noConversion"/>
  </si>
  <si>
    <t>Domingo Diaz (maestre)</t>
    <phoneticPr fontId="1" type="noConversion"/>
  </si>
  <si>
    <t>AGI-Charcas 123, s/n, Certificazion de esclavos, fols. 7r-7v</t>
    <phoneticPr fontId="1" type="noConversion"/>
  </si>
  <si>
    <t>San Antonio</t>
    <phoneticPr fontId="0" type="noConversion"/>
  </si>
  <si>
    <t xml:space="preserve">Antonio Fernandez </t>
    <phoneticPr fontId="0" type="noConversion"/>
  </si>
  <si>
    <t>NS del Rosario</t>
  </si>
  <si>
    <t>Pedro de Medina (maestre)</t>
  </si>
  <si>
    <t>1603-12-20</t>
  </si>
  <si>
    <t>AGI-Charcas 123, s/n, Certificazion de esclavos, fol. 10r</t>
  </si>
  <si>
    <t>Juan Bautista Justimano</t>
    <phoneticPr fontId="1" type="noConversion"/>
  </si>
  <si>
    <t>Pernambuco</t>
    <phoneticPr fontId="1" type="noConversion"/>
  </si>
  <si>
    <t>1603-12-20</t>
    <phoneticPr fontId="1" type="noConversion"/>
  </si>
  <si>
    <t>AGI-Charcas 123, s/n, Certificazion de esclavos, fol. 10v</t>
    <phoneticPr fontId="1" type="noConversion"/>
  </si>
  <si>
    <t>San Antonio</t>
    <phoneticPr fontId="1" type="noConversion"/>
  </si>
  <si>
    <t>Antonio Molina (maestre)</t>
    <phoneticPr fontId="1" type="noConversion"/>
  </si>
  <si>
    <t>São Vicente</t>
  </si>
  <si>
    <t>1604-01-15</t>
    <phoneticPr fontId="1" type="noConversion"/>
  </si>
  <si>
    <r>
      <t xml:space="preserve">Molina, </t>
    </r>
    <r>
      <rPr>
        <i/>
        <sz val="10"/>
        <color indexed="8"/>
        <rFont val="Arial"/>
        <family val="2"/>
      </rPr>
      <t>Las primeras experiencias</t>
    </r>
    <r>
      <rPr>
        <sz val="10"/>
        <color indexed="8"/>
        <rFont val="Arial"/>
        <family val="2"/>
      </rPr>
      <t>, 115</t>
    </r>
  </si>
  <si>
    <t>AGI-Charcas 123, s/n, Certificazion de esclavos, fols. 10v-11r</t>
    <phoneticPr fontId="1" type="noConversion"/>
  </si>
  <si>
    <t>San Benito</t>
  </si>
  <si>
    <t>caravela</t>
  </si>
  <si>
    <t>Antonio Fernandez Camina</t>
  </si>
  <si>
    <t>Salvador</t>
  </si>
  <si>
    <t>1604-05-20</t>
  </si>
  <si>
    <t>AGI-Charcas 123, s/n, Certificazion de esclavos, fols. 12r-12v</t>
  </si>
  <si>
    <t>NS de Begoña</t>
  </si>
  <si>
    <t>Juan de Elexarde [Lijardi]</t>
  </si>
  <si>
    <t>1604-12-03</t>
  </si>
  <si>
    <r>
      <t xml:space="preserve">Molina, </t>
    </r>
    <r>
      <rPr>
        <i/>
        <sz val="10"/>
        <color indexed="8"/>
        <rFont val="Arial"/>
        <family val="2"/>
      </rPr>
      <t>Las primeras experiencias</t>
    </r>
    <r>
      <rPr>
        <sz val="10"/>
        <color indexed="8"/>
        <rFont val="Arial"/>
        <family val="2"/>
      </rPr>
      <t>, 116</t>
    </r>
  </si>
  <si>
    <t>AGI-Charcas 123, s/n, Certificazion de esclavos, fols. 12v-13r</t>
  </si>
  <si>
    <t>Ambrosio Rodriguez (maestre)</t>
    <phoneticPr fontId="0" type="noConversion"/>
  </si>
  <si>
    <t>Pernambuco</t>
    <phoneticPr fontId="0" type="noConversion"/>
  </si>
  <si>
    <t>1604-12-25</t>
  </si>
  <si>
    <t>Molina, 115</t>
  </si>
  <si>
    <t>AGI-Charcas 123, s/n, Certificazion de esclavos, fols. 13r-13v</t>
    <phoneticPr fontId="0" type="noConversion"/>
  </si>
  <si>
    <t>Ambrosio Rodriguez (maestre)</t>
  </si>
  <si>
    <t>AGI-Charcas 123, s/n, Certificazion de esclavos, fols. 13r-13v</t>
  </si>
  <si>
    <t>Juan Quintero</t>
  </si>
  <si>
    <t>1605-03-19</t>
  </si>
  <si>
    <t>AGI-Charcas 123, s/n, Certificazion de esclavos, fol. 15v</t>
  </si>
  <si>
    <t>Molina, 116</t>
    <phoneticPr fontId="0" type="noConversion"/>
  </si>
  <si>
    <t>N S Nieves</t>
  </si>
  <si>
    <t>Juan Baustista Justiniano</t>
  </si>
  <si>
    <t>1606-</t>
  </si>
  <si>
    <t>Molina, Las primeras experiencias, 118</t>
    <phoneticPr fontId="0" type="noConversion"/>
  </si>
  <si>
    <t>N S Rosario</t>
  </si>
  <si>
    <t>Benito Barbosa</t>
  </si>
  <si>
    <t>Molina, Las primeras experiencias, 114-119</t>
    <phoneticPr fontId="0" type="noConversion"/>
  </si>
  <si>
    <t>N S Begoña</t>
  </si>
  <si>
    <t>Juan de Lijardi</t>
  </si>
  <si>
    <t>NS Rosario</t>
  </si>
  <si>
    <t>Manuel de Luis (maestre y piloto)</t>
  </si>
  <si>
    <t>1606-01-27</t>
  </si>
  <si>
    <t>Molina, 117</t>
  </si>
  <si>
    <t>AGI-Charcas 123, s/n, Certificazion de esclavos, fols. 15v-16r</t>
  </si>
  <si>
    <t>NS de la Esperanza</t>
  </si>
  <si>
    <t>Juan de Salazar</t>
  </si>
  <si>
    <t>1606-02-04</t>
  </si>
  <si>
    <t>Molina, Las primeras experiencias, 115-117</t>
    <phoneticPr fontId="0" type="noConversion"/>
  </si>
  <si>
    <t>AGI-Charcas 123, s/n, Certificazion de esclavos, fols. 16r-16v</t>
    <phoneticPr fontId="0" type="noConversion"/>
  </si>
  <si>
    <t>1606-03-24</t>
  </si>
  <si>
    <t>Molina, Las primeras experiencias, 115-116</t>
    <phoneticPr fontId="0" type="noConversion"/>
  </si>
  <si>
    <t>AGI-Charcas 123, s/n, Relazion de los negros (1588-1682), fol. 3r</t>
  </si>
  <si>
    <t>San Pedro</t>
  </si>
  <si>
    <t>Sebastian Rodriguez Bravo (maestre y capitan y senorio)</t>
  </si>
  <si>
    <t>Sebastian Rodriguez Bravo</t>
    <phoneticPr fontId="0" type="noConversion"/>
  </si>
  <si>
    <t>1606-04-21</t>
  </si>
  <si>
    <t>Molina, Las primeras experiencias, 117</t>
    <phoneticPr fontId="0" type="noConversion"/>
  </si>
  <si>
    <t>AGI-Charcas 123, s/n, Certificazion de esclavos, fol. 17v</t>
    <phoneticPr fontId="0" type="noConversion"/>
  </si>
  <si>
    <t>AGI-Charcas 123, s/n, Relazion de los negros (1588-1682), fol. 2v</t>
  </si>
  <si>
    <t>NS de Buen Viaje</t>
  </si>
  <si>
    <t>Hernan Suarez Maldonado</t>
  </si>
  <si>
    <t>1606-12-25</t>
  </si>
  <si>
    <t>AGI-Charcas 123, s/n, Certificazion de esclavos, fol. 18v</t>
  </si>
  <si>
    <t>AGI-Charcas 123, s/n, Relazion de los negros (1588-1682), fol. 3v-4r</t>
  </si>
  <si>
    <t>Martín de Marechaga</t>
  </si>
  <si>
    <t>1607-</t>
  </si>
  <si>
    <t>Juan Lopez (maestre y piloto)</t>
  </si>
  <si>
    <t>Brazil</t>
    <phoneticPr fontId="2" type="noConversion"/>
  </si>
  <si>
    <t>1607-01-23</t>
  </si>
  <si>
    <t>Buenos Aires</t>
    <phoneticPr fontId="2" type="noConversion"/>
  </si>
  <si>
    <r>
      <t xml:space="preserve">Molina, </t>
    </r>
    <r>
      <rPr>
        <i/>
        <sz val="10"/>
        <color indexed="8"/>
        <rFont val="Arial"/>
        <family val="2"/>
      </rPr>
      <t>Las primeras experiencias</t>
    </r>
    <r>
      <rPr>
        <sz val="10"/>
        <color indexed="8"/>
        <rFont val="Arial"/>
        <family val="2"/>
      </rPr>
      <t>, 118</t>
    </r>
  </si>
  <si>
    <t>AGI-Charcas 123, s/n, Relazion de los negros (1588-1682), fol. 3v</t>
  </si>
  <si>
    <t>N S Monserrate</t>
  </si>
  <si>
    <t>Baltazar Vicente</t>
  </si>
  <si>
    <t>1608-04-28</t>
  </si>
  <si>
    <t>Molina, Las primeras experiencias, 120-121</t>
    <phoneticPr fontId="0" type="noConversion"/>
  </si>
  <si>
    <t>N S Buen Viaje</t>
  </si>
  <si>
    <t>Juan Mixel</t>
  </si>
  <si>
    <t>1609-03-10</t>
  </si>
  <si>
    <t>Molina, Las primeras experiencias, 152-159</t>
    <phoneticPr fontId="0" type="noConversion"/>
  </si>
  <si>
    <t>N S Candelaria</t>
  </si>
  <si>
    <t>Julian Mixel</t>
  </si>
  <si>
    <t>1610-</t>
  </si>
  <si>
    <t>S Antonio</t>
  </si>
  <si>
    <t>1611-</t>
  </si>
  <si>
    <t>S Francisco</t>
  </si>
  <si>
    <t>Esteban Diaz</t>
  </si>
  <si>
    <t>Espíritu Santo</t>
  </si>
  <si>
    <t>N S Puerto Seguro</t>
  </si>
  <si>
    <t>1611-01-24</t>
  </si>
  <si>
    <t>S Sacramento</t>
  </si>
  <si>
    <t>Antonio Majone</t>
  </si>
  <si>
    <t>1611-02-28</t>
  </si>
  <si>
    <t>N S Angeles</t>
  </si>
  <si>
    <t>Baccio de Filicaya</t>
  </si>
  <si>
    <t>1611-03-25</t>
  </si>
  <si>
    <t>Rivera y Mondragon</t>
  </si>
  <si>
    <t>1612-</t>
  </si>
  <si>
    <t>N S Nazaret</t>
  </si>
  <si>
    <t>Melchor Maciel</t>
  </si>
  <si>
    <t>N S Ayuda</t>
  </si>
  <si>
    <t>Juan Sanchez</t>
  </si>
  <si>
    <t>Lazaron Quintero</t>
  </si>
  <si>
    <t>Juan de Ugarte</t>
  </si>
  <si>
    <t>Carranza</t>
  </si>
  <si>
    <t>1613-</t>
  </si>
  <si>
    <t>S Cruz</t>
  </si>
  <si>
    <t>Manuel Alvarez</t>
  </si>
  <si>
    <t>1613-02-01</t>
  </si>
  <si>
    <t>Juan martin</t>
  </si>
  <si>
    <t>1613-03-09</t>
  </si>
  <si>
    <t>1614-</t>
  </si>
  <si>
    <t>Molina, Las primeras experiencias, 163-167</t>
    <phoneticPr fontId="0" type="noConversion"/>
  </si>
  <si>
    <t>N S Piedad</t>
  </si>
  <si>
    <t>S Juan</t>
  </si>
  <si>
    <t>S Pedro</t>
  </si>
  <si>
    <t>Domingo Martinez</t>
  </si>
  <si>
    <t>Alfonso González</t>
  </si>
  <si>
    <t>1615-</t>
  </si>
  <si>
    <t>S Bárbara</t>
  </si>
  <si>
    <t>Antonio Gonzalez Rodas</t>
  </si>
  <si>
    <t>Santiago</t>
  </si>
  <si>
    <t>Diego Mendez</t>
  </si>
  <si>
    <t>Domingo Fernandez</t>
  </si>
  <si>
    <t>N S Concepción</t>
  </si>
  <si>
    <t>Sebastian Rodriguez</t>
  </si>
  <si>
    <t>Diego de Almeyda</t>
  </si>
  <si>
    <t>N S Batalla</t>
  </si>
  <si>
    <t>Bartolomé Maldonado</t>
  </si>
  <si>
    <t>1616-</t>
  </si>
  <si>
    <t>Peña de Francia</t>
  </si>
  <si>
    <t>Fernán Rodriguez Terra</t>
  </si>
  <si>
    <t>1619-</t>
  </si>
  <si>
    <t>S Matías</t>
  </si>
  <si>
    <t>Gaspar Filgueira</t>
  </si>
  <si>
    <t>Juan Fernandez Camacho</t>
  </si>
  <si>
    <t>1620-02-02</t>
  </si>
  <si>
    <t>Molina, Las primeras experiencias, 192-196</t>
    <phoneticPr fontId="0" type="noConversion"/>
  </si>
  <si>
    <t>Manuel Fernandez Prata</t>
  </si>
  <si>
    <t>1620-04-08</t>
  </si>
  <si>
    <t>S Miguel "El Angel"</t>
  </si>
  <si>
    <t>Damian Fernandez</t>
  </si>
  <si>
    <t>1620-05-16</t>
  </si>
  <si>
    <t>Juan Diaz</t>
  </si>
  <si>
    <t>1620-05-17</t>
  </si>
  <si>
    <t>Melchor Afonseco</t>
  </si>
  <si>
    <t>Pedro Sanchez</t>
  </si>
  <si>
    <t>1621-</t>
  </si>
  <si>
    <t>N S Carmen</t>
  </si>
  <si>
    <t>Gonzalo Prieto</t>
  </si>
  <si>
    <t>S Juan Bautista</t>
  </si>
  <si>
    <t>Diego Perez</t>
  </si>
  <si>
    <t>Lorenzo Gomez</t>
  </si>
  <si>
    <t>S Buenaventura</t>
  </si>
  <si>
    <t>Pablo Tejera</t>
  </si>
  <si>
    <t>San Vicente</t>
  </si>
  <si>
    <t>Sebastian Gonzalez</t>
  </si>
  <si>
    <t>Francisco Velho Barreto</t>
  </si>
  <si>
    <t>S Roque</t>
  </si>
  <si>
    <t>Pedro Alfonso</t>
  </si>
  <si>
    <t>Francisco Ambrosi</t>
  </si>
  <si>
    <t>Jorge Raposo</t>
  </si>
  <si>
    <t>Cristobal Alfonso</t>
  </si>
  <si>
    <t>Asencio de Sequeira</t>
  </si>
  <si>
    <t>1622-</t>
  </si>
  <si>
    <t>Gaspar de Lima</t>
  </si>
  <si>
    <t>Domingo Rodriguez</t>
  </si>
  <si>
    <t>1622-03-15</t>
  </si>
  <si>
    <t>Pantaleon Mayo</t>
  </si>
  <si>
    <t>1623-</t>
  </si>
  <si>
    <t>Molina, Las primeras experiencias, 232-253</t>
    <phoneticPr fontId="0" type="noConversion"/>
  </si>
  <si>
    <t>Manuel Fernandez</t>
  </si>
  <si>
    <t>Marcos de Almeyda</t>
  </si>
  <si>
    <t>Bendicion de Dios</t>
  </si>
  <si>
    <t>Antonio Aandia</t>
  </si>
  <si>
    <t>1623-03-04</t>
  </si>
  <si>
    <t>1623-06-14</t>
  </si>
  <si>
    <t>1623-06-20</t>
  </si>
  <si>
    <t>Andres Manito</t>
  </si>
  <si>
    <t>1625-</t>
  </si>
  <si>
    <t>Alberto Araujo</t>
  </si>
  <si>
    <t>1626-07-03</t>
  </si>
  <si>
    <t>Cristobal Perez</t>
  </si>
  <si>
    <t>1626-07-04</t>
  </si>
  <si>
    <t>Agustin Rodriguez</t>
  </si>
  <si>
    <t>1627-</t>
  </si>
  <si>
    <t>S Juana</t>
  </si>
  <si>
    <t>Manuel González</t>
  </si>
  <si>
    <t>1627-03-02</t>
  </si>
  <si>
    <t>Bernabé Soto</t>
  </si>
  <si>
    <t>1629-03-02</t>
  </si>
  <si>
    <t>Manuel Diaz</t>
  </si>
  <si>
    <t>1630-</t>
  </si>
  <si>
    <t>Rosario</t>
  </si>
  <si>
    <t>Domingo Gonzalez</t>
  </si>
  <si>
    <t>N S Gracia</t>
  </si>
  <si>
    <t>Pedro Rodriguez</t>
  </si>
  <si>
    <t>S Cristobal</t>
  </si>
  <si>
    <t>Pablo Fernandez</t>
  </si>
  <si>
    <t>1631-</t>
  </si>
  <si>
    <t>N S Destierro</t>
  </si>
  <si>
    <t>Francisco de Acosta Pereira</t>
  </si>
  <si>
    <t>1632-</t>
  </si>
  <si>
    <t>N S Monte Sión</t>
  </si>
  <si>
    <t>Antonio Luis</t>
  </si>
  <si>
    <t>1632-03-04</t>
  </si>
  <si>
    <t>Juan de Faría</t>
  </si>
  <si>
    <t>1633-</t>
  </si>
  <si>
    <t>Francisco Cataldo</t>
  </si>
  <si>
    <t>1633-03-30</t>
  </si>
  <si>
    <t>Antonio Gonzalez</t>
  </si>
  <si>
    <t>1634-</t>
  </si>
  <si>
    <t>Pantaleon Gonzalez</t>
  </si>
  <si>
    <t>1635-</t>
  </si>
  <si>
    <t>Andres Rodriguez</t>
  </si>
  <si>
    <t>Diego Suarez</t>
  </si>
  <si>
    <t>Antonio de Francia</t>
  </si>
  <si>
    <t>1635-03-28</t>
  </si>
  <si>
    <t>1636-</t>
  </si>
  <si>
    <t>Sievo Negro</t>
  </si>
  <si>
    <t>Juan B Soberanis</t>
  </si>
  <si>
    <t>Seville</t>
    <phoneticPr fontId="0" type="noConversion"/>
  </si>
  <si>
    <t>S Gonzalo</t>
  </si>
  <si>
    <t>Domingo Varero</t>
  </si>
  <si>
    <t>Domingo Vareyro</t>
  </si>
  <si>
    <t>1637-</t>
  </si>
  <si>
    <t>Juan Rodriguez</t>
  </si>
  <si>
    <t>Ilha Grande</t>
  </si>
  <si>
    <t>Andres Martinez</t>
  </si>
  <si>
    <t>S Trinidad</t>
  </si>
  <si>
    <t>Niclas Abo</t>
  </si>
  <si>
    <t>Francisco Rodriguez</t>
  </si>
  <si>
    <t>1638-</t>
  </si>
  <si>
    <t>Juan Alfonso</t>
  </si>
  <si>
    <t>Manuel Pereyra</t>
  </si>
  <si>
    <t>1639-</t>
  </si>
  <si>
    <t>Diego Lopez de Miranda</t>
  </si>
  <si>
    <t>Santos</t>
  </si>
  <si>
    <t>Manuel Valho</t>
  </si>
  <si>
    <t>1640-</t>
  </si>
  <si>
    <t>Pascual de los Reyes</t>
  </si>
  <si>
    <t>Lorenzo Andrada</t>
  </si>
  <si>
    <t>Lucas Perez</t>
  </si>
  <si>
    <t>1587-</t>
  </si>
  <si>
    <t>Buenos Aires</t>
    <phoneticPr fontId="0" type="noConversion"/>
  </si>
  <si>
    <t>Molina, Las primeras experiencias, 31</t>
    <phoneticPr fontId="0" type="noConversion"/>
  </si>
  <si>
    <t>1591-</t>
  </si>
  <si>
    <t>Molina, Las primeras experiencias, 61</t>
    <phoneticPr fontId="0" type="noConversion"/>
  </si>
  <si>
    <t>1593-</t>
  </si>
  <si>
    <t>Molina, Las primeras experiencias, 74-75</t>
    <phoneticPr fontId="0" type="noConversion"/>
  </si>
  <si>
    <t>1594-</t>
  </si>
  <si>
    <t>1595-</t>
  </si>
  <si>
    <t>1597-</t>
  </si>
  <si>
    <t>Molina, Las primeras experiencias, 77</t>
    <phoneticPr fontId="0" type="noConversion"/>
  </si>
  <si>
    <t>1609-</t>
  </si>
  <si>
    <t>AGI-Charcas 123, Relazion</t>
  </si>
  <si>
    <t>brazil</t>
  </si>
  <si>
    <t>1618-</t>
  </si>
  <si>
    <t>1624-</t>
  </si>
  <si>
    <t>Alonso Perez de Salazar</t>
  </si>
  <si>
    <t>1626-</t>
  </si>
  <si>
    <t>1628-</t>
  </si>
  <si>
    <t>1629-</t>
  </si>
  <si>
    <t>ESTIMATES</t>
  </si>
  <si>
    <t>Cols E and F</t>
  </si>
  <si>
    <t>JAMAICAN DEPARTURES TO ALL DESTINATIONS</t>
  </si>
  <si>
    <t>Sheridan (1981)*</t>
  </si>
  <si>
    <t>Lambert**</t>
  </si>
  <si>
    <t>**</t>
  </si>
  <si>
    <r>
      <t xml:space="preserve">Sheila Lambert (ed.), </t>
    </r>
    <r>
      <rPr>
        <i/>
        <sz val="12"/>
        <color theme="1"/>
        <rFont val="Cambria"/>
      </rPr>
      <t>House of Commons Sessional Papers of the Eighteenth Century</t>
    </r>
    <r>
      <rPr>
        <sz val="12"/>
        <color theme="1"/>
        <rFont val="Cambria"/>
      </rPr>
      <t>, (Wilmington, DL, 1975), vol. 67, p. 239.</t>
    </r>
    <r>
      <rPr>
        <b/>
        <sz val="12"/>
        <color theme="1"/>
        <rFont val="Cambria"/>
      </rPr>
      <t xml:space="preserve"> </t>
    </r>
    <r>
      <rPr>
        <sz val="12"/>
        <color theme="1"/>
        <rFont val="Cambria"/>
      </rPr>
      <t xml:space="preserve"> </t>
    </r>
  </si>
  <si>
    <r>
      <t xml:space="preserve">Richard S. Sheridan, “Slave Demography in the British Caribbean and the Abolition of the Slave Trade,” in David Eltis and James Walvin (eds.), </t>
    </r>
    <r>
      <rPr>
        <i/>
        <sz val="12"/>
        <color theme="1"/>
        <rFont val="Cambria"/>
      </rPr>
      <t>The Abolition of the Atlantic Slave Trade: Impacts on Africa, Europe and the America</t>
    </r>
    <r>
      <rPr>
        <sz val="12"/>
        <color theme="1"/>
        <rFont val="Cambria"/>
      </rPr>
      <t xml:space="preserve"> (Madison, Wis., 1981), p. 274-5. </t>
    </r>
  </si>
  <si>
    <t>12,000 added from Amores***, pp. 135-136 for 1781 to 1785</t>
  </si>
  <si>
    <t>***</t>
  </si>
  <si>
    <r>
      <t xml:space="preserve">Juan B. </t>
    </r>
    <r>
      <rPr>
        <sz val="12"/>
        <color rgb="FF000000"/>
        <rFont val="Cambria"/>
      </rPr>
      <t xml:space="preserve">Amores, </t>
    </r>
    <r>
      <rPr>
        <i/>
        <sz val="12"/>
        <color rgb="FF000000"/>
        <rFont val="Cambria"/>
      </rPr>
      <t>Cuba en la época de Ezpeleta (1785-1790)</t>
    </r>
    <r>
      <rPr>
        <sz val="12"/>
        <color rgb="FF000000"/>
        <rFont val="Cambria"/>
      </rPr>
      <t>, (Pamplona, 2000), pp. 129, 134</t>
    </r>
  </si>
  <si>
    <t>(from all regions)</t>
  </si>
  <si>
    <t>Composite of</t>
  </si>
  <si>
    <t>Imputed slaves</t>
  </si>
  <si>
    <t>Estimated</t>
  </si>
  <si>
    <t>North Caarolina</t>
  </si>
  <si>
    <t>Louisiana</t>
  </si>
  <si>
    <t>Middle Colonies</t>
  </si>
  <si>
    <t>New England</t>
  </si>
  <si>
    <t>Gregory E. O'Malley</t>
  </si>
  <si>
    <t>Col M/Col L</t>
  </si>
  <si>
    <t>tables I - X</t>
  </si>
  <si>
    <t>ESTIMATED</t>
  </si>
  <si>
    <t>NON-JAMAICA</t>
  </si>
  <si>
    <t xml:space="preserve">For post-1700 </t>
  </si>
  <si>
    <t xml:space="preserve">(sum of cols J </t>
  </si>
  <si>
    <t>to M)/N124</t>
  </si>
  <si>
    <t>COL I + COL N</t>
  </si>
  <si>
    <t>R0W O</t>
  </si>
  <si>
    <t>Destinations of slaves leaving Jamaica (intragreg14)</t>
  </si>
  <si>
    <t>Derivation of ratio of imputed slaves arrived to estimated slaves arrived Used in column N</t>
  </si>
  <si>
    <t>Regrouping of Column D by quarter century</t>
  </si>
  <si>
    <t>slaves</t>
  </si>
  <si>
    <t>col share</t>
  </si>
  <si>
    <t>Beyond the Middle Passage: Slave Migration from the Caribbean to North America, 1619-1807, pp 125-72  </t>
  </si>
  <si>
    <t>Individual ports</t>
  </si>
  <si>
    <t>Regrouped ports</t>
  </si>
  <si>
    <t>5,000 allowed for inflow from Jamaica to Holguin area (see "Notes…")</t>
  </si>
  <si>
    <t>(Use in conjunction with "Notes on the estimates of the Intra-American Slave trade to the Spanish Americas.docx")</t>
  </si>
  <si>
    <t>The O'Malley database shows a 1,500 entering the Spanish Americas from the Danish islands before 1789.  No evidence of significant movementbeyond this exists. Here 3,000 allowed for 1761-1789, 2,000 for 1701-1760 and 1,000 for pre-1700</t>
  </si>
  <si>
    <t>C7 = I189; D7 = C7 multiplied by the transatlantic ratio of estimated actual slaves landed to declared slaves (see "Transatlantic Slaves Estimated by Voyageids.xlsx" from authors)</t>
  </si>
  <si>
    <t>C13, D13 = Borucki, CLAR + Barba</t>
  </si>
  <si>
    <t>D11 = Barba see text of "Notes…")</t>
  </si>
  <si>
    <t xml:space="preserve">D9 =  Moutokias + Barba (See text of "Notes…") </t>
  </si>
  <si>
    <t>Arrivals in Spanish America from Brazil</t>
  </si>
  <si>
    <t>1790-20</t>
  </si>
  <si>
    <t>1831-51</t>
  </si>
  <si>
    <t>see post1789SpanArriv tab</t>
  </si>
  <si>
    <t>see text of "Notes…"</t>
  </si>
  <si>
    <t>Derivation of row 8 of table 1 in main essay</t>
  </si>
  <si>
    <t>C16 = Fragoso and Guedes; D16 see text of "Notes…"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</si>
</sst>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  <font>
      <sz val="12"/>
      <color rgb="FF000000"/>
      <name val="Calibri"/>
      <family val="2"/>
      <scheme val="minor"/>
    </font>
    <font>
      <i/>
      <sz val="12"/>
      <color rgb="FF000000"/>
      <name val="Times New Roman"/>
    </font>
    <font>
      <sz val="12"/>
      <color rgb="FF222222"/>
      <name val="Cambria"/>
    </font>
    <font>
      <sz val="12"/>
      <color theme="1"/>
      <name val="Cambria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i/>
      <sz val="12"/>
      <color theme="1"/>
      <name val="Cambria"/>
    </font>
    <font>
      <b/>
      <sz val="12"/>
      <color theme="1"/>
      <name val="Cambria"/>
    </font>
    <font>
      <sz val="12"/>
      <color rgb="FF000000"/>
      <name val="Cambria"/>
    </font>
    <font>
      <i/>
      <sz val="12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7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1" fontId="0" fillId="0" borderId="0" xfId="0" applyNumberFormat="1"/>
    <xf numFmtId="0" fontId="7" fillId="0" borderId="0" xfId="0" applyFont="1"/>
    <xf numFmtId="0" fontId="6" fillId="0" borderId="0" xfId="0" applyFont="1" applyAlignment="1">
      <alignment vertical="center"/>
    </xf>
    <xf numFmtId="0" fontId="3" fillId="0" borderId="0" xfId="0" applyFont="1"/>
    <xf numFmtId="3" fontId="0" fillId="0" borderId="0" xfId="0" applyNumberFormat="1"/>
    <xf numFmtId="3" fontId="7" fillId="0" borderId="0" xfId="0" applyNumberFormat="1" applyFont="1"/>
    <xf numFmtId="0" fontId="2" fillId="0" borderId="0" xfId="0" applyFont="1"/>
    <xf numFmtId="0" fontId="0" fillId="0" borderId="0" xfId="0" applyFont="1"/>
    <xf numFmtId="165" fontId="0" fillId="0" borderId="0" xfId="0" applyNumberFormat="1"/>
    <xf numFmtId="1" fontId="0" fillId="0" borderId="0" xfId="0" applyNumberFormat="1" applyFont="1"/>
    <xf numFmtId="0" fontId="3" fillId="0" borderId="7" xfId="0" applyFont="1" applyBorder="1"/>
    <xf numFmtId="0" fontId="6" fillId="0" borderId="13" xfId="0" applyFont="1" applyBorder="1" applyAlignment="1">
      <alignment vertical="center" wrapText="1"/>
    </xf>
    <xf numFmtId="0" fontId="0" fillId="0" borderId="0" xfId="0" applyFill="1"/>
    <xf numFmtId="166" fontId="3" fillId="0" borderId="4" xfId="1" applyNumberFormat="1" applyFont="1" applyFill="1" applyBorder="1"/>
    <xf numFmtId="0" fontId="3" fillId="0" borderId="0" xfId="0" applyFont="1" applyBorder="1"/>
    <xf numFmtId="166" fontId="3" fillId="0" borderId="0" xfId="1" applyNumberFormat="1" applyFont="1" applyBorder="1" applyAlignment="1">
      <alignment horizontal="center"/>
    </xf>
    <xf numFmtId="166" fontId="0" fillId="0" borderId="0" xfId="0" applyNumberFormat="1"/>
    <xf numFmtId="0" fontId="0" fillId="0" borderId="0" xfId="0" applyFont="1" applyBorder="1"/>
    <xf numFmtId="164" fontId="0" fillId="0" borderId="0" xfId="0" applyNumberFormat="1"/>
    <xf numFmtId="166" fontId="3" fillId="0" borderId="6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Fill="1" applyBorder="1"/>
    <xf numFmtId="166" fontId="0" fillId="2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/>
    <xf numFmtId="166" fontId="0" fillId="2" borderId="10" xfId="1" applyNumberFormat="1" applyFont="1" applyFill="1" applyBorder="1" applyAlignment="1">
      <alignment horizontal="left"/>
    </xf>
    <xf numFmtId="166" fontId="0" fillId="0" borderId="8" xfId="1" applyNumberFormat="1" applyFont="1" applyFill="1" applyBorder="1"/>
    <xf numFmtId="166" fontId="0" fillId="2" borderId="8" xfId="1" applyNumberFormat="1" applyFont="1" applyFill="1" applyBorder="1" applyAlignment="1">
      <alignment horizontal="center"/>
    </xf>
    <xf numFmtId="3" fontId="10" fillId="0" borderId="0" xfId="0" applyNumberFormat="1" applyFont="1" applyFill="1"/>
    <xf numFmtId="166" fontId="9" fillId="2" borderId="3" xfId="1" applyNumberFormat="1" applyFont="1" applyFill="1" applyBorder="1" applyAlignment="1">
      <alignment horizontal="center"/>
    </xf>
    <xf numFmtId="166" fontId="9" fillId="0" borderId="3" xfId="1" applyNumberFormat="1" applyFont="1" applyFill="1" applyBorder="1"/>
    <xf numFmtId="166" fontId="3" fillId="0" borderId="5" xfId="1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Alignment="1">
      <alignment horizontal="right"/>
    </xf>
    <xf numFmtId="0" fontId="12" fillId="0" borderId="0" xfId="0" applyFont="1" applyFill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2" fillId="0" borderId="0" xfId="0" applyFont="1" applyAlignment="1"/>
    <xf numFmtId="0" fontId="13" fillId="0" borderId="0" xfId="0" applyFont="1" applyAlignment="1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0" fillId="0" borderId="0" xfId="0" applyFont="1"/>
    <xf numFmtId="165" fontId="0" fillId="0" borderId="0" xfId="0" applyNumberFormat="1" applyAlignment="1"/>
    <xf numFmtId="165" fontId="7" fillId="0" borderId="0" xfId="0" applyNumberFormat="1" applyFont="1"/>
    <xf numFmtId="0" fontId="4" fillId="0" borderId="0" xfId="158"/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7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stor.org.proxy.library.emory.edu/stable/40212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abSelected="1" topLeftCell="A4" workbookViewId="0">
      <selection activeCell="C34" sqref="C34"/>
    </sheetView>
  </sheetViews>
  <sheetFormatPr baseColWidth="10" defaultRowHeight="15" x14ac:dyDescent="0"/>
  <cols>
    <col min="2" max="2" width="12.5" customWidth="1"/>
    <col min="3" max="3" width="11.6640625" customWidth="1"/>
  </cols>
  <sheetData>
    <row r="2" spans="1:11">
      <c r="A2" s="4" t="s">
        <v>155</v>
      </c>
    </row>
    <row r="3" spans="1:11">
      <c r="A3" s="8" t="s">
        <v>547</v>
      </c>
    </row>
    <row r="4" spans="1:11">
      <c r="A4" s="8"/>
    </row>
    <row r="5" spans="1:11">
      <c r="A5" s="4" t="s">
        <v>14</v>
      </c>
    </row>
    <row r="6" spans="1:11">
      <c r="A6" s="4"/>
      <c r="B6" s="6">
        <f>RiodelaPlata!D22</f>
        <v>136178.04152578133</v>
      </c>
    </row>
    <row r="8" spans="1:11">
      <c r="A8" s="4" t="s">
        <v>151</v>
      </c>
    </row>
    <row r="9" spans="1:11">
      <c r="B9" s="3" t="s">
        <v>149</v>
      </c>
      <c r="K9" t="s">
        <v>150</v>
      </c>
    </row>
    <row r="10" spans="1:11">
      <c r="B10" s="3" t="s">
        <v>162</v>
      </c>
      <c r="H10" s="5">
        <v>19000</v>
      </c>
    </row>
    <row r="12" spans="1:11">
      <c r="A12" s="4" t="s">
        <v>152</v>
      </c>
    </row>
    <row r="13" spans="1:11">
      <c r="A13" s="4"/>
      <c r="B13" s="5">
        <f>pre1790Dutchdepart!L18</f>
        <v>115879.82881417105</v>
      </c>
    </row>
    <row r="14" spans="1:11">
      <c r="I14" s="1"/>
      <c r="K14" s="1"/>
    </row>
    <row r="15" spans="1:11">
      <c r="A15" s="4" t="s">
        <v>153</v>
      </c>
      <c r="I15" s="1"/>
      <c r="K15" s="1"/>
    </row>
    <row r="16" spans="1:11">
      <c r="B16" s="5">
        <f>pre1790Britishdepart!O109</f>
        <v>220984.13073848997</v>
      </c>
      <c r="I16" s="1"/>
      <c r="K16" s="1"/>
    </row>
    <row r="17" spans="1:12">
      <c r="B17" s="5"/>
      <c r="I17" s="1"/>
      <c r="K17" s="1"/>
    </row>
    <row r="18" spans="1:12">
      <c r="A18" s="4" t="s">
        <v>154</v>
      </c>
      <c r="B18" s="5"/>
      <c r="I18" s="1"/>
      <c r="K18" s="1"/>
    </row>
    <row r="19" spans="1:12">
      <c r="A19" s="4"/>
      <c r="B19" s="5" t="s">
        <v>548</v>
      </c>
      <c r="I19" s="1"/>
      <c r="K19" s="1"/>
    </row>
    <row r="20" spans="1:12">
      <c r="I20" s="1"/>
      <c r="K20" s="1"/>
    </row>
    <row r="21" spans="1:12">
      <c r="A21" s="4" t="s">
        <v>160</v>
      </c>
      <c r="I21" s="1"/>
      <c r="K21" s="1"/>
    </row>
    <row r="22" spans="1:12">
      <c r="A22" s="4"/>
      <c r="B22" s="5">
        <f>post1789SpanArriv!O38</f>
        <v>74233.188281186551</v>
      </c>
      <c r="C22" t="s">
        <v>168</v>
      </c>
      <c r="I22" s="1"/>
      <c r="K22" s="1"/>
    </row>
    <row r="23" spans="1:12">
      <c r="A23" s="4"/>
      <c r="B23" s="5"/>
      <c r="I23" s="1"/>
      <c r="K23" s="1"/>
    </row>
    <row r="24" spans="1:12">
      <c r="A24" s="4" t="s">
        <v>161</v>
      </c>
      <c r="B24" s="5"/>
      <c r="I24" s="1"/>
      <c r="K24" s="1"/>
    </row>
    <row r="25" spans="1:12">
      <c r="A25" s="4"/>
      <c r="B25" s="5" t="s">
        <v>546</v>
      </c>
      <c r="I25" s="1"/>
      <c r="K25" s="1"/>
    </row>
    <row r="26" spans="1:12">
      <c r="I26" s="1"/>
      <c r="K26" s="1"/>
    </row>
    <row r="27" spans="1:12">
      <c r="A27" s="4" t="s">
        <v>558</v>
      </c>
    </row>
    <row r="28" spans="1:12">
      <c r="B28" s="2" t="s">
        <v>9</v>
      </c>
    </row>
    <row r="29" spans="1:12">
      <c r="B29" s="2" t="s">
        <v>10</v>
      </c>
      <c r="C29" t="s">
        <v>158</v>
      </c>
      <c r="D29" t="s">
        <v>12</v>
      </c>
      <c r="E29" t="s">
        <v>15</v>
      </c>
      <c r="F29" t="s">
        <v>16</v>
      </c>
      <c r="G29" t="s">
        <v>159</v>
      </c>
      <c r="H29" t="s">
        <v>8</v>
      </c>
    </row>
    <row r="30" spans="1:12" ht="16" thickBot="1">
      <c r="A30" s="12" t="s">
        <v>3</v>
      </c>
      <c r="B30" s="1"/>
      <c r="C30" s="6">
        <f>RiodelaPlata!D8</f>
        <v>28777.280000000002</v>
      </c>
      <c r="H30" s="5">
        <f t="shared" ref="H30:H34" si="0">SUM(B30:G30)</f>
        <v>28777.280000000002</v>
      </c>
      <c r="L30" s="1"/>
    </row>
    <row r="31" spans="1:12" ht="16" thickBot="1">
      <c r="A31" s="12" t="s">
        <v>4</v>
      </c>
      <c r="B31" s="5">
        <f>pre1790Dutchdepart!L9</f>
        <v>73206.983004990805</v>
      </c>
      <c r="C31" s="6">
        <f>RiodelaPlata!D10</f>
        <v>13589</v>
      </c>
      <c r="E31" s="5">
        <f>pre1790Britishdepart!P17</f>
        <v>38313.921000000002</v>
      </c>
      <c r="F31" s="5">
        <v>1000</v>
      </c>
      <c r="H31" s="5">
        <f t="shared" si="0"/>
        <v>126109.90400499081</v>
      </c>
      <c r="L31" s="1"/>
    </row>
    <row r="32" spans="1:12" ht="16" thickBot="1">
      <c r="A32" s="12" t="s">
        <v>5</v>
      </c>
      <c r="B32" s="5">
        <f>pre1790Dutchdepart!L13</f>
        <v>31462.230846929036</v>
      </c>
      <c r="C32" s="6">
        <f>RiodelaPlata!D12</f>
        <v>28200</v>
      </c>
      <c r="E32" s="5">
        <f>pre1790Britishdepart!P78</f>
        <v>129771.53969409665</v>
      </c>
      <c r="F32" s="5">
        <v>2000</v>
      </c>
      <c r="H32" s="5">
        <f t="shared" si="0"/>
        <v>191433.77054102567</v>
      </c>
    </row>
    <row r="33" spans="1:9" ht="16" thickBot="1">
      <c r="A33" s="12" t="s">
        <v>6</v>
      </c>
      <c r="B33" s="5">
        <f>pre1790Dutchdepart!L17</f>
        <v>11210.614962251202</v>
      </c>
      <c r="C33" s="6">
        <f>RiodelaPlata!D14</f>
        <v>56252</v>
      </c>
      <c r="D33" s="5">
        <f>H10</f>
        <v>19000</v>
      </c>
      <c r="E33" s="5">
        <f>pre1790Britishdepart!P107+post1789SpanArriv!K38</f>
        <v>74361.045051980574</v>
      </c>
      <c r="F33" s="5">
        <f>post1789SpanArriv!M38+3000</f>
        <v>44782.610940456449</v>
      </c>
      <c r="G33" s="5">
        <f>post1789SpanArriv!N38</f>
        <v>2824.161525781331</v>
      </c>
      <c r="H33" s="5">
        <f t="shared" si="0"/>
        <v>208430.43248046955</v>
      </c>
    </row>
    <row r="34" spans="1:9" ht="16" thickBot="1">
      <c r="A34" s="12" t="s">
        <v>7</v>
      </c>
      <c r="B34" s="5"/>
      <c r="C34" s="6">
        <f>RiodelaPlata!D16</f>
        <v>1535.6000000000001</v>
      </c>
      <c r="E34" s="5">
        <v>5000</v>
      </c>
      <c r="G34" s="5">
        <f>RiodelaPlata!D21</f>
        <v>5000</v>
      </c>
      <c r="H34" s="5">
        <f t="shared" si="0"/>
        <v>11535.6</v>
      </c>
    </row>
    <row r="35" spans="1:9" ht="16" thickBot="1">
      <c r="A35" s="12" t="s">
        <v>8</v>
      </c>
      <c r="B35" s="5">
        <f t="shared" ref="B35:G35" si="1">SUM(B30:B34)</f>
        <v>115879.82881417104</v>
      </c>
      <c r="C35" s="5">
        <f t="shared" si="1"/>
        <v>128353.88</v>
      </c>
      <c r="D35">
        <f t="shared" si="1"/>
        <v>19000</v>
      </c>
      <c r="E35" s="5">
        <f t="shared" si="1"/>
        <v>247446.50574607722</v>
      </c>
      <c r="F35" s="5">
        <f t="shared" si="1"/>
        <v>47782.610940456449</v>
      </c>
      <c r="G35" s="5">
        <f t="shared" si="1"/>
        <v>7824.161525781331</v>
      </c>
      <c r="H35" s="5">
        <f>SUM(B35:G35)</f>
        <v>566286.98702648608</v>
      </c>
      <c r="I35" s="5"/>
    </row>
    <row r="36" spans="1:9">
      <c r="C36" s="5"/>
    </row>
    <row r="37" spans="1:9">
      <c r="C3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B3" sqref="B3"/>
    </sheetView>
  </sheetViews>
  <sheetFormatPr baseColWidth="10" defaultRowHeight="15" x14ac:dyDescent="0"/>
  <sheetData>
    <row r="2" spans="2:12">
      <c r="B2" s="4" t="s">
        <v>169</v>
      </c>
    </row>
    <row r="4" spans="2:12">
      <c r="B4" s="4"/>
      <c r="F4" t="s">
        <v>22</v>
      </c>
      <c r="H4" t="s">
        <v>19</v>
      </c>
      <c r="J4" t="s">
        <v>23</v>
      </c>
      <c r="L4" t="s">
        <v>25</v>
      </c>
    </row>
    <row r="5" spans="2:12">
      <c r="F5" t="s">
        <v>21</v>
      </c>
      <c r="H5" t="s">
        <v>20</v>
      </c>
      <c r="J5" t="s">
        <v>24</v>
      </c>
      <c r="L5" t="s">
        <v>26</v>
      </c>
    </row>
    <row r="6" spans="2:12">
      <c r="B6" t="s">
        <v>4</v>
      </c>
    </row>
    <row r="7" spans="2:12">
      <c r="C7" t="s">
        <v>0</v>
      </c>
      <c r="F7">
        <v>2740</v>
      </c>
      <c r="J7" s="1">
        <f>(F7/$F$9)*$H$9</f>
        <v>3023.8962437614919</v>
      </c>
      <c r="L7" s="5">
        <f>J7*0.1</f>
        <v>302.38962437614919</v>
      </c>
    </row>
    <row r="8" spans="2:12">
      <c r="C8" t="s">
        <v>1</v>
      </c>
      <c r="F8">
        <v>73400</v>
      </c>
      <c r="J8" s="1">
        <f>(F8/$F$9)*$H$9</f>
        <v>81005.103756238503</v>
      </c>
      <c r="L8" s="5">
        <f>J8*0.9</f>
        <v>72904.59338061465</v>
      </c>
    </row>
    <row r="9" spans="2:12">
      <c r="C9" t="s">
        <v>2</v>
      </c>
      <c r="F9">
        <f>SUM(F7:F8)</f>
        <v>76140</v>
      </c>
      <c r="H9">
        <v>84029</v>
      </c>
      <c r="L9" s="5">
        <f>SUM(L7:L8)</f>
        <v>73206.983004990805</v>
      </c>
    </row>
    <row r="10" spans="2:12">
      <c r="B10" t="s">
        <v>5</v>
      </c>
      <c r="L10" s="5"/>
    </row>
    <row r="11" spans="2:12">
      <c r="C11" t="s">
        <v>0</v>
      </c>
      <c r="F11">
        <v>14126</v>
      </c>
      <c r="J11" s="1">
        <f>(F11/$F$13)*$H$13</f>
        <v>15441.384504387088</v>
      </c>
      <c r="L11" s="5">
        <f>J11*0.2</f>
        <v>3088.2769008774176</v>
      </c>
    </row>
    <row r="12" spans="2:12">
      <c r="C12" t="s">
        <v>1</v>
      </c>
      <c r="F12">
        <v>28841</v>
      </c>
      <c r="J12" s="1">
        <f>(F12/$F$13)*$H$13</f>
        <v>31526.61549561291</v>
      </c>
      <c r="L12" s="5">
        <f>J12*0.9</f>
        <v>28373.953946051621</v>
      </c>
    </row>
    <row r="13" spans="2:12">
      <c r="C13" t="s">
        <v>2</v>
      </c>
      <c r="F13">
        <f>SUM(F11:F12)</f>
        <v>42967</v>
      </c>
      <c r="H13">
        <v>46968</v>
      </c>
      <c r="L13" s="5">
        <f>SUM(L11:L12)</f>
        <v>31462.230846929036</v>
      </c>
    </row>
    <row r="14" spans="2:12">
      <c r="B14" t="s">
        <v>18</v>
      </c>
      <c r="L14" s="5"/>
    </row>
    <row r="15" spans="2:12">
      <c r="C15" s="2" t="s">
        <v>0</v>
      </c>
      <c r="F15">
        <v>7754</v>
      </c>
      <c r="J15" s="1">
        <f>(F15/$F$17)*$H$17</f>
        <v>9411.7700754975976</v>
      </c>
      <c r="L15" s="5">
        <f>J15*0.4</f>
        <v>3764.7080301990391</v>
      </c>
    </row>
    <row r="16" spans="2:12">
      <c r="C16" s="2" t="s">
        <v>1</v>
      </c>
      <c r="F16">
        <v>6816</v>
      </c>
      <c r="J16" s="1">
        <f>(F16/$F$17)*$H$17</f>
        <v>8273.2299245024024</v>
      </c>
      <c r="L16" s="5">
        <f>J16*0.9</f>
        <v>7445.9069320521621</v>
      </c>
    </row>
    <row r="17" spans="2:12">
      <c r="C17" s="2" t="s">
        <v>2</v>
      </c>
      <c r="F17">
        <f>SUM(F15:F16)</f>
        <v>14570</v>
      </c>
      <c r="H17">
        <v>17685</v>
      </c>
      <c r="L17" s="5">
        <f>SUM(L15:L16)</f>
        <v>11210.614962251202</v>
      </c>
    </row>
    <row r="18" spans="2:12">
      <c r="B18" t="s">
        <v>17</v>
      </c>
      <c r="H18">
        <f>SUM(H7:H17)</f>
        <v>148682</v>
      </c>
      <c r="J18" s="1">
        <f>SUM(J7:J16)</f>
        <v>148682</v>
      </c>
      <c r="L18" s="5">
        <f>L9+L17+L13</f>
        <v>115879.82881417105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1"/>
  <sheetViews>
    <sheetView workbookViewId="0">
      <pane xSplit="2" ySplit="10" topLeftCell="C14" activePane="bottomRight" state="frozen"/>
      <selection pane="topRight" activeCell="C1" sqref="C1"/>
      <selection pane="bottomLeft" activeCell="A8" sqref="A8"/>
      <selection pane="bottomRight" activeCell="A20" sqref="A20"/>
    </sheetView>
  </sheetViews>
  <sheetFormatPr baseColWidth="10" defaultRowHeight="15" x14ac:dyDescent="0"/>
  <cols>
    <col min="2" max="2" width="12.5" customWidth="1"/>
    <col min="5" max="5" width="13.5" customWidth="1"/>
    <col min="8" max="8" width="11.6640625" customWidth="1"/>
    <col min="9" max="9" width="11.83203125" customWidth="1"/>
    <col min="10" max="10" width="11" customWidth="1"/>
    <col min="11" max="11" width="11.6640625" customWidth="1"/>
    <col min="12" max="12" width="12.5" customWidth="1"/>
  </cols>
  <sheetData>
    <row r="2" spans="2:18">
      <c r="B2" s="4" t="s">
        <v>157</v>
      </c>
    </row>
    <row r="3" spans="2:18">
      <c r="B3" s="4"/>
    </row>
    <row r="4" spans="2:18">
      <c r="C4" s="51" t="s">
        <v>511</v>
      </c>
      <c r="D4" s="51"/>
      <c r="E4" s="51"/>
      <c r="F4" s="51"/>
      <c r="G4" s="51"/>
      <c r="H4" t="s">
        <v>28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531</v>
      </c>
      <c r="O4" t="s">
        <v>33</v>
      </c>
      <c r="P4" t="s">
        <v>537</v>
      </c>
      <c r="R4" t="s">
        <v>27</v>
      </c>
    </row>
    <row r="5" spans="2:18">
      <c r="C5" s="51"/>
      <c r="D5" s="51"/>
      <c r="E5" s="51"/>
      <c r="F5" s="51"/>
      <c r="G5" s="51"/>
      <c r="H5" t="s">
        <v>34</v>
      </c>
      <c r="I5" t="s">
        <v>35</v>
      </c>
      <c r="J5" t="s">
        <v>34</v>
      </c>
      <c r="K5" t="s">
        <v>34</v>
      </c>
      <c r="L5" t="s">
        <v>36</v>
      </c>
      <c r="M5" t="s">
        <v>34</v>
      </c>
      <c r="N5" t="s">
        <v>532</v>
      </c>
      <c r="O5" t="s">
        <v>37</v>
      </c>
      <c r="P5" t="s">
        <v>38</v>
      </c>
      <c r="R5" t="s">
        <v>520</v>
      </c>
    </row>
    <row r="6" spans="2:18">
      <c r="C6" s="51"/>
      <c r="D6" s="51"/>
      <c r="E6" s="51"/>
      <c r="F6" s="51"/>
      <c r="G6" s="51"/>
      <c r="H6" t="s">
        <v>39</v>
      </c>
      <c r="I6" t="s">
        <v>40</v>
      </c>
      <c r="J6" t="s">
        <v>40</v>
      </c>
      <c r="K6" t="s">
        <v>40</v>
      </c>
      <c r="L6" t="s">
        <v>40</v>
      </c>
      <c r="N6" t="s">
        <v>40</v>
      </c>
      <c r="O6" t="s">
        <v>41</v>
      </c>
      <c r="P6" t="s">
        <v>42</v>
      </c>
    </row>
    <row r="7" spans="2:18">
      <c r="C7" t="s">
        <v>170</v>
      </c>
      <c r="D7" t="s">
        <v>170</v>
      </c>
      <c r="E7" t="s">
        <v>512</v>
      </c>
      <c r="F7" t="s">
        <v>513</v>
      </c>
      <c r="G7" t="s">
        <v>521</v>
      </c>
      <c r="J7" t="s">
        <v>43</v>
      </c>
      <c r="K7" t="s">
        <v>43</v>
      </c>
      <c r="L7" t="s">
        <v>43</v>
      </c>
      <c r="N7" t="s">
        <v>533</v>
      </c>
      <c r="R7" t="s">
        <v>170</v>
      </c>
    </row>
    <row r="8" spans="2:18">
      <c r="C8" t="s">
        <v>171</v>
      </c>
      <c r="D8" t="s">
        <v>171</v>
      </c>
      <c r="G8" t="s">
        <v>510</v>
      </c>
      <c r="J8" t="s">
        <v>45</v>
      </c>
      <c r="N8" t="s">
        <v>534</v>
      </c>
      <c r="R8" t="s">
        <v>171</v>
      </c>
    </row>
    <row r="9" spans="2:18">
      <c r="C9" t="s">
        <v>172</v>
      </c>
      <c r="D9" t="s">
        <v>172</v>
      </c>
      <c r="N9" t="s">
        <v>535</v>
      </c>
      <c r="O9" t="s">
        <v>536</v>
      </c>
      <c r="R9" t="s">
        <v>172</v>
      </c>
    </row>
    <row r="10" spans="2:18">
      <c r="B10" t="s">
        <v>46</v>
      </c>
      <c r="C10" t="s">
        <v>47</v>
      </c>
      <c r="D10" t="s">
        <v>48</v>
      </c>
      <c r="E10" t="s">
        <v>48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s="2" t="s">
        <v>47</v>
      </c>
      <c r="M10" t="s">
        <v>47</v>
      </c>
      <c r="N10" t="s">
        <v>47</v>
      </c>
      <c r="O10" t="s">
        <v>47</v>
      </c>
      <c r="R10" t="s">
        <v>47</v>
      </c>
    </row>
    <row r="11" spans="2:18">
      <c r="B11" s="4">
        <v>1662</v>
      </c>
      <c r="I11" s="5">
        <f t="shared" ref="I11:I16" si="0">E201</f>
        <v>0</v>
      </c>
      <c r="L11" s="6">
        <f t="shared" ref="L11:L16" si="1">F201</f>
        <v>408</v>
      </c>
      <c r="N11" s="5">
        <f>L11</f>
        <v>408</v>
      </c>
      <c r="O11" s="5">
        <f>I11+N11</f>
        <v>408</v>
      </c>
    </row>
    <row r="12" spans="2:18">
      <c r="B12" s="4">
        <v>1663</v>
      </c>
      <c r="I12" s="5">
        <f t="shared" si="0"/>
        <v>258.74100000000004</v>
      </c>
      <c r="L12" s="6">
        <f t="shared" si="1"/>
        <v>166.35</v>
      </c>
      <c r="N12" s="5">
        <f t="shared" ref="N12:N17" si="2">L12</f>
        <v>166.35</v>
      </c>
      <c r="O12" s="5">
        <f t="shared" ref="O12:O17" si="3">I12+N12</f>
        <v>425.09100000000001</v>
      </c>
    </row>
    <row r="13" spans="2:18">
      <c r="B13" s="4">
        <v>1664</v>
      </c>
      <c r="I13" s="5">
        <f t="shared" si="0"/>
        <v>142.857</v>
      </c>
      <c r="L13" s="6">
        <f t="shared" si="1"/>
        <v>972.9</v>
      </c>
      <c r="N13" s="5">
        <f t="shared" si="2"/>
        <v>972.9</v>
      </c>
      <c r="O13" s="5">
        <f t="shared" si="3"/>
        <v>1115.7570000000001</v>
      </c>
    </row>
    <row r="14" spans="2:18">
      <c r="B14" s="4">
        <v>1665</v>
      </c>
      <c r="I14" s="5">
        <f t="shared" si="0"/>
        <v>1002.663</v>
      </c>
      <c r="L14" s="6">
        <f t="shared" si="1"/>
        <v>611.85</v>
      </c>
      <c r="N14" s="5">
        <f t="shared" si="2"/>
        <v>611.85</v>
      </c>
      <c r="O14" s="5">
        <f t="shared" si="3"/>
        <v>1614.5129999999999</v>
      </c>
    </row>
    <row r="15" spans="2:18">
      <c r="B15" s="4">
        <v>1666</v>
      </c>
      <c r="I15" s="5">
        <f t="shared" si="0"/>
        <v>840.49200000000008</v>
      </c>
      <c r="L15" s="6">
        <f t="shared" si="1"/>
        <v>454.34999999999997</v>
      </c>
      <c r="N15" s="5">
        <f t="shared" si="2"/>
        <v>454.34999999999997</v>
      </c>
      <c r="O15" s="5">
        <f t="shared" si="3"/>
        <v>1294.8420000000001</v>
      </c>
    </row>
    <row r="16" spans="2:18">
      <c r="B16" s="4">
        <v>1667</v>
      </c>
      <c r="I16" s="5">
        <f t="shared" si="0"/>
        <v>81.918000000000006</v>
      </c>
      <c r="L16" s="6">
        <f t="shared" si="1"/>
        <v>373.8</v>
      </c>
      <c r="N16" s="5">
        <f t="shared" si="2"/>
        <v>373.8</v>
      </c>
      <c r="O16" s="5">
        <f t="shared" si="3"/>
        <v>455.71800000000002</v>
      </c>
    </row>
    <row r="17" spans="1:18">
      <c r="A17" s="7"/>
      <c r="B17" s="4" t="s">
        <v>49</v>
      </c>
      <c r="I17">
        <f>33*900</f>
        <v>29700</v>
      </c>
      <c r="L17" s="6">
        <f>33*100</f>
        <v>3300</v>
      </c>
      <c r="N17" s="5">
        <f t="shared" si="2"/>
        <v>3300</v>
      </c>
      <c r="O17" s="5">
        <f t="shared" si="3"/>
        <v>33000</v>
      </c>
      <c r="P17" s="5">
        <f>SUM(O11:O17)</f>
        <v>38313.921000000002</v>
      </c>
    </row>
    <row r="18" spans="1:18">
      <c r="A18" s="7"/>
      <c r="B18" s="4"/>
      <c r="L18" s="6"/>
      <c r="O18" s="5"/>
      <c r="P18" s="5"/>
    </row>
    <row r="19" spans="1:18">
      <c r="A19" s="7"/>
      <c r="B19" s="4">
        <v>1701</v>
      </c>
      <c r="C19">
        <v>131</v>
      </c>
      <c r="G19" s="5">
        <f>((C19/$D$23)*$E$23)*1.1</f>
        <v>1574.0153846153846</v>
      </c>
      <c r="H19" s="5">
        <f t="shared" ref="H19:H43" si="4">G19*$H$117</f>
        <v>217.26971556282999</v>
      </c>
      <c r="I19" s="5">
        <f t="shared" ref="I19:I25" si="5">G19*$H$120</f>
        <v>1482.1262756469107</v>
      </c>
      <c r="L19">
        <v>44</v>
      </c>
      <c r="N19" s="5">
        <f>SUM(J19:M19)/N$123</f>
        <v>70.412881476224271</v>
      </c>
      <c r="O19" s="5">
        <f t="shared" ref="O19:O82" si="6">I19+N19</f>
        <v>1552.5391571231351</v>
      </c>
    </row>
    <row r="20" spans="1:18">
      <c r="A20" s="7"/>
      <c r="B20" s="4">
        <v>1702</v>
      </c>
      <c r="C20">
        <v>43</v>
      </c>
      <c r="G20" s="5">
        <f>((C20/$D$23)*$E$23)*1.1</f>
        <v>516.6615384615385</v>
      </c>
      <c r="H20" s="5">
        <f t="shared" si="4"/>
        <v>71.317540222913664</v>
      </c>
      <c r="I20" s="5">
        <f t="shared" si="5"/>
        <v>486.49946452532186</v>
      </c>
      <c r="O20" s="5">
        <f t="shared" si="6"/>
        <v>486.49946452532186</v>
      </c>
      <c r="R20">
        <v>39</v>
      </c>
    </row>
    <row r="21" spans="1:18">
      <c r="B21" s="4">
        <v>1703</v>
      </c>
      <c r="C21">
        <v>73</v>
      </c>
      <c r="G21" s="5">
        <f>((C21/$D$23)*$E$23)*1.1</f>
        <v>877.12307692307706</v>
      </c>
      <c r="H21" s="5">
        <f t="shared" si="4"/>
        <v>121.0739636342488</v>
      </c>
      <c r="I21" s="5">
        <f t="shared" si="5"/>
        <v>825.9176955895</v>
      </c>
      <c r="O21" s="5">
        <f t="shared" si="6"/>
        <v>825.9176955895</v>
      </c>
      <c r="R21">
        <v>73</v>
      </c>
    </row>
    <row r="22" spans="1:18">
      <c r="B22" s="4">
        <v>1704</v>
      </c>
      <c r="G22" s="5">
        <f>((C22/$D$23)*$E$23)*1.1</f>
        <v>0</v>
      </c>
      <c r="H22" s="5">
        <f t="shared" si="4"/>
        <v>0</v>
      </c>
      <c r="I22" s="5">
        <f t="shared" si="5"/>
        <v>0</v>
      </c>
      <c r="O22" s="5">
        <f t="shared" si="6"/>
        <v>0</v>
      </c>
    </row>
    <row r="23" spans="1:18">
      <c r="B23" s="4">
        <v>1705</v>
      </c>
      <c r="D23">
        <f>SUM(C19:C23)</f>
        <v>247</v>
      </c>
      <c r="E23">
        <v>2698</v>
      </c>
      <c r="G23" s="5">
        <f>((C23/$D$23)*$E$23)*1.1</f>
        <v>0</v>
      </c>
      <c r="H23" s="5">
        <f t="shared" si="4"/>
        <v>0</v>
      </c>
      <c r="I23" s="5">
        <f t="shared" si="5"/>
        <v>0</v>
      </c>
      <c r="O23" s="5">
        <f t="shared" si="6"/>
        <v>0</v>
      </c>
    </row>
    <row r="24" spans="1:18">
      <c r="B24" s="4">
        <v>1706</v>
      </c>
      <c r="C24">
        <v>44</v>
      </c>
      <c r="G24" s="6">
        <f>((C24/$D$28)*$E$28)*1.1</f>
        <v>327.61347270615568</v>
      </c>
      <c r="H24" s="5">
        <f t="shared" si="4"/>
        <v>45.222230179669161</v>
      </c>
      <c r="I24" s="5">
        <f t="shared" si="5"/>
        <v>308.4877955448793</v>
      </c>
      <c r="O24" s="5">
        <f t="shared" si="6"/>
        <v>308.4877955448793</v>
      </c>
    </row>
    <row r="25" spans="1:18">
      <c r="B25" s="4">
        <v>1707</v>
      </c>
      <c r="G25" s="6">
        <f>((C25/$D$28)*$E$28)*1.1</f>
        <v>0</v>
      </c>
      <c r="H25" s="5">
        <f t="shared" si="4"/>
        <v>0</v>
      </c>
      <c r="I25" s="5">
        <f t="shared" si="5"/>
        <v>0</v>
      </c>
      <c r="O25" s="5">
        <f t="shared" si="6"/>
        <v>0</v>
      </c>
    </row>
    <row r="26" spans="1:18">
      <c r="B26" s="4">
        <v>1708</v>
      </c>
      <c r="G26" s="6">
        <f>((C26/$D$28)*$E$28)*1.1</f>
        <v>0</v>
      </c>
      <c r="H26" s="5">
        <f t="shared" si="4"/>
        <v>0</v>
      </c>
      <c r="I26" s="5">
        <v>59</v>
      </c>
      <c r="O26" s="5">
        <f t="shared" si="6"/>
        <v>59</v>
      </c>
      <c r="R26">
        <v>59</v>
      </c>
    </row>
    <row r="27" spans="1:18">
      <c r="B27" s="4">
        <v>1709</v>
      </c>
      <c r="C27">
        <v>352</v>
      </c>
      <c r="G27" s="6">
        <f>((C27/$D$28)*$E$28)*1.1</f>
        <v>2620.9077816492454</v>
      </c>
      <c r="H27" s="5">
        <f t="shared" si="4"/>
        <v>361.77784143735329</v>
      </c>
      <c r="I27" s="5">
        <f>G27*$H$120</f>
        <v>2467.9023643590344</v>
      </c>
      <c r="O27" s="5">
        <f t="shared" si="6"/>
        <v>2467.9023643590344</v>
      </c>
    </row>
    <row r="28" spans="1:18">
      <c r="B28" s="4">
        <v>1710</v>
      </c>
      <c r="C28">
        <v>465</v>
      </c>
      <c r="D28">
        <f>SUM(C24:C28)</f>
        <v>861</v>
      </c>
      <c r="E28">
        <v>5828</v>
      </c>
      <c r="G28" s="6">
        <f>((C28/$D$28)*$E$28)*1.1</f>
        <v>3462.2787456445994</v>
      </c>
      <c r="H28" s="5">
        <f t="shared" si="4"/>
        <v>477.91675076241268</v>
      </c>
      <c r="I28" s="5">
        <f>G28*$H$120</f>
        <v>3260.1551120083832</v>
      </c>
      <c r="O28" s="5">
        <f t="shared" si="6"/>
        <v>3260.1551120083832</v>
      </c>
      <c r="R28">
        <v>30</v>
      </c>
    </row>
    <row r="29" spans="1:18">
      <c r="B29" s="4">
        <v>1711</v>
      </c>
      <c r="C29">
        <v>233</v>
      </c>
      <c r="G29" s="5">
        <f>((C29/$D$33)*$E$33)*1.1</f>
        <v>3029.0768976897693</v>
      </c>
      <c r="H29" s="5">
        <f t="shared" si="4"/>
        <v>418.11959553356644</v>
      </c>
      <c r="I29" s="5">
        <f>G29*$H$120</f>
        <v>2852.2430624895401</v>
      </c>
      <c r="O29" s="5">
        <f t="shared" si="6"/>
        <v>2852.2430624895401</v>
      </c>
      <c r="R29">
        <v>44</v>
      </c>
    </row>
    <row r="30" spans="1:18">
      <c r="B30" s="4">
        <v>1712</v>
      </c>
      <c r="G30" s="5">
        <f>((C30/$D$33)*$E$33)*1.1</f>
        <v>0</v>
      </c>
      <c r="H30" s="5">
        <f t="shared" si="4"/>
        <v>0</v>
      </c>
      <c r="I30" s="5">
        <f>G30*$H$120</f>
        <v>0</v>
      </c>
      <c r="O30" s="5">
        <f t="shared" si="6"/>
        <v>0</v>
      </c>
    </row>
    <row r="31" spans="1:18">
      <c r="B31" s="4">
        <v>1713</v>
      </c>
      <c r="G31" s="5">
        <f>((C31/$D$33)*$E$33)*1.1</f>
        <v>0</v>
      </c>
      <c r="H31" s="5">
        <f t="shared" si="4"/>
        <v>0</v>
      </c>
      <c r="I31" s="5">
        <v>30</v>
      </c>
      <c r="L31">
        <v>44</v>
      </c>
      <c r="N31" s="5">
        <f>SUM(J31:M31)/N$123</f>
        <v>70.412881476224271</v>
      </c>
      <c r="O31" s="5">
        <f t="shared" si="6"/>
        <v>100.41288147622427</v>
      </c>
      <c r="R31">
        <v>30</v>
      </c>
    </row>
    <row r="32" spans="1:18">
      <c r="A32" s="7"/>
      <c r="B32" s="4">
        <v>1714</v>
      </c>
      <c r="C32">
        <v>265</v>
      </c>
      <c r="G32" s="5">
        <f>((C32/$D$33)*$E$33)*1.1</f>
        <v>3445.0874587458748</v>
      </c>
      <c r="H32" s="5">
        <f t="shared" si="4"/>
        <v>475.54374599311205</v>
      </c>
      <c r="I32" s="5">
        <f t="shared" ref="I32:I43" si="7">G32*$H$120</f>
        <v>3243.967431586816</v>
      </c>
      <c r="O32" s="5">
        <f t="shared" si="6"/>
        <v>3243.967431586816</v>
      </c>
    </row>
    <row r="33" spans="2:18">
      <c r="B33" s="4">
        <v>1715</v>
      </c>
      <c r="C33">
        <v>411</v>
      </c>
      <c r="D33">
        <f>SUM(C29:C33)</f>
        <v>909</v>
      </c>
      <c r="E33">
        <v>10743</v>
      </c>
      <c r="G33" s="5">
        <f>((C33/$D$33)*$E$33)*1.1</f>
        <v>5343.1356435643565</v>
      </c>
      <c r="H33" s="5">
        <f t="shared" si="4"/>
        <v>737.54143246478884</v>
      </c>
      <c r="I33" s="5">
        <f t="shared" si="7"/>
        <v>5031.2098655931368</v>
      </c>
      <c r="L33">
        <v>48</v>
      </c>
      <c r="N33" s="5">
        <f>SUM(J33:M33)/N$123</f>
        <v>76.814052519517375</v>
      </c>
      <c r="O33" s="5">
        <f t="shared" si="6"/>
        <v>5108.0239181126544</v>
      </c>
      <c r="R33">
        <v>182</v>
      </c>
    </row>
    <row r="34" spans="2:18">
      <c r="B34" s="4">
        <v>1716</v>
      </c>
      <c r="C34">
        <v>831</v>
      </c>
      <c r="G34" s="5">
        <f>((C34/$D$38)*$E$38)*1.1</f>
        <v>2579.5398692810463</v>
      </c>
      <c r="H34" s="5">
        <f t="shared" si="4"/>
        <v>356.06760846154094</v>
      </c>
      <c r="I34" s="5">
        <f t="shared" si="7"/>
        <v>2428.9494605381174</v>
      </c>
      <c r="L34">
        <v>210</v>
      </c>
      <c r="N34" s="5">
        <f>SUM(J34:M34)/N$123</f>
        <v>336.06147977288856</v>
      </c>
      <c r="O34" s="5">
        <f t="shared" si="6"/>
        <v>2765.0109403110059</v>
      </c>
      <c r="R34">
        <v>566</v>
      </c>
    </row>
    <row r="35" spans="2:18">
      <c r="B35" s="4">
        <v>1717</v>
      </c>
      <c r="C35">
        <v>2581</v>
      </c>
      <c r="G35" s="5">
        <f>((C35/$D$38)*$E$38)*1.1</f>
        <v>8011.7838779956437</v>
      </c>
      <c r="H35" s="5">
        <f t="shared" si="4"/>
        <v>1105.9091425261579</v>
      </c>
      <c r="I35" s="5">
        <f t="shared" si="7"/>
        <v>7544.0656530070764</v>
      </c>
      <c r="L35">
        <v>124</v>
      </c>
      <c r="N35" s="5">
        <f>SUM(J35:M35)/N$123</f>
        <v>198.43630234208658</v>
      </c>
      <c r="O35" s="5">
        <f t="shared" si="6"/>
        <v>7742.5019553491629</v>
      </c>
      <c r="R35">
        <v>768</v>
      </c>
    </row>
    <row r="36" spans="2:18">
      <c r="B36" s="4">
        <v>1718</v>
      </c>
      <c r="C36">
        <v>1434</v>
      </c>
      <c r="G36" s="5">
        <f>((C36/$D$38)*$E$38)*1.1</f>
        <v>4451.3359477124186</v>
      </c>
      <c r="H36" s="5">
        <f t="shared" si="4"/>
        <v>614.44157705637747</v>
      </c>
      <c r="I36" s="5">
        <f t="shared" si="7"/>
        <v>4191.4723542859929</v>
      </c>
      <c r="L36">
        <v>538</v>
      </c>
      <c r="N36" s="5">
        <f>SUM(J36:M36)/N$123</f>
        <v>860.95750532292402</v>
      </c>
      <c r="O36" s="5">
        <f t="shared" si="6"/>
        <v>5052.4298596089166</v>
      </c>
      <c r="R36">
        <v>569</v>
      </c>
    </row>
    <row r="37" spans="2:18">
      <c r="B37" s="4">
        <v>1719</v>
      </c>
      <c r="C37">
        <v>203</v>
      </c>
      <c r="G37" s="5">
        <f>((C37/$D$38)*$E$38)*1.1</f>
        <v>630.14030501089326</v>
      </c>
      <c r="H37" s="5">
        <f t="shared" si="4"/>
        <v>86.981617951495551</v>
      </c>
      <c r="I37" s="5">
        <f t="shared" si="7"/>
        <v>593.35347832639923</v>
      </c>
      <c r="L37">
        <v>128</v>
      </c>
      <c r="N37" s="5">
        <f>SUM(J37:M37)/N$123</f>
        <v>204.8374733853797</v>
      </c>
      <c r="O37" s="5">
        <f t="shared" si="6"/>
        <v>798.19095171177889</v>
      </c>
      <c r="R37">
        <v>128</v>
      </c>
    </row>
    <row r="38" spans="2:18">
      <c r="B38" s="4">
        <v>1720</v>
      </c>
      <c r="D38">
        <f>SUM(C34:C38)</f>
        <v>5049</v>
      </c>
      <c r="E38">
        <v>14248</v>
      </c>
      <c r="G38" s="5">
        <f>((C38/$D$38)*$E$38)*1.1</f>
        <v>0</v>
      </c>
      <c r="H38" s="5">
        <f t="shared" si="4"/>
        <v>0</v>
      </c>
      <c r="I38" s="5">
        <f t="shared" si="7"/>
        <v>0</v>
      </c>
      <c r="O38" s="5">
        <f t="shared" si="6"/>
        <v>0</v>
      </c>
    </row>
    <row r="39" spans="2:18">
      <c r="B39" s="4">
        <v>1721</v>
      </c>
      <c r="G39" s="5">
        <f>((C39/$D$43)*$E$43)*1.1</f>
        <v>0</v>
      </c>
      <c r="H39" s="5">
        <f t="shared" si="4"/>
        <v>0</v>
      </c>
      <c r="I39" s="5">
        <f t="shared" si="7"/>
        <v>0</v>
      </c>
      <c r="O39" s="5">
        <f t="shared" si="6"/>
        <v>0</v>
      </c>
    </row>
    <row r="40" spans="2:18">
      <c r="B40" s="4">
        <v>1722</v>
      </c>
      <c r="C40">
        <v>1710</v>
      </c>
      <c r="G40" s="5">
        <f>((C40/$D$43)*$E$43)*1.1</f>
        <v>2705.8560083776947</v>
      </c>
      <c r="H40" s="5">
        <f t="shared" si="4"/>
        <v>373.50369700347721</v>
      </c>
      <c r="I40" s="5">
        <f t="shared" si="7"/>
        <v>2547.8914166481331</v>
      </c>
      <c r="O40" s="5">
        <f t="shared" si="6"/>
        <v>2547.8914166481331</v>
      </c>
      <c r="R40">
        <v>170</v>
      </c>
    </row>
    <row r="41" spans="2:18">
      <c r="B41" s="4">
        <v>1723</v>
      </c>
      <c r="C41">
        <v>2440</v>
      </c>
      <c r="G41" s="5">
        <f>((C41/$D$43)*$E$43)*1.1</f>
        <v>3860.9875207260675</v>
      </c>
      <c r="H41" s="5">
        <f t="shared" si="4"/>
        <v>532.95264367747632</v>
      </c>
      <c r="I41" s="5">
        <f t="shared" si="7"/>
        <v>3635.587752410202</v>
      </c>
      <c r="M41">
        <v>24</v>
      </c>
      <c r="N41" s="5">
        <f>SUM(J41:M41)/N$123</f>
        <v>38.407026259758688</v>
      </c>
      <c r="O41" s="5">
        <f t="shared" si="6"/>
        <v>3673.9947786699609</v>
      </c>
      <c r="R41">
        <v>204</v>
      </c>
    </row>
    <row r="42" spans="2:18">
      <c r="B42" s="4">
        <v>1724</v>
      </c>
      <c r="C42">
        <v>3017</v>
      </c>
      <c r="G42" s="5">
        <f>((C42/$D$43)*$E$43)*1.1</f>
        <v>4774.0161270616982</v>
      </c>
      <c r="H42" s="5">
        <f t="shared" si="4"/>
        <v>658.982838514322</v>
      </c>
      <c r="I42" s="5">
        <f t="shared" si="7"/>
        <v>4495.3148561563839</v>
      </c>
      <c r="L42">
        <v>30</v>
      </c>
      <c r="N42" s="5">
        <f>SUM(J42:M42)/N$123</f>
        <v>48.008782824698365</v>
      </c>
      <c r="O42" s="5">
        <f t="shared" si="6"/>
        <v>4543.3236389810827</v>
      </c>
      <c r="R42">
        <v>319</v>
      </c>
    </row>
    <row r="43" spans="2:18">
      <c r="B43" s="4">
        <v>1725</v>
      </c>
      <c r="C43">
        <v>4292</v>
      </c>
      <c r="D43">
        <f>SUM(C39:C43)</f>
        <v>11459</v>
      </c>
      <c r="E43">
        <v>16484</v>
      </c>
      <c r="G43" s="5">
        <f>((C43/$D$43)*$E$43)*1.1</f>
        <v>6791.5403438345411</v>
      </c>
      <c r="H43" s="5">
        <f t="shared" si="4"/>
        <v>937.47243715726552</v>
      </c>
      <c r="I43" s="5">
        <f t="shared" si="7"/>
        <v>6395.0584562887643</v>
      </c>
      <c r="O43" s="5">
        <f t="shared" si="6"/>
        <v>6395.0584562887643</v>
      </c>
      <c r="R43">
        <v>637</v>
      </c>
    </row>
    <row r="44" spans="2:18">
      <c r="B44" s="4">
        <v>1726</v>
      </c>
      <c r="C44">
        <v>1925</v>
      </c>
      <c r="G44" s="5">
        <f>((C44/$D$48)*$E$48)*1.1</f>
        <v>5606.9250594766072</v>
      </c>
      <c r="H44" s="5">
        <f t="shared" ref="H44:H68" si="8">G44*$H$129</f>
        <v>763.70688342585265</v>
      </c>
      <c r="I44" s="5">
        <f t="shared" ref="I44:I68" si="9">G44*$H$132</f>
        <v>5360.220356859636</v>
      </c>
      <c r="O44" s="5">
        <f t="shared" si="6"/>
        <v>5360.220356859636</v>
      </c>
      <c r="R44">
        <v>576</v>
      </c>
    </row>
    <row r="45" spans="2:18">
      <c r="B45" s="4">
        <v>1727</v>
      </c>
      <c r="C45">
        <v>924</v>
      </c>
      <c r="G45" s="5">
        <f>((C45/$D$48)*$E$48)*1.1</f>
        <v>2691.3240285487709</v>
      </c>
      <c r="H45" s="5">
        <f t="shared" si="8"/>
        <v>366.57930404440918</v>
      </c>
      <c r="I45" s="5">
        <f t="shared" si="9"/>
        <v>2572.9057712926251</v>
      </c>
      <c r="M45">
        <v>50</v>
      </c>
      <c r="N45" s="5">
        <f t="shared" ref="N45:N55" si="10">SUM(J45:M45)/N$123</f>
        <v>80.014638041163934</v>
      </c>
      <c r="O45" s="5">
        <f t="shared" si="6"/>
        <v>2652.9204093337889</v>
      </c>
      <c r="R45">
        <v>150</v>
      </c>
    </row>
    <row r="46" spans="2:18">
      <c r="B46" s="4">
        <v>1728</v>
      </c>
      <c r="C46">
        <v>44</v>
      </c>
      <c r="G46" s="5">
        <f>((C46/$D$48)*$E$48)*1.1</f>
        <v>128.15828707375101</v>
      </c>
      <c r="H46" s="5">
        <f t="shared" si="8"/>
        <v>17.456157335448058</v>
      </c>
      <c r="I46" s="5">
        <f t="shared" si="9"/>
        <v>122.51932244250597</v>
      </c>
      <c r="L46">
        <v>11</v>
      </c>
      <c r="M46">
        <v>30</v>
      </c>
      <c r="N46" s="5">
        <f t="shared" si="10"/>
        <v>65.612003193754433</v>
      </c>
      <c r="O46" s="5">
        <f t="shared" si="6"/>
        <v>188.13132563626039</v>
      </c>
    </row>
    <row r="47" spans="2:18">
      <c r="B47" s="4">
        <v>1729</v>
      </c>
      <c r="C47">
        <v>667</v>
      </c>
      <c r="G47" s="5">
        <f>((C47/$D$48)*$E$48)*1.1</f>
        <v>1942.7631245043617</v>
      </c>
      <c r="H47" s="5">
        <f t="shared" si="8"/>
        <v>264.61947597145121</v>
      </c>
      <c r="I47" s="5">
        <f t="shared" si="9"/>
        <v>1857.2815470261696</v>
      </c>
      <c r="L47">
        <v>93</v>
      </c>
      <c r="M47">
        <v>107</v>
      </c>
      <c r="N47" s="5">
        <f t="shared" si="10"/>
        <v>320.05855216465574</v>
      </c>
      <c r="O47" s="5">
        <f t="shared" si="6"/>
        <v>2177.3400991908252</v>
      </c>
      <c r="R47">
        <v>69</v>
      </c>
    </row>
    <row r="48" spans="2:18">
      <c r="B48" s="4">
        <v>1730</v>
      </c>
      <c r="C48">
        <v>2745</v>
      </c>
      <c r="D48">
        <f>SUM(C44:C48)</f>
        <v>6305</v>
      </c>
      <c r="E48">
        <v>16695</v>
      </c>
      <c r="G48" s="5">
        <f>((C48/$D$48)*$E$48)*1.1</f>
        <v>7995.3295003965113</v>
      </c>
      <c r="H48" s="5">
        <f t="shared" si="8"/>
        <v>1089.0261792228389</v>
      </c>
      <c r="I48" s="5">
        <f t="shared" si="9"/>
        <v>7643.5350023790643</v>
      </c>
      <c r="M48">
        <v>238</v>
      </c>
      <c r="N48" s="5">
        <f t="shared" si="10"/>
        <v>380.86967707594033</v>
      </c>
      <c r="O48" s="5">
        <f t="shared" si="6"/>
        <v>8024.404679455005</v>
      </c>
      <c r="R48">
        <v>630</v>
      </c>
    </row>
    <row r="49" spans="2:18">
      <c r="B49" s="4">
        <v>1731</v>
      </c>
      <c r="C49">
        <v>6403</v>
      </c>
      <c r="G49" s="5">
        <f>((C49/$D$53)*$E$53)*1.1</f>
        <v>8305.8289855072471</v>
      </c>
      <c r="H49" s="5">
        <f t="shared" si="8"/>
        <v>1131.3186285714285</v>
      </c>
      <c r="I49" s="5">
        <f t="shared" si="9"/>
        <v>7940.3725101449281</v>
      </c>
      <c r="M49">
        <v>24</v>
      </c>
      <c r="N49" s="5">
        <f t="shared" si="10"/>
        <v>38.407026259758688</v>
      </c>
      <c r="O49" s="5">
        <f t="shared" si="6"/>
        <v>7978.779536404687</v>
      </c>
      <c r="R49">
        <v>2040</v>
      </c>
    </row>
    <row r="50" spans="2:18">
      <c r="B50" s="4">
        <v>1732</v>
      </c>
      <c r="C50">
        <v>4032</v>
      </c>
      <c r="G50" s="5">
        <f>((C50/$D$53)*$E$53)*1.1</f>
        <v>5230.2205949656754</v>
      </c>
      <c r="H50" s="5">
        <f t="shared" si="8"/>
        <v>712.39679999999998</v>
      </c>
      <c r="I50" s="5">
        <f t="shared" si="9"/>
        <v>5000.0908887871856</v>
      </c>
      <c r="L50">
        <v>44</v>
      </c>
      <c r="M50">
        <v>106</v>
      </c>
      <c r="N50" s="5">
        <f t="shared" si="10"/>
        <v>240.04391412349182</v>
      </c>
      <c r="O50" s="5">
        <f t="shared" si="6"/>
        <v>5240.1348029106775</v>
      </c>
      <c r="R50">
        <v>938</v>
      </c>
    </row>
    <row r="51" spans="2:18">
      <c r="B51" s="4">
        <v>1733</v>
      </c>
      <c r="C51">
        <v>2725</v>
      </c>
      <c r="G51" s="5">
        <f>((C51/$D$53)*$E$53)*1.1</f>
        <v>3534.8093058733798</v>
      </c>
      <c r="H51" s="5">
        <f t="shared" si="8"/>
        <v>481.46857142857147</v>
      </c>
      <c r="I51" s="5">
        <f t="shared" si="9"/>
        <v>3379.2776964149512</v>
      </c>
      <c r="M51">
        <v>55</v>
      </c>
      <c r="N51" s="5">
        <f t="shared" si="10"/>
        <v>88.016101845280332</v>
      </c>
      <c r="O51" s="5">
        <f t="shared" si="6"/>
        <v>3467.2937982602316</v>
      </c>
      <c r="R51">
        <v>81</v>
      </c>
    </row>
    <row r="52" spans="2:18">
      <c r="B52" s="4">
        <v>1734</v>
      </c>
      <c r="C52">
        <v>1826</v>
      </c>
      <c r="G52" s="5">
        <f>((C52/$D$53)*$E$53)*1.1</f>
        <v>2368.6465293668953</v>
      </c>
      <c r="H52" s="5">
        <f t="shared" si="8"/>
        <v>322.62811428571422</v>
      </c>
      <c r="I52" s="5">
        <f t="shared" si="9"/>
        <v>2264.4260820747518</v>
      </c>
      <c r="M52">
        <v>92</v>
      </c>
      <c r="N52" s="5">
        <f t="shared" si="10"/>
        <v>147.22693399574166</v>
      </c>
      <c r="O52" s="5">
        <f t="shared" si="6"/>
        <v>2411.6530160704933</v>
      </c>
      <c r="R52">
        <v>112</v>
      </c>
    </row>
    <row r="53" spans="2:18">
      <c r="B53" s="4">
        <v>1735</v>
      </c>
      <c r="C53">
        <v>2057</v>
      </c>
      <c r="D53">
        <f>SUM(C49:C53)</f>
        <v>17043</v>
      </c>
      <c r="E53">
        <v>20098</v>
      </c>
      <c r="G53" s="5">
        <f>((C53/$D$53)*$E$53)*1.1</f>
        <v>2668.2945842868039</v>
      </c>
      <c r="H53" s="5">
        <f t="shared" si="8"/>
        <v>363.44251428571425</v>
      </c>
      <c r="I53" s="5">
        <f t="shared" si="9"/>
        <v>2550.8896225781846</v>
      </c>
      <c r="L53">
        <v>369</v>
      </c>
      <c r="N53" s="5">
        <f t="shared" si="10"/>
        <v>590.50802874378985</v>
      </c>
      <c r="O53" s="5">
        <f t="shared" si="6"/>
        <v>3141.3976513219745</v>
      </c>
    </row>
    <row r="54" spans="2:18">
      <c r="B54" s="4">
        <v>1736</v>
      </c>
      <c r="C54">
        <v>1792</v>
      </c>
      <c r="G54" s="5">
        <f>((C54/($D$58-$F$57-$F$58))*$E$58)*1.1</f>
        <v>4864.1792089604478</v>
      </c>
      <c r="H54" s="5">
        <f t="shared" si="8"/>
        <v>662.5391109555477</v>
      </c>
      <c r="I54" s="5">
        <f t="shared" si="9"/>
        <v>4650.1553237661883</v>
      </c>
      <c r="L54">
        <v>44</v>
      </c>
      <c r="N54" s="5">
        <f t="shared" si="10"/>
        <v>70.412881476224271</v>
      </c>
      <c r="O54" s="5">
        <f t="shared" si="6"/>
        <v>4720.5682052424127</v>
      </c>
      <c r="R54">
        <v>240</v>
      </c>
    </row>
    <row r="55" spans="2:18">
      <c r="B55" s="4">
        <v>1737</v>
      </c>
      <c r="C55">
        <v>1012</v>
      </c>
      <c r="G55" s="5">
        <f>((C55/($D$58-$F$57-$F$58))*$E$58)*1.1</f>
        <v>2746.9583479173962</v>
      </c>
      <c r="H55" s="5">
        <f t="shared" si="8"/>
        <v>374.15713185659286</v>
      </c>
      <c r="I55" s="5">
        <f t="shared" si="9"/>
        <v>2626.0921806090305</v>
      </c>
      <c r="L55">
        <v>139</v>
      </c>
      <c r="N55" s="5">
        <f t="shared" si="10"/>
        <v>222.44069375443576</v>
      </c>
      <c r="O55" s="5">
        <f t="shared" si="6"/>
        <v>2848.5328743634664</v>
      </c>
    </row>
    <row r="56" spans="2:18">
      <c r="B56" s="4">
        <v>1738</v>
      </c>
      <c r="C56">
        <v>1095</v>
      </c>
      <c r="G56" s="5">
        <f>((C56/($D$58-$F$57-$F$58))*$E$58)*1.1</f>
        <v>2972.252362618131</v>
      </c>
      <c r="H56" s="5">
        <f t="shared" si="8"/>
        <v>404.84393219660979</v>
      </c>
      <c r="I56" s="5">
        <f t="shared" si="9"/>
        <v>2841.4732586629329</v>
      </c>
      <c r="O56" s="5">
        <f t="shared" si="6"/>
        <v>2841.4732586629329</v>
      </c>
      <c r="R56">
        <v>131</v>
      </c>
    </row>
    <row r="57" spans="2:18">
      <c r="B57" s="4">
        <v>1739</v>
      </c>
      <c r="C57">
        <v>19</v>
      </c>
      <c r="F57">
        <v>598</v>
      </c>
      <c r="G57" s="5">
        <f t="shared" ref="G57:G78" si="11">F57*1.1</f>
        <v>657.80000000000007</v>
      </c>
      <c r="H57" s="5">
        <f t="shared" si="8"/>
        <v>89.59748571428571</v>
      </c>
      <c r="I57" s="5">
        <f t="shared" si="9"/>
        <v>628.85680000000002</v>
      </c>
      <c r="O57" s="5">
        <f t="shared" si="6"/>
        <v>628.85680000000002</v>
      </c>
    </row>
    <row r="58" spans="2:18">
      <c r="B58" s="4">
        <v>1740</v>
      </c>
      <c r="C58">
        <v>32</v>
      </c>
      <c r="D58">
        <f>SUM(C54:C58)</f>
        <v>3950</v>
      </c>
      <c r="E58">
        <v>7050</v>
      </c>
      <c r="F58">
        <v>495</v>
      </c>
      <c r="G58" s="5">
        <f t="shared" si="11"/>
        <v>544.5</v>
      </c>
      <c r="H58" s="5">
        <f t="shared" si="8"/>
        <v>74.165142857142854</v>
      </c>
      <c r="I58" s="5">
        <f t="shared" si="9"/>
        <v>520.54200000000003</v>
      </c>
      <c r="O58" s="5">
        <f t="shared" si="6"/>
        <v>520.54200000000003</v>
      </c>
    </row>
    <row r="59" spans="2:18">
      <c r="B59" s="4">
        <v>1741</v>
      </c>
      <c r="C59">
        <v>3</v>
      </c>
      <c r="F59">
        <v>562</v>
      </c>
      <c r="G59" s="5">
        <f t="shared" si="11"/>
        <v>618.20000000000005</v>
      </c>
      <c r="H59" s="5">
        <f t="shared" si="8"/>
        <v>84.203657142857139</v>
      </c>
      <c r="I59" s="5">
        <f t="shared" si="9"/>
        <v>590.99919999999997</v>
      </c>
      <c r="O59" s="5">
        <f t="shared" si="6"/>
        <v>590.99919999999997</v>
      </c>
    </row>
    <row r="60" spans="2:18">
      <c r="B60" s="4">
        <v>1742</v>
      </c>
      <c r="C60">
        <v>318</v>
      </c>
      <c r="F60">
        <v>792</v>
      </c>
      <c r="G60" s="5">
        <f t="shared" si="11"/>
        <v>871.2</v>
      </c>
      <c r="H60" s="5">
        <f t="shared" si="8"/>
        <v>118.66422857142857</v>
      </c>
      <c r="I60" s="5">
        <f t="shared" si="9"/>
        <v>832.86720000000003</v>
      </c>
      <c r="O60" s="5">
        <f t="shared" si="6"/>
        <v>832.86720000000003</v>
      </c>
      <c r="R60">
        <v>80</v>
      </c>
    </row>
    <row r="61" spans="2:18">
      <c r="B61" s="4">
        <v>1743</v>
      </c>
      <c r="C61">
        <v>967</v>
      </c>
      <c r="F61">
        <v>1368</v>
      </c>
      <c r="G61" s="5">
        <f t="shared" si="11"/>
        <v>1504.8000000000002</v>
      </c>
      <c r="H61" s="5">
        <f t="shared" si="8"/>
        <v>204.96548571428571</v>
      </c>
      <c r="I61" s="5">
        <f t="shared" si="9"/>
        <v>1438.5888000000002</v>
      </c>
      <c r="O61" s="5">
        <f t="shared" si="6"/>
        <v>1438.5888000000002</v>
      </c>
      <c r="R61">
        <v>152</v>
      </c>
    </row>
    <row r="62" spans="2:18">
      <c r="B62" s="4">
        <v>1744</v>
      </c>
      <c r="C62">
        <v>1162</v>
      </c>
      <c r="F62">
        <v>1331</v>
      </c>
      <c r="G62" s="5">
        <f t="shared" si="11"/>
        <v>1464.1000000000001</v>
      </c>
      <c r="H62" s="5">
        <f t="shared" si="8"/>
        <v>199.42182857142856</v>
      </c>
      <c r="I62" s="5">
        <f t="shared" si="9"/>
        <v>1399.6796000000002</v>
      </c>
      <c r="O62" s="5">
        <f t="shared" si="6"/>
        <v>1399.6796000000002</v>
      </c>
      <c r="R62">
        <v>114</v>
      </c>
    </row>
    <row r="63" spans="2:18">
      <c r="B63" s="4">
        <v>1745</v>
      </c>
      <c r="C63">
        <v>1341</v>
      </c>
      <c r="D63">
        <f>SUM(C59:C63)</f>
        <v>3791</v>
      </c>
      <c r="E63">
        <v>5397</v>
      </c>
      <c r="F63">
        <v>1344</v>
      </c>
      <c r="G63" s="5">
        <f t="shared" si="11"/>
        <v>1478.4</v>
      </c>
      <c r="H63" s="5">
        <f t="shared" si="8"/>
        <v>201.36959999999999</v>
      </c>
      <c r="I63" s="5">
        <f t="shared" si="9"/>
        <v>1413.3504</v>
      </c>
      <c r="O63" s="5">
        <f t="shared" si="6"/>
        <v>1413.3504</v>
      </c>
      <c r="R63">
        <v>104</v>
      </c>
    </row>
    <row r="64" spans="2:18">
      <c r="B64" s="4">
        <v>1746</v>
      </c>
      <c r="C64">
        <v>1520</v>
      </c>
      <c r="F64">
        <v>1502</v>
      </c>
      <c r="G64" s="5">
        <f t="shared" si="11"/>
        <v>1652.2</v>
      </c>
      <c r="H64" s="5">
        <f t="shared" si="8"/>
        <v>225.04251428571428</v>
      </c>
      <c r="I64" s="5">
        <f t="shared" si="9"/>
        <v>1579.5031999999999</v>
      </c>
      <c r="O64" s="5">
        <f t="shared" si="6"/>
        <v>1579.5031999999999</v>
      </c>
      <c r="R64">
        <v>396</v>
      </c>
    </row>
    <row r="65" spans="2:18">
      <c r="B65" s="4">
        <v>1747</v>
      </c>
      <c r="C65">
        <v>2935</v>
      </c>
      <c r="F65">
        <v>3378</v>
      </c>
      <c r="G65" s="5">
        <f t="shared" si="11"/>
        <v>3715.8</v>
      </c>
      <c r="H65" s="5">
        <f t="shared" si="8"/>
        <v>506.12091428571426</v>
      </c>
      <c r="I65" s="5">
        <f t="shared" si="9"/>
        <v>3552.3047999999999</v>
      </c>
      <c r="O65" s="5">
        <f t="shared" si="6"/>
        <v>3552.3047999999999</v>
      </c>
    </row>
    <row r="66" spans="2:18">
      <c r="B66" s="4">
        <v>1748</v>
      </c>
      <c r="C66">
        <v>2594</v>
      </c>
      <c r="F66">
        <v>2426</v>
      </c>
      <c r="G66" s="5">
        <f t="shared" si="11"/>
        <v>2668.6000000000004</v>
      </c>
      <c r="H66" s="5">
        <f t="shared" si="8"/>
        <v>363.48411428571433</v>
      </c>
      <c r="I66" s="5">
        <f t="shared" si="9"/>
        <v>2551.1816000000003</v>
      </c>
      <c r="O66" s="5">
        <f t="shared" si="6"/>
        <v>2551.1816000000003</v>
      </c>
    </row>
    <row r="67" spans="2:18">
      <c r="B67" s="4">
        <v>1749</v>
      </c>
      <c r="C67">
        <v>1104</v>
      </c>
      <c r="F67">
        <v>2128</v>
      </c>
      <c r="G67" s="5">
        <f t="shared" si="11"/>
        <v>2340.8000000000002</v>
      </c>
      <c r="H67" s="5">
        <f t="shared" si="8"/>
        <v>318.83519999999999</v>
      </c>
      <c r="I67" s="5">
        <f t="shared" si="9"/>
        <v>2237.8047999999999</v>
      </c>
      <c r="O67" s="5">
        <f t="shared" si="6"/>
        <v>2237.8047999999999</v>
      </c>
      <c r="R67">
        <v>53</v>
      </c>
    </row>
    <row r="68" spans="2:18">
      <c r="B68" s="4">
        <v>1750</v>
      </c>
      <c r="D68">
        <f>SUM(C64:C68)</f>
        <v>8153</v>
      </c>
      <c r="E68">
        <v>10155</v>
      </c>
      <c r="F68">
        <v>721</v>
      </c>
      <c r="G68" s="5">
        <f t="shared" si="11"/>
        <v>793.1</v>
      </c>
      <c r="H68" s="5">
        <f t="shared" si="8"/>
        <v>108.0264</v>
      </c>
      <c r="I68" s="5">
        <f t="shared" si="9"/>
        <v>758.20359999999994</v>
      </c>
      <c r="O68" s="5">
        <f t="shared" si="6"/>
        <v>758.20359999999994</v>
      </c>
    </row>
    <row r="69" spans="2:18">
      <c r="B69" s="4">
        <v>1751</v>
      </c>
      <c r="F69">
        <v>713</v>
      </c>
      <c r="G69" s="5">
        <f t="shared" si="11"/>
        <v>784.30000000000007</v>
      </c>
      <c r="H69" s="5">
        <f t="shared" ref="H69:H93" si="12">G69*$H$146</f>
        <v>201.8542631310556</v>
      </c>
      <c r="I69" s="5">
        <f t="shared" ref="I69:I93" si="13">G69*$H$149</f>
        <v>475.28580000000005</v>
      </c>
      <c r="O69" s="5">
        <f t="shared" si="6"/>
        <v>475.28580000000005</v>
      </c>
    </row>
    <row r="70" spans="2:18">
      <c r="B70" s="4">
        <v>1752</v>
      </c>
      <c r="C70">
        <v>1189</v>
      </c>
      <c r="F70">
        <v>1038</v>
      </c>
      <c r="G70" s="5">
        <f t="shared" si="11"/>
        <v>1141.8000000000002</v>
      </c>
      <c r="H70" s="5">
        <f t="shared" si="12"/>
        <v>293.86356960734321</v>
      </c>
      <c r="I70" s="5">
        <f t="shared" si="13"/>
        <v>691.93080000000009</v>
      </c>
      <c r="O70" s="5">
        <f t="shared" si="6"/>
        <v>691.93080000000009</v>
      </c>
      <c r="R70">
        <v>450</v>
      </c>
    </row>
    <row r="71" spans="2:18">
      <c r="B71" s="4">
        <v>1753</v>
      </c>
      <c r="C71">
        <v>1031</v>
      </c>
      <c r="F71">
        <v>902</v>
      </c>
      <c r="G71" s="5">
        <f t="shared" si="11"/>
        <v>992.2</v>
      </c>
      <c r="H71" s="5">
        <f t="shared" si="12"/>
        <v>255.3612136664967</v>
      </c>
      <c r="I71" s="5">
        <f t="shared" si="13"/>
        <v>601.27319999999997</v>
      </c>
      <c r="O71" s="5">
        <f t="shared" si="6"/>
        <v>601.27319999999997</v>
      </c>
    </row>
    <row r="72" spans="2:18">
      <c r="B72" s="4">
        <v>1754</v>
      </c>
      <c r="C72">
        <v>1961</v>
      </c>
      <c r="F72">
        <v>1592</v>
      </c>
      <c r="G72" s="5">
        <f t="shared" si="11"/>
        <v>1751.2</v>
      </c>
      <c r="H72" s="5">
        <f t="shared" si="12"/>
        <v>450.70404895461502</v>
      </c>
      <c r="I72" s="5">
        <f t="shared" si="13"/>
        <v>1061.2272</v>
      </c>
      <c r="O72" s="5">
        <f t="shared" si="6"/>
        <v>1061.2272</v>
      </c>
      <c r="R72">
        <v>229</v>
      </c>
    </row>
    <row r="73" spans="2:18">
      <c r="B73" s="4">
        <v>1755</v>
      </c>
      <c r="C73">
        <v>761</v>
      </c>
      <c r="D73">
        <f>SUM(C69:C73)</f>
        <v>4942</v>
      </c>
      <c r="E73">
        <v>4843</v>
      </c>
      <c r="F73">
        <v>598</v>
      </c>
      <c r="G73" s="5">
        <f t="shared" si="11"/>
        <v>657.80000000000007</v>
      </c>
      <c r="H73" s="5">
        <f t="shared" si="12"/>
        <v>169.2971239163692</v>
      </c>
      <c r="I73" s="5">
        <f t="shared" si="13"/>
        <v>398.6268</v>
      </c>
      <c r="O73" s="5">
        <f t="shared" si="6"/>
        <v>398.6268</v>
      </c>
    </row>
    <row r="74" spans="2:18">
      <c r="B74" s="4">
        <v>1756</v>
      </c>
      <c r="C74">
        <v>1276</v>
      </c>
      <c r="F74">
        <v>1902</v>
      </c>
      <c r="G74" s="5">
        <f t="shared" si="11"/>
        <v>2092.2000000000003</v>
      </c>
      <c r="H74" s="5">
        <f t="shared" si="12"/>
        <v>538.46677205507399</v>
      </c>
      <c r="I74" s="5">
        <f t="shared" si="13"/>
        <v>1267.8732000000002</v>
      </c>
      <c r="O74" s="5">
        <f t="shared" si="6"/>
        <v>1267.8732000000002</v>
      </c>
      <c r="R74">
        <v>144</v>
      </c>
    </row>
    <row r="75" spans="2:18">
      <c r="B75" s="4">
        <v>1757</v>
      </c>
      <c r="C75">
        <v>640</v>
      </c>
      <c r="F75">
        <v>943</v>
      </c>
      <c r="G75" s="5">
        <f t="shared" si="11"/>
        <v>1037.3000000000002</v>
      </c>
      <c r="H75" s="5">
        <f t="shared" si="12"/>
        <v>266.96854156042838</v>
      </c>
      <c r="I75" s="5">
        <f t="shared" si="13"/>
        <v>628.60380000000009</v>
      </c>
      <c r="O75" s="5">
        <f t="shared" si="6"/>
        <v>628.60380000000009</v>
      </c>
      <c r="R75">
        <v>121</v>
      </c>
    </row>
    <row r="76" spans="2:18">
      <c r="B76" s="4">
        <v>1758</v>
      </c>
      <c r="C76">
        <v>30</v>
      </c>
      <c r="F76">
        <v>411</v>
      </c>
      <c r="G76" s="5">
        <f t="shared" si="11"/>
        <v>452.1</v>
      </c>
      <c r="H76" s="5">
        <f t="shared" si="12"/>
        <v>116.35638449770525</v>
      </c>
      <c r="I76" s="5">
        <f t="shared" si="13"/>
        <v>273.9726</v>
      </c>
      <c r="O76" s="5">
        <f t="shared" si="6"/>
        <v>273.9726</v>
      </c>
    </row>
    <row r="77" spans="2:18">
      <c r="B77" s="4">
        <v>1759</v>
      </c>
      <c r="F77">
        <v>681</v>
      </c>
      <c r="G77" s="5">
        <f t="shared" si="11"/>
        <v>749.1</v>
      </c>
      <c r="H77" s="5">
        <f t="shared" si="12"/>
        <v>192.79488526262111</v>
      </c>
      <c r="I77" s="5">
        <f t="shared" si="13"/>
        <v>453.95460000000003</v>
      </c>
      <c r="O77" s="5">
        <f t="shared" si="6"/>
        <v>453.95460000000003</v>
      </c>
    </row>
    <row r="78" spans="2:18">
      <c r="B78" s="4">
        <v>1760</v>
      </c>
      <c r="C78">
        <v>143</v>
      </c>
      <c r="D78">
        <f>SUM(C74:C78)</f>
        <v>2089</v>
      </c>
      <c r="E78">
        <v>6305</v>
      </c>
      <c r="F78">
        <v>2368</v>
      </c>
      <c r="G78" s="5">
        <f t="shared" si="11"/>
        <v>2604.8000000000002</v>
      </c>
      <c r="H78" s="5">
        <f t="shared" si="12"/>
        <v>670.39396226415101</v>
      </c>
      <c r="I78" s="5">
        <f t="shared" si="13"/>
        <v>1578.5088000000001</v>
      </c>
      <c r="O78" s="5">
        <f t="shared" si="6"/>
        <v>1578.5088000000001</v>
      </c>
      <c r="P78" s="5">
        <f>SUM(O19:O78)</f>
        <v>129771.53969409665</v>
      </c>
    </row>
    <row r="79" spans="2:18">
      <c r="B79" s="4">
        <v>1761</v>
      </c>
      <c r="C79">
        <v>22</v>
      </c>
      <c r="F79">
        <v>642</v>
      </c>
      <c r="G79" s="5">
        <f>((C79/$D$83)*$E$83)*1.1</f>
        <v>27.363726114649683</v>
      </c>
      <c r="H79" s="5">
        <f t="shared" si="12"/>
        <v>7.0425663284363562</v>
      </c>
      <c r="I79" s="5">
        <f t="shared" si="13"/>
        <v>16.582418025477708</v>
      </c>
      <c r="O79" s="5">
        <f t="shared" si="6"/>
        <v>16.582418025477708</v>
      </c>
    </row>
    <row r="80" spans="2:18">
      <c r="B80" s="4">
        <v>1762</v>
      </c>
      <c r="C80">
        <v>278</v>
      </c>
      <c r="F80">
        <v>232</v>
      </c>
      <c r="G80" s="5">
        <f>((C80/$D$83)*$E$83)*1.1</f>
        <v>345.77799363057323</v>
      </c>
      <c r="H80" s="5">
        <f t="shared" si="12"/>
        <v>88.992429059332125</v>
      </c>
      <c r="I80" s="5">
        <f t="shared" si="13"/>
        <v>209.54146414012737</v>
      </c>
      <c r="O80" s="5">
        <f t="shared" si="6"/>
        <v>209.54146414012737</v>
      </c>
      <c r="R80">
        <v>220</v>
      </c>
    </row>
    <row r="81" spans="2:18">
      <c r="B81" s="4">
        <v>1763</v>
      </c>
      <c r="C81">
        <v>1190</v>
      </c>
      <c r="F81">
        <v>1582</v>
      </c>
      <c r="G81" s="5">
        <f t="shared" ref="G81:G83" si="14">((C81/$D$83)*$E$83)*1.1</f>
        <v>1480.1288216560511</v>
      </c>
      <c r="H81" s="5">
        <f t="shared" si="12"/>
        <v>380.93881503814839</v>
      </c>
      <c r="I81" s="5">
        <f t="shared" si="13"/>
        <v>896.95806592356689</v>
      </c>
      <c r="O81" s="5">
        <f t="shared" si="6"/>
        <v>896.95806592356689</v>
      </c>
    </row>
    <row r="82" spans="2:18">
      <c r="B82" s="4">
        <v>1764</v>
      </c>
      <c r="C82">
        <v>2355</v>
      </c>
      <c r="F82">
        <v>2369</v>
      </c>
      <c r="G82" s="5">
        <f t="shared" si="14"/>
        <v>2929.1625000000004</v>
      </c>
      <c r="H82" s="5">
        <f t="shared" si="12"/>
        <v>753.87471379398278</v>
      </c>
      <c r="I82" s="5">
        <f t="shared" si="13"/>
        <v>1775.0724750000002</v>
      </c>
      <c r="K82">
        <v>102</v>
      </c>
      <c r="N82" s="5">
        <f t="shared" ref="N82:N92" si="15">SUM(J82:M82)/N$123</f>
        <v>163.22986160397443</v>
      </c>
      <c r="O82" s="5">
        <f t="shared" si="6"/>
        <v>1938.3023366039747</v>
      </c>
      <c r="R82">
        <v>1256</v>
      </c>
    </row>
    <row r="83" spans="2:18">
      <c r="B83" s="4">
        <v>1765</v>
      </c>
      <c r="C83">
        <v>2435</v>
      </c>
      <c r="D83">
        <f>SUM(C79:C83)</f>
        <v>6280</v>
      </c>
      <c r="E83">
        <v>7101</v>
      </c>
      <c r="F83">
        <v>2006</v>
      </c>
      <c r="G83" s="5">
        <f t="shared" si="14"/>
        <v>3028.6669585987265</v>
      </c>
      <c r="H83" s="5">
        <f t="shared" si="12"/>
        <v>779.48404589738766</v>
      </c>
      <c r="I83" s="5">
        <f t="shared" si="13"/>
        <v>1835.3721769108283</v>
      </c>
      <c r="J83">
        <v>99</v>
      </c>
      <c r="K83">
        <v>40</v>
      </c>
      <c r="N83" s="5">
        <f t="shared" si="15"/>
        <v>222.44069375443576</v>
      </c>
      <c r="O83" s="5">
        <f t="shared" ref="O83:O107" si="16">I83+N83</f>
        <v>2057.8128706652642</v>
      </c>
      <c r="R83">
        <v>536</v>
      </c>
    </row>
    <row r="84" spans="2:18">
      <c r="B84" s="4">
        <v>1766</v>
      </c>
      <c r="C84">
        <v>515</v>
      </c>
      <c r="F84">
        <v>672</v>
      </c>
      <c r="G84" s="5">
        <f t="shared" ref="G84:G105" si="17">F84*1.1</f>
        <v>739.2</v>
      </c>
      <c r="H84" s="5">
        <f t="shared" si="12"/>
        <v>190.24693523712392</v>
      </c>
      <c r="I84" s="5">
        <f t="shared" si="13"/>
        <v>447.95519999999999</v>
      </c>
      <c r="J84">
        <v>230</v>
      </c>
      <c r="L84">
        <v>465</v>
      </c>
      <c r="N84" s="5">
        <f t="shared" si="15"/>
        <v>1112.2034687721787</v>
      </c>
      <c r="O84" s="5">
        <f t="shared" si="16"/>
        <v>1560.1586687721788</v>
      </c>
      <c r="R84">
        <v>465</v>
      </c>
    </row>
    <row r="85" spans="2:18">
      <c r="B85" s="4">
        <v>1767</v>
      </c>
      <c r="C85">
        <v>522</v>
      </c>
      <c r="F85">
        <v>375</v>
      </c>
      <c r="G85" s="5">
        <f t="shared" si="17"/>
        <v>412.50000000000006</v>
      </c>
      <c r="H85" s="5">
        <f t="shared" si="12"/>
        <v>106.16458439571649</v>
      </c>
      <c r="I85" s="5">
        <f t="shared" si="13"/>
        <v>249.97500000000002</v>
      </c>
      <c r="J85">
        <v>9</v>
      </c>
      <c r="L85">
        <v>453</v>
      </c>
      <c r="N85" s="5">
        <f t="shared" si="15"/>
        <v>739.33525550035483</v>
      </c>
      <c r="O85" s="5">
        <f t="shared" si="16"/>
        <v>989.31025550035486</v>
      </c>
      <c r="R85">
        <v>690</v>
      </c>
    </row>
    <row r="86" spans="2:18">
      <c r="B86" s="4">
        <v>1768</v>
      </c>
      <c r="C86">
        <v>345</v>
      </c>
      <c r="F86">
        <v>485</v>
      </c>
      <c r="G86" s="5">
        <f t="shared" si="17"/>
        <v>533.5</v>
      </c>
      <c r="H86" s="5">
        <f t="shared" si="12"/>
        <v>137.30619581845997</v>
      </c>
      <c r="I86" s="5">
        <f t="shared" si="13"/>
        <v>323.30099999999999</v>
      </c>
      <c r="K86">
        <v>131</v>
      </c>
      <c r="L86">
        <v>2438</v>
      </c>
      <c r="N86" s="5">
        <f t="shared" si="15"/>
        <v>4111.1521025550028</v>
      </c>
      <c r="O86" s="5">
        <f t="shared" si="16"/>
        <v>4434.4531025550032</v>
      </c>
      <c r="R86">
        <v>3209</v>
      </c>
    </row>
    <row r="87" spans="2:18">
      <c r="B87" s="4">
        <v>1769</v>
      </c>
      <c r="C87">
        <v>764</v>
      </c>
      <c r="F87">
        <v>420</v>
      </c>
      <c r="G87" s="5">
        <f t="shared" si="17"/>
        <v>462.00000000000006</v>
      </c>
      <c r="H87" s="5">
        <f t="shared" si="12"/>
        <v>118.90433452320246</v>
      </c>
      <c r="I87" s="5">
        <f t="shared" si="13"/>
        <v>279.97200000000004</v>
      </c>
      <c r="L87">
        <v>2148</v>
      </c>
      <c r="N87" s="5">
        <f t="shared" si="15"/>
        <v>3437.4288502484028</v>
      </c>
      <c r="O87" s="5">
        <f t="shared" si="16"/>
        <v>3717.400850248403</v>
      </c>
      <c r="R87">
        <v>374</v>
      </c>
    </row>
    <row r="88" spans="2:18">
      <c r="B88" s="4">
        <v>1770</v>
      </c>
      <c r="C88">
        <v>171</v>
      </c>
      <c r="D88">
        <f>SUM(C84:C88)</f>
        <v>2317</v>
      </c>
      <c r="E88">
        <v>2788</v>
      </c>
      <c r="F88">
        <v>836</v>
      </c>
      <c r="G88" s="5">
        <f t="shared" si="17"/>
        <v>919.6</v>
      </c>
      <c r="H88" s="5">
        <f t="shared" si="12"/>
        <v>236.67624681285059</v>
      </c>
      <c r="I88" s="5">
        <f t="shared" si="13"/>
        <v>557.27760000000001</v>
      </c>
      <c r="K88">
        <v>88</v>
      </c>
      <c r="L88">
        <v>1538</v>
      </c>
      <c r="N88" s="5">
        <f t="shared" si="15"/>
        <v>2602.0760290986514</v>
      </c>
      <c r="O88" s="5">
        <f t="shared" si="16"/>
        <v>3159.3536290986513</v>
      </c>
      <c r="R88">
        <v>705</v>
      </c>
    </row>
    <row r="89" spans="2:18">
      <c r="B89" s="4">
        <v>1771</v>
      </c>
      <c r="C89">
        <v>548</v>
      </c>
      <c r="F89">
        <v>671</v>
      </c>
      <c r="G89" s="5">
        <f t="shared" si="17"/>
        <v>738.1</v>
      </c>
      <c r="H89" s="5">
        <f t="shared" si="12"/>
        <v>189.96382967873535</v>
      </c>
      <c r="I89" s="5">
        <f t="shared" si="13"/>
        <v>447.28859999999997</v>
      </c>
      <c r="K89">
        <v>2</v>
      </c>
      <c r="L89">
        <v>33</v>
      </c>
      <c r="N89" s="5">
        <f t="shared" si="15"/>
        <v>56.010246628814755</v>
      </c>
      <c r="O89" s="5">
        <f t="shared" si="16"/>
        <v>503.29884662881472</v>
      </c>
      <c r="R89">
        <v>44</v>
      </c>
    </row>
    <row r="90" spans="2:18">
      <c r="B90" s="4">
        <v>1772</v>
      </c>
      <c r="C90">
        <v>379</v>
      </c>
      <c r="F90">
        <v>923</v>
      </c>
      <c r="G90" s="5">
        <f t="shared" si="17"/>
        <v>1015.3000000000001</v>
      </c>
      <c r="H90" s="5">
        <f t="shared" si="12"/>
        <v>261.30643039265681</v>
      </c>
      <c r="I90" s="5">
        <f t="shared" si="13"/>
        <v>615.27179999999998</v>
      </c>
      <c r="K90">
        <v>139</v>
      </c>
      <c r="L90">
        <v>768</v>
      </c>
      <c r="N90" s="5">
        <f t="shared" si="15"/>
        <v>1451.4655340667139</v>
      </c>
      <c r="O90" s="5">
        <f t="shared" si="16"/>
        <v>2066.7373340667136</v>
      </c>
      <c r="R90">
        <v>700</v>
      </c>
    </row>
    <row r="91" spans="2:18">
      <c r="B91" s="4">
        <v>1773</v>
      </c>
      <c r="C91">
        <v>188</v>
      </c>
      <c r="F91">
        <v>587</v>
      </c>
      <c r="G91" s="5">
        <f t="shared" si="17"/>
        <v>645.70000000000005</v>
      </c>
      <c r="H91" s="5">
        <f t="shared" si="12"/>
        <v>166.18296277409485</v>
      </c>
      <c r="I91" s="5">
        <f t="shared" si="13"/>
        <v>391.29419999999999</v>
      </c>
      <c r="K91">
        <v>168</v>
      </c>
      <c r="L91">
        <v>414</v>
      </c>
      <c r="N91" s="5">
        <f t="shared" si="15"/>
        <v>931.37038679914826</v>
      </c>
      <c r="O91" s="5">
        <f t="shared" si="16"/>
        <v>1322.6645867991483</v>
      </c>
      <c r="R91">
        <v>414</v>
      </c>
    </row>
    <row r="92" spans="2:18">
      <c r="B92" s="4">
        <v>1774</v>
      </c>
      <c r="C92">
        <v>1826</v>
      </c>
      <c r="F92">
        <v>2658</v>
      </c>
      <c r="G92" s="5">
        <f t="shared" si="17"/>
        <v>2923.8</v>
      </c>
      <c r="H92" s="5">
        <f t="shared" si="12"/>
        <v>752.49457419683836</v>
      </c>
      <c r="I92" s="5">
        <f t="shared" si="13"/>
        <v>1771.8228000000001</v>
      </c>
      <c r="K92">
        <v>150</v>
      </c>
      <c r="L92">
        <v>1178</v>
      </c>
      <c r="N92" s="5">
        <f t="shared" si="15"/>
        <v>2125.1887863733141</v>
      </c>
      <c r="O92" s="5">
        <f t="shared" si="16"/>
        <v>3897.0115863733145</v>
      </c>
      <c r="R92">
        <v>2582</v>
      </c>
    </row>
    <row r="93" spans="2:18">
      <c r="B93" s="4">
        <v>1775</v>
      </c>
      <c r="C93">
        <v>1290</v>
      </c>
      <c r="D93">
        <f>SUM(C89:C93)</f>
        <v>4231</v>
      </c>
      <c r="E93">
        <v>6534</v>
      </c>
      <c r="F93">
        <v>3494</v>
      </c>
      <c r="G93" s="5">
        <f t="shared" si="17"/>
        <v>3843.4</v>
      </c>
      <c r="H93" s="5">
        <f t="shared" si="12"/>
        <v>989.17082100968889</v>
      </c>
      <c r="I93" s="5">
        <f t="shared" si="13"/>
        <v>2329.1003999999998</v>
      </c>
      <c r="O93" s="5">
        <f t="shared" si="16"/>
        <v>2329.1003999999998</v>
      </c>
      <c r="R93">
        <v>760</v>
      </c>
    </row>
    <row r="94" spans="2:18">
      <c r="B94" s="4">
        <v>1776</v>
      </c>
      <c r="F94">
        <v>3384</v>
      </c>
      <c r="G94" s="5">
        <f t="shared" si="17"/>
        <v>3722.4</v>
      </c>
      <c r="H94" s="5">
        <f t="shared" ref="H94:H107" si="18">G94*$H$166</f>
        <v>1593.074724246273</v>
      </c>
      <c r="I94" s="5">
        <f t="shared" ref="I94:I107" si="19">G94*$H$169</f>
        <v>2348.8344000000002</v>
      </c>
      <c r="O94" s="5">
        <f t="shared" si="16"/>
        <v>2348.8344000000002</v>
      </c>
    </row>
    <row r="95" spans="2:18">
      <c r="B95" s="4">
        <v>1777</v>
      </c>
      <c r="F95">
        <v>558</v>
      </c>
      <c r="G95" s="5">
        <f t="shared" si="17"/>
        <v>613.80000000000007</v>
      </c>
      <c r="H95" s="5">
        <f t="shared" si="18"/>
        <v>262.68785346614078</v>
      </c>
      <c r="I95" s="5">
        <f t="shared" si="19"/>
        <v>387.30780000000004</v>
      </c>
      <c r="O95" s="5">
        <f t="shared" si="16"/>
        <v>387.30780000000004</v>
      </c>
      <c r="R95">
        <v>396</v>
      </c>
    </row>
    <row r="96" spans="2:18">
      <c r="B96" s="4">
        <v>1778</v>
      </c>
      <c r="F96">
        <v>772</v>
      </c>
      <c r="G96" s="5">
        <f t="shared" si="17"/>
        <v>849.2</v>
      </c>
      <c r="H96" s="5">
        <f t="shared" si="18"/>
        <v>363.43194063774314</v>
      </c>
      <c r="I96" s="5">
        <f t="shared" si="19"/>
        <v>535.84519999999998</v>
      </c>
      <c r="O96" s="5">
        <f t="shared" si="16"/>
        <v>535.84519999999998</v>
      </c>
      <c r="R96">
        <v>44</v>
      </c>
    </row>
    <row r="97" spans="1:20">
      <c r="B97" s="4">
        <v>1779</v>
      </c>
      <c r="F97">
        <v>484</v>
      </c>
      <c r="G97" s="5">
        <f t="shared" si="17"/>
        <v>532.40000000000009</v>
      </c>
      <c r="H97" s="5">
        <f t="shared" si="18"/>
        <v>227.85111304231569</v>
      </c>
      <c r="I97" s="5">
        <f t="shared" si="19"/>
        <v>335.94440000000009</v>
      </c>
      <c r="O97" s="5">
        <f t="shared" si="16"/>
        <v>335.94440000000009</v>
      </c>
    </row>
    <row r="98" spans="1:20">
      <c r="B98" s="4">
        <v>1780</v>
      </c>
      <c r="D98">
        <f>SUM(C94:C98)</f>
        <v>0</v>
      </c>
      <c r="E98">
        <v>5450</v>
      </c>
      <c r="F98">
        <v>252</v>
      </c>
      <c r="G98" s="5">
        <f t="shared" si="17"/>
        <v>277.20000000000005</v>
      </c>
      <c r="H98" s="5">
        <f t="shared" si="18"/>
        <v>118.63322414599908</v>
      </c>
      <c r="I98" s="5">
        <f t="shared" si="19"/>
        <v>174.91320000000002</v>
      </c>
      <c r="O98" s="5">
        <f t="shared" si="16"/>
        <v>174.91320000000002</v>
      </c>
    </row>
    <row r="99" spans="1:20">
      <c r="B99" s="4">
        <v>1781</v>
      </c>
      <c r="F99">
        <v>294</v>
      </c>
      <c r="G99" s="5">
        <f t="shared" si="17"/>
        <v>323.40000000000003</v>
      </c>
      <c r="H99" s="5">
        <f t="shared" si="18"/>
        <v>138.40542817033224</v>
      </c>
      <c r="I99" s="5">
        <f t="shared" si="19"/>
        <v>204.06540000000001</v>
      </c>
      <c r="O99" s="5">
        <f t="shared" si="16"/>
        <v>204.06540000000001</v>
      </c>
    </row>
    <row r="100" spans="1:20">
      <c r="B100" s="4">
        <v>1782</v>
      </c>
      <c r="C100">
        <v>2</v>
      </c>
      <c r="F100">
        <v>1868</v>
      </c>
      <c r="G100" s="5">
        <f t="shared" si="17"/>
        <v>2054.8000000000002</v>
      </c>
      <c r="H100" s="5">
        <f t="shared" si="18"/>
        <v>879.39231232034228</v>
      </c>
      <c r="I100" s="5">
        <f t="shared" si="19"/>
        <v>1296.5788000000002</v>
      </c>
      <c r="O100" s="5">
        <f t="shared" si="16"/>
        <v>1296.5788000000002</v>
      </c>
    </row>
    <row r="101" spans="1:20">
      <c r="B101" s="4">
        <v>1783</v>
      </c>
      <c r="C101">
        <v>840</v>
      </c>
      <c r="F101">
        <v>64</v>
      </c>
      <c r="G101" s="5">
        <f t="shared" si="17"/>
        <v>70.400000000000006</v>
      </c>
      <c r="H101" s="5">
        <f t="shared" si="18"/>
        <v>30.129072798983891</v>
      </c>
      <c r="I101" s="5">
        <f t="shared" si="19"/>
        <v>44.422400000000003</v>
      </c>
      <c r="O101" s="5">
        <f t="shared" si="16"/>
        <v>44.422400000000003</v>
      </c>
      <c r="R101">
        <v>11</v>
      </c>
    </row>
    <row r="102" spans="1:20">
      <c r="B102" s="4">
        <v>1784</v>
      </c>
      <c r="C102">
        <v>5110</v>
      </c>
      <c r="F102">
        <v>4635</v>
      </c>
      <c r="G102" s="5">
        <f t="shared" si="17"/>
        <v>5098.5</v>
      </c>
      <c r="H102" s="5">
        <f t="shared" si="18"/>
        <v>2182.0039441139111</v>
      </c>
      <c r="I102" s="5">
        <f t="shared" si="19"/>
        <v>3217.1534999999999</v>
      </c>
      <c r="O102" s="5">
        <f t="shared" si="16"/>
        <v>3217.1534999999999</v>
      </c>
      <c r="R102">
        <v>410</v>
      </c>
    </row>
    <row r="103" spans="1:20">
      <c r="B103" s="4">
        <v>1785</v>
      </c>
      <c r="C103">
        <v>4472</v>
      </c>
      <c r="D103">
        <f>SUM(C99:C103)</f>
        <v>10424</v>
      </c>
      <c r="E103">
        <v>11528</v>
      </c>
      <c r="F103">
        <v>4667</v>
      </c>
      <c r="G103" s="5">
        <f t="shared" si="17"/>
        <v>5133.7000000000007</v>
      </c>
      <c r="H103" s="5">
        <f t="shared" si="18"/>
        <v>2197.0684805134033</v>
      </c>
      <c r="I103" s="5">
        <f t="shared" si="19"/>
        <v>3239.3647000000005</v>
      </c>
      <c r="O103" s="5">
        <f t="shared" si="16"/>
        <v>3239.3647000000005</v>
      </c>
      <c r="R103">
        <v>38</v>
      </c>
    </row>
    <row r="104" spans="1:20">
      <c r="B104" s="4">
        <v>1786</v>
      </c>
      <c r="C104">
        <v>3570</v>
      </c>
      <c r="F104">
        <v>3764</v>
      </c>
      <c r="G104" s="5">
        <f t="shared" si="17"/>
        <v>4140.4000000000005</v>
      </c>
      <c r="H104" s="5">
        <f t="shared" si="18"/>
        <v>1771.9660939902401</v>
      </c>
      <c r="I104" s="5">
        <f t="shared" si="19"/>
        <v>2612.5924000000005</v>
      </c>
      <c r="O104" s="5">
        <f t="shared" si="16"/>
        <v>2612.5924000000005</v>
      </c>
      <c r="R104">
        <v>140</v>
      </c>
    </row>
    <row r="105" spans="1:20">
      <c r="B105" s="4">
        <v>1787</v>
      </c>
      <c r="C105">
        <v>2435</v>
      </c>
      <c r="F105">
        <v>2158</v>
      </c>
      <c r="G105" s="5">
        <f t="shared" si="17"/>
        <v>2373.8000000000002</v>
      </c>
      <c r="H105" s="5">
        <f t="shared" si="18"/>
        <v>1015.9146734407381</v>
      </c>
      <c r="I105" s="5">
        <f t="shared" si="19"/>
        <v>1497.8678000000002</v>
      </c>
      <c r="O105" s="5">
        <f t="shared" si="16"/>
        <v>1497.8678000000002</v>
      </c>
      <c r="R105">
        <v>58</v>
      </c>
    </row>
    <row r="106" spans="1:20">
      <c r="B106" s="4">
        <v>1788</v>
      </c>
      <c r="C106">
        <v>1308</v>
      </c>
      <c r="G106" s="5">
        <f>(E107/4)*1.1</f>
        <v>2261.875</v>
      </c>
      <c r="H106" s="5">
        <f t="shared" si="18"/>
        <v>968.01415535797844</v>
      </c>
      <c r="I106" s="5">
        <f t="shared" si="19"/>
        <v>1427.243125</v>
      </c>
      <c r="K106">
        <v>224</v>
      </c>
      <c r="N106" s="5">
        <f>SUM(J106:M106)/N$123</f>
        <v>358.46557842441445</v>
      </c>
      <c r="O106" s="5">
        <f t="shared" si="16"/>
        <v>1785.7087034244144</v>
      </c>
      <c r="R106">
        <v>147</v>
      </c>
    </row>
    <row r="107" spans="1:20">
      <c r="B107" s="4">
        <v>1789</v>
      </c>
      <c r="C107">
        <v>254</v>
      </c>
      <c r="E107">
        <v>8225</v>
      </c>
      <c r="F107">
        <v>2030</v>
      </c>
      <c r="G107" s="5">
        <f>F107*1.1</f>
        <v>2233</v>
      </c>
      <c r="H107" s="5">
        <f t="shared" si="18"/>
        <v>955.65652784277017</v>
      </c>
      <c r="I107" s="5">
        <f t="shared" si="19"/>
        <v>1409.0229999999999</v>
      </c>
      <c r="J107">
        <v>500</v>
      </c>
      <c r="K107">
        <v>85</v>
      </c>
      <c r="N107" s="5">
        <f>SUM(J107:M107)/N$123</f>
        <v>936.17126508161812</v>
      </c>
      <c r="O107" s="5">
        <f t="shared" si="16"/>
        <v>2345.1942650816181</v>
      </c>
      <c r="P107" s="5">
        <f>SUM(O79:O107)</f>
        <v>49124.479383907033</v>
      </c>
      <c r="Q107" s="5"/>
      <c r="R107">
        <v>9</v>
      </c>
    </row>
    <row r="108" spans="1:20">
      <c r="B108" s="4"/>
      <c r="C108" s="4"/>
      <c r="H108" s="5"/>
      <c r="I108" s="5"/>
      <c r="O108" s="5"/>
      <c r="P108" s="5"/>
      <c r="T108" s="5"/>
    </row>
    <row r="109" spans="1:20">
      <c r="B109" s="4" t="s">
        <v>50</v>
      </c>
      <c r="C109" s="4"/>
      <c r="H109" s="5"/>
      <c r="I109" s="5">
        <f>SUM(I11:I107)</f>
        <v>188528.19318304284</v>
      </c>
      <c r="J109" s="5">
        <f>SUM(J11:J107)</f>
        <v>838</v>
      </c>
      <c r="K109" s="5">
        <f>SUM(K11:K107)</f>
        <v>1129</v>
      </c>
      <c r="L109" s="5">
        <f>SUM(L11:L107)</f>
        <v>17588.25</v>
      </c>
      <c r="M109" s="5">
        <f>SUM(M11:M107)</f>
        <v>726</v>
      </c>
      <c r="N109" s="5">
        <f>SUM(J109:M109)/N$123</f>
        <v>32455.937555447123</v>
      </c>
      <c r="O109" s="5">
        <f>I109+N109</f>
        <v>220984.13073848997</v>
      </c>
      <c r="R109">
        <f>SUM(R11:R107)</f>
        <v>23836</v>
      </c>
    </row>
    <row r="110" spans="1:20">
      <c r="A110" s="4"/>
      <c r="B110" s="4"/>
      <c r="C110" s="4"/>
      <c r="H110" s="5"/>
      <c r="O110" s="5"/>
    </row>
    <row r="111" spans="1:20">
      <c r="A111" s="4" t="s">
        <v>538</v>
      </c>
      <c r="K111" s="4" t="s">
        <v>539</v>
      </c>
    </row>
    <row r="112" spans="1:20">
      <c r="B112" t="s">
        <v>44</v>
      </c>
      <c r="K112" s="2"/>
      <c r="L112" s="2" t="s">
        <v>522</v>
      </c>
      <c r="M112" s="2" t="s">
        <v>523</v>
      </c>
      <c r="N112" s="2" t="s">
        <v>529</v>
      </c>
    </row>
    <row r="113" spans="2:14">
      <c r="B113" t="s">
        <v>51</v>
      </c>
      <c r="C113" t="s">
        <v>52</v>
      </c>
      <c r="D113" t="s">
        <v>53</v>
      </c>
      <c r="F113" t="s">
        <v>540</v>
      </c>
      <c r="K113" s="2" t="s">
        <v>59</v>
      </c>
      <c r="L113" s="2">
        <v>7730</v>
      </c>
      <c r="M113" s="2">
        <v>12060</v>
      </c>
      <c r="N113" s="49">
        <f t="shared" ref="N113:N122" si="20">L113/M113</f>
        <v>0.64096185737976785</v>
      </c>
    </row>
    <row r="114" spans="2:14">
      <c r="B114" t="s">
        <v>54</v>
      </c>
      <c r="C114" t="s">
        <v>55</v>
      </c>
      <c r="D114">
        <v>30</v>
      </c>
      <c r="G114" t="s">
        <v>541</v>
      </c>
      <c r="H114" t="s">
        <v>542</v>
      </c>
      <c r="K114" s="2" t="s">
        <v>61</v>
      </c>
      <c r="L114" s="2">
        <v>16664</v>
      </c>
      <c r="M114" s="2">
        <v>21122</v>
      </c>
      <c r="N114" s="49">
        <f t="shared" si="20"/>
        <v>0.78894044124609408</v>
      </c>
    </row>
    <row r="115" spans="2:14">
      <c r="C115" t="s">
        <v>57</v>
      </c>
      <c r="D115">
        <v>82</v>
      </c>
      <c r="F115" t="s">
        <v>56</v>
      </c>
      <c r="G115">
        <f>SUM(D114:D119)+D123+D120</f>
        <v>1081</v>
      </c>
      <c r="H115" s="9">
        <f>G115/$G$119</f>
        <v>5.8378787060538964E-2</v>
      </c>
      <c r="K115" s="2" t="s">
        <v>79</v>
      </c>
      <c r="L115" s="2">
        <v>1097</v>
      </c>
      <c r="M115" s="2">
        <v>5010</v>
      </c>
      <c r="N115" s="49">
        <f t="shared" si="20"/>
        <v>0.21896207584830341</v>
      </c>
    </row>
    <row r="116" spans="2:14">
      <c r="C116" t="s">
        <v>59</v>
      </c>
      <c r="D116">
        <v>275</v>
      </c>
      <c r="F116" t="s">
        <v>58</v>
      </c>
      <c r="G116">
        <f>D122</f>
        <v>14851</v>
      </c>
      <c r="H116" s="9">
        <f>G116/$G$119</f>
        <v>0.80201976562078092</v>
      </c>
      <c r="K116" s="2" t="s">
        <v>524</v>
      </c>
      <c r="L116" s="2">
        <v>1338</v>
      </c>
      <c r="M116" s="2">
        <v>2130</v>
      </c>
      <c r="N116" s="49">
        <f t="shared" si="20"/>
        <v>0.62816901408450709</v>
      </c>
    </row>
    <row r="117" spans="2:14">
      <c r="C117" t="s">
        <v>61</v>
      </c>
      <c r="D117">
        <v>478</v>
      </c>
      <c r="F117" t="s">
        <v>60</v>
      </c>
      <c r="G117">
        <f>D125</f>
        <v>2556</v>
      </c>
      <c r="H117" s="9">
        <f>G117/$G$119</f>
        <v>0.13803531889614948</v>
      </c>
      <c r="K117" s="2" t="s">
        <v>80</v>
      </c>
      <c r="L117" s="2">
        <v>3704</v>
      </c>
      <c r="M117" s="2">
        <v>5414</v>
      </c>
      <c r="N117" s="49">
        <f t="shared" si="20"/>
        <v>0.6841521980051718</v>
      </c>
    </row>
    <row r="118" spans="2:14">
      <c r="C118" t="s">
        <v>63</v>
      </c>
      <c r="D118">
        <v>192</v>
      </c>
      <c r="F118" t="s">
        <v>62</v>
      </c>
      <c r="G118">
        <f>D124</f>
        <v>29</v>
      </c>
      <c r="H118" s="9">
        <f>G118/$G$119</f>
        <v>1.5661284225306476E-3</v>
      </c>
      <c r="K118" s="2" t="s">
        <v>525</v>
      </c>
      <c r="L118" s="2">
        <v>8042</v>
      </c>
      <c r="M118" s="2">
        <v>11869</v>
      </c>
      <c r="N118" s="49">
        <f t="shared" si="20"/>
        <v>0.67756340045496677</v>
      </c>
    </row>
    <row r="119" spans="2:14">
      <c r="C119" t="s">
        <v>64</v>
      </c>
      <c r="D119">
        <v>18</v>
      </c>
      <c r="F119" t="s">
        <v>8</v>
      </c>
      <c r="G119">
        <f>SUM(G115:G118)</f>
        <v>18517</v>
      </c>
      <c r="H119" s="9">
        <f>G119/$G$119</f>
        <v>1</v>
      </c>
      <c r="K119" s="2" t="s">
        <v>83</v>
      </c>
      <c r="L119" s="2">
        <v>1000</v>
      </c>
      <c r="M119" s="2">
        <v>1647</v>
      </c>
      <c r="N119" s="49">
        <f t="shared" si="20"/>
        <v>0.60716454159077105</v>
      </c>
    </row>
    <row r="120" spans="2:14">
      <c r="C120" t="s">
        <v>2</v>
      </c>
      <c r="D120">
        <v>2</v>
      </c>
      <c r="F120" t="s">
        <v>167</v>
      </c>
      <c r="H120" s="9">
        <f>H119-H115</f>
        <v>0.94162121293946099</v>
      </c>
      <c r="K120" s="2" t="s">
        <v>63</v>
      </c>
      <c r="L120" s="2">
        <v>3771</v>
      </c>
      <c r="M120" s="2">
        <v>4750</v>
      </c>
      <c r="N120" s="49">
        <f t="shared" si="20"/>
        <v>0.79389473684210521</v>
      </c>
    </row>
    <row r="121" spans="2:14">
      <c r="C121" t="s">
        <v>65</v>
      </c>
      <c r="D121">
        <v>8</v>
      </c>
      <c r="H121" s="9"/>
      <c r="K121" s="2" t="s">
        <v>526</v>
      </c>
      <c r="L121" s="2">
        <v>1469</v>
      </c>
      <c r="M121" s="2">
        <v>4282</v>
      </c>
      <c r="N121" s="49">
        <f t="shared" si="20"/>
        <v>0.34306398879028493</v>
      </c>
    </row>
    <row r="122" spans="2:14">
      <c r="C122" t="s">
        <v>66</v>
      </c>
      <c r="D122">
        <v>14851</v>
      </c>
      <c r="H122" s="9"/>
      <c r="K122" s="2" t="s">
        <v>527</v>
      </c>
      <c r="L122" s="2">
        <v>273</v>
      </c>
      <c r="M122" s="2">
        <v>3870</v>
      </c>
      <c r="N122" s="49">
        <f t="shared" si="20"/>
        <v>7.0542635658914735E-2</v>
      </c>
    </row>
    <row r="123" spans="2:14">
      <c r="C123" t="s">
        <v>67</v>
      </c>
      <c r="D123">
        <v>4</v>
      </c>
      <c r="H123" s="9"/>
      <c r="K123" s="2"/>
      <c r="L123" s="2">
        <v>45088</v>
      </c>
      <c r="M123" s="2">
        <v>72154</v>
      </c>
      <c r="N123" s="49">
        <f>L123/M123</f>
        <v>0.62488566122460298</v>
      </c>
    </row>
    <row r="124" spans="2:14">
      <c r="C124" t="s">
        <v>68</v>
      </c>
      <c r="D124">
        <v>29</v>
      </c>
      <c r="H124" s="9"/>
      <c r="K124" s="50" t="s">
        <v>543</v>
      </c>
    </row>
    <row r="125" spans="2:14">
      <c r="C125" t="s">
        <v>60</v>
      </c>
      <c r="D125">
        <v>2556</v>
      </c>
      <c r="H125" s="9"/>
      <c r="K125" t="s">
        <v>528</v>
      </c>
      <c r="M125" t="s">
        <v>530</v>
      </c>
    </row>
    <row r="126" spans="2:14">
      <c r="C126" t="s">
        <v>8</v>
      </c>
      <c r="D126">
        <v>18525</v>
      </c>
      <c r="H126" s="9"/>
    </row>
    <row r="127" spans="2:14">
      <c r="B127" t="s">
        <v>163</v>
      </c>
      <c r="C127" t="s">
        <v>55</v>
      </c>
      <c r="D127">
        <v>1</v>
      </c>
      <c r="F127" t="s">
        <v>56</v>
      </c>
      <c r="G127">
        <f>SUM(D127:D131)+D134+SUM(D136:D139)</f>
        <v>1676</v>
      </c>
      <c r="H127" s="9">
        <f>G127/$G$131</f>
        <v>4.3532467532467534E-2</v>
      </c>
    </row>
    <row r="128" spans="2:14">
      <c r="C128" t="s">
        <v>59</v>
      </c>
      <c r="D128">
        <v>421</v>
      </c>
      <c r="F128" t="s">
        <v>58</v>
      </c>
      <c r="G128">
        <f>D132</f>
        <v>31255</v>
      </c>
      <c r="H128" s="9">
        <f>G128/$G$131</f>
        <v>0.81181818181818177</v>
      </c>
    </row>
    <row r="129" spans="2:8">
      <c r="C129" t="s">
        <v>61</v>
      </c>
      <c r="D129">
        <v>490</v>
      </c>
      <c r="F129" t="s">
        <v>60</v>
      </c>
      <c r="G129">
        <f>D142</f>
        <v>5244</v>
      </c>
      <c r="H129" s="9">
        <f>G129/$G$131</f>
        <v>0.13620779220779219</v>
      </c>
    </row>
    <row r="130" spans="2:8">
      <c r="C130" t="s">
        <v>69</v>
      </c>
      <c r="D130">
        <v>35</v>
      </c>
      <c r="F130" t="s">
        <v>62</v>
      </c>
      <c r="G130">
        <f>D133+D141+D135</f>
        <v>325</v>
      </c>
      <c r="H130" s="9">
        <f>G130/$G$131</f>
        <v>8.4415584415584409E-3</v>
      </c>
    </row>
    <row r="131" spans="2:8">
      <c r="C131" t="s">
        <v>2</v>
      </c>
      <c r="D131">
        <v>427</v>
      </c>
      <c r="G131">
        <f>SUM(G127:G130)</f>
        <v>38500</v>
      </c>
      <c r="H131" s="9">
        <f>G131/$G$131</f>
        <v>1</v>
      </c>
    </row>
    <row r="132" spans="2:8">
      <c r="C132" t="s">
        <v>66</v>
      </c>
      <c r="D132">
        <v>31255</v>
      </c>
      <c r="F132" t="s">
        <v>167</v>
      </c>
      <c r="H132">
        <v>0.95599999999999996</v>
      </c>
    </row>
    <row r="133" spans="2:8">
      <c r="C133" t="s">
        <v>70</v>
      </c>
      <c r="D133">
        <v>19</v>
      </c>
      <c r="H133" s="9"/>
    </row>
    <row r="134" spans="2:8">
      <c r="C134" t="s">
        <v>71</v>
      </c>
      <c r="D134">
        <v>40</v>
      </c>
      <c r="H134" s="9"/>
    </row>
    <row r="135" spans="2:8">
      <c r="C135" t="s">
        <v>72</v>
      </c>
      <c r="D135">
        <v>100</v>
      </c>
      <c r="H135" s="9"/>
    </row>
    <row r="136" spans="2:8">
      <c r="C136" t="s">
        <v>73</v>
      </c>
      <c r="D136">
        <v>150</v>
      </c>
      <c r="H136" s="9"/>
    </row>
    <row r="137" spans="2:8">
      <c r="C137" t="s">
        <v>74</v>
      </c>
      <c r="D137">
        <v>37</v>
      </c>
      <c r="H137" s="9"/>
    </row>
    <row r="138" spans="2:8">
      <c r="C138" t="s">
        <v>75</v>
      </c>
      <c r="D138">
        <v>73</v>
      </c>
      <c r="H138" s="9"/>
    </row>
    <row r="139" spans="2:8">
      <c r="C139" t="s">
        <v>76</v>
      </c>
      <c r="D139">
        <v>2</v>
      </c>
      <c r="H139" s="9"/>
    </row>
    <row r="140" spans="2:8">
      <c r="C140" t="s">
        <v>77</v>
      </c>
      <c r="D140">
        <v>140</v>
      </c>
      <c r="H140" s="9"/>
    </row>
    <row r="141" spans="2:8">
      <c r="C141" t="s">
        <v>68</v>
      </c>
      <c r="D141">
        <v>206</v>
      </c>
      <c r="H141" s="9"/>
    </row>
    <row r="142" spans="2:8">
      <c r="C142" t="s">
        <v>60</v>
      </c>
      <c r="D142">
        <v>5244</v>
      </c>
      <c r="H142" s="9"/>
    </row>
    <row r="143" spans="2:8">
      <c r="C143" t="s">
        <v>8</v>
      </c>
      <c r="D143">
        <v>38639</v>
      </c>
      <c r="H143" s="9"/>
    </row>
    <row r="144" spans="2:8">
      <c r="B144" t="s">
        <v>78</v>
      </c>
      <c r="C144" t="s">
        <v>57</v>
      </c>
      <c r="D144">
        <v>23</v>
      </c>
      <c r="F144" t="s">
        <v>56</v>
      </c>
      <c r="G144">
        <f>SUM(D144:D150)+SUM(D153:D154)+SUM(D157:D161)</f>
        <v>7735</v>
      </c>
      <c r="H144" s="9">
        <f>G144/$G$148</f>
        <v>0.39444161142274348</v>
      </c>
    </row>
    <row r="145" spans="3:8">
      <c r="C145" t="s">
        <v>79</v>
      </c>
      <c r="D145">
        <v>135</v>
      </c>
      <c r="F145" t="s">
        <v>58</v>
      </c>
      <c r="G145">
        <f>D152</f>
        <v>6209</v>
      </c>
      <c r="H145" s="9">
        <f>G145/$G$148</f>
        <v>0.31662417134115245</v>
      </c>
    </row>
    <row r="146" spans="3:8">
      <c r="C146" t="s">
        <v>59</v>
      </c>
      <c r="D146">
        <v>140</v>
      </c>
      <c r="F146" t="s">
        <v>60</v>
      </c>
      <c r="G146">
        <f>D162</f>
        <v>5047</v>
      </c>
      <c r="H146" s="9">
        <f>G146/$G$148</f>
        <v>0.25736868944416114</v>
      </c>
    </row>
    <row r="147" spans="3:8">
      <c r="C147" t="s">
        <v>61</v>
      </c>
      <c r="D147">
        <v>3350</v>
      </c>
      <c r="F147" t="s">
        <v>62</v>
      </c>
      <c r="G147">
        <f>D155+D156</f>
        <v>619</v>
      </c>
      <c r="H147" s="9">
        <f>G147/$G$148</f>
        <v>3.1565527791942889E-2</v>
      </c>
    </row>
    <row r="148" spans="3:8">
      <c r="C148" t="s">
        <v>80</v>
      </c>
      <c r="D148">
        <v>587</v>
      </c>
      <c r="G148">
        <f>SUM(G144:G147)</f>
        <v>19610</v>
      </c>
      <c r="H148" s="9">
        <f>G148/$G$148</f>
        <v>1</v>
      </c>
    </row>
    <row r="149" spans="3:8">
      <c r="C149" t="s">
        <v>64</v>
      </c>
      <c r="D149">
        <v>231</v>
      </c>
      <c r="F149" t="s">
        <v>167</v>
      </c>
      <c r="H149">
        <v>0.60599999999999998</v>
      </c>
    </row>
    <row r="150" spans="3:8">
      <c r="C150" t="s">
        <v>2</v>
      </c>
      <c r="D150">
        <v>1426</v>
      </c>
    </row>
    <row r="151" spans="3:8">
      <c r="C151" t="s">
        <v>65</v>
      </c>
      <c r="D151">
        <v>21</v>
      </c>
    </row>
    <row r="152" spans="3:8">
      <c r="C152" t="s">
        <v>66</v>
      </c>
      <c r="D152">
        <v>6209</v>
      </c>
    </row>
    <row r="153" spans="3:8">
      <c r="C153" t="s">
        <v>81</v>
      </c>
      <c r="D153">
        <v>91</v>
      </c>
    </row>
    <row r="154" spans="3:8">
      <c r="C154" t="s">
        <v>71</v>
      </c>
      <c r="D154">
        <v>422</v>
      </c>
    </row>
    <row r="155" spans="3:8">
      <c r="C155" t="s">
        <v>82</v>
      </c>
      <c r="D155">
        <v>310</v>
      </c>
    </row>
    <row r="156" spans="3:8">
      <c r="C156" t="s">
        <v>72</v>
      </c>
      <c r="D156">
        <v>309</v>
      </c>
    </row>
    <row r="157" spans="3:8">
      <c r="C157" t="s">
        <v>83</v>
      </c>
      <c r="D157">
        <v>186</v>
      </c>
    </row>
    <row r="158" spans="3:8">
      <c r="C158" t="s">
        <v>75</v>
      </c>
      <c r="D158">
        <v>591</v>
      </c>
    </row>
    <row r="159" spans="3:8">
      <c r="C159" t="s">
        <v>84</v>
      </c>
      <c r="D159">
        <v>31</v>
      </c>
    </row>
    <row r="160" spans="3:8">
      <c r="C160" t="s">
        <v>76</v>
      </c>
      <c r="D160">
        <v>517</v>
      </c>
    </row>
    <row r="161" spans="2:8">
      <c r="C161" t="s">
        <v>85</v>
      </c>
      <c r="D161">
        <v>5</v>
      </c>
    </row>
    <row r="162" spans="2:8">
      <c r="C162" t="s">
        <v>60</v>
      </c>
      <c r="D162">
        <v>5047</v>
      </c>
    </row>
    <row r="163" spans="2:8">
      <c r="C163" t="s">
        <v>8</v>
      </c>
      <c r="D163">
        <v>19631</v>
      </c>
    </row>
    <row r="164" spans="2:8">
      <c r="B164" t="s">
        <v>86</v>
      </c>
      <c r="C164" t="s">
        <v>59</v>
      </c>
      <c r="D164">
        <v>4</v>
      </c>
      <c r="F164" t="s">
        <v>56</v>
      </c>
      <c r="G164">
        <f>SUM(D164:D166)+D168+D169+SUM(D171:D173)+SUM(D178:D181)</f>
        <v>11036</v>
      </c>
      <c r="H164" s="9">
        <f>G164/$G$168</f>
        <v>0.36887492479443812</v>
      </c>
    </row>
    <row r="165" spans="2:8">
      <c r="C165" t="s">
        <v>61</v>
      </c>
      <c r="D165">
        <v>1381</v>
      </c>
      <c r="F165" t="s">
        <v>58</v>
      </c>
      <c r="G165">
        <f>D170</f>
        <v>1463</v>
      </c>
      <c r="H165" s="9">
        <f>G165/$G$168</f>
        <v>4.8900327562002806E-2</v>
      </c>
    </row>
    <row r="166" spans="2:8">
      <c r="C166" t="s">
        <v>80</v>
      </c>
      <c r="D166">
        <v>322</v>
      </c>
      <c r="F166" t="s">
        <v>60</v>
      </c>
      <c r="G166">
        <f>D182</f>
        <v>12804</v>
      </c>
      <c r="H166" s="9">
        <f>G166/$G$168</f>
        <v>0.42796978407647568</v>
      </c>
    </row>
    <row r="167" spans="2:8">
      <c r="C167" t="s">
        <v>69</v>
      </c>
      <c r="D167">
        <v>2781</v>
      </c>
      <c r="F167" t="s">
        <v>62</v>
      </c>
      <c r="G167">
        <f>SUM(D174:D177)+D167</f>
        <v>4615</v>
      </c>
      <c r="H167" s="9">
        <f>G167/$G$168</f>
        <v>0.15425496356708335</v>
      </c>
    </row>
    <row r="168" spans="2:8">
      <c r="C168" t="s">
        <v>87</v>
      </c>
      <c r="D168">
        <v>9</v>
      </c>
      <c r="G168">
        <f>SUM(G164:G167)</f>
        <v>29918</v>
      </c>
      <c r="H168" s="9">
        <f>G168/$G$168</f>
        <v>1</v>
      </c>
    </row>
    <row r="169" spans="2:8">
      <c r="C169" t="s">
        <v>2</v>
      </c>
      <c r="D169">
        <v>860</v>
      </c>
      <c r="F169" t="s">
        <v>167</v>
      </c>
      <c r="H169">
        <v>0.63100000000000001</v>
      </c>
    </row>
    <row r="170" spans="2:8">
      <c r="C170" t="s">
        <v>66</v>
      </c>
      <c r="D170">
        <v>1463</v>
      </c>
    </row>
    <row r="171" spans="2:8">
      <c r="C171" t="s">
        <v>88</v>
      </c>
      <c r="D171">
        <v>857</v>
      </c>
    </row>
    <row r="172" spans="2:8">
      <c r="C172" t="s">
        <v>81</v>
      </c>
      <c r="D172">
        <v>6491</v>
      </c>
    </row>
    <row r="173" spans="2:8">
      <c r="C173" t="s">
        <v>71</v>
      </c>
      <c r="D173">
        <v>552</v>
      </c>
    </row>
    <row r="174" spans="2:8">
      <c r="C174" t="s">
        <v>82</v>
      </c>
      <c r="D174">
        <v>1304</v>
      </c>
    </row>
    <row r="175" spans="2:8">
      <c r="C175" t="s">
        <v>72</v>
      </c>
      <c r="D175">
        <v>519</v>
      </c>
    </row>
    <row r="176" spans="2:8">
      <c r="C176" t="s">
        <v>83</v>
      </c>
      <c r="D176">
        <v>2</v>
      </c>
    </row>
    <row r="177" spans="2:8">
      <c r="C177" t="s">
        <v>89</v>
      </c>
      <c r="D177">
        <v>9</v>
      </c>
    </row>
    <row r="178" spans="2:8">
      <c r="C178" t="s">
        <v>75</v>
      </c>
      <c r="D178">
        <v>146</v>
      </c>
    </row>
    <row r="179" spans="2:8">
      <c r="C179" t="s">
        <v>84</v>
      </c>
      <c r="D179">
        <v>124</v>
      </c>
    </row>
    <row r="180" spans="2:8">
      <c r="C180" t="s">
        <v>76</v>
      </c>
      <c r="D180">
        <v>214</v>
      </c>
    </row>
    <row r="181" spans="2:8">
      <c r="C181" t="s">
        <v>85</v>
      </c>
      <c r="D181">
        <v>76</v>
      </c>
    </row>
    <row r="182" spans="2:8">
      <c r="C182" t="s">
        <v>60</v>
      </c>
      <c r="D182">
        <v>12804</v>
      </c>
      <c r="F182" s="7" t="s">
        <v>517</v>
      </c>
    </row>
    <row r="183" spans="2:8">
      <c r="C183" t="s">
        <v>8</v>
      </c>
      <c r="D183">
        <f>SUM(D164:D182)</f>
        <v>29918</v>
      </c>
    </row>
    <row r="185" spans="2:8">
      <c r="B185" t="s">
        <v>90</v>
      </c>
      <c r="C185" t="s">
        <v>61</v>
      </c>
      <c r="D185">
        <v>388</v>
      </c>
      <c r="H185" s="48">
        <f>(D188+D191+D197)/D198</f>
        <v>0.44352617079889806</v>
      </c>
    </row>
    <row r="186" spans="2:8">
      <c r="C186" t="s">
        <v>80</v>
      </c>
      <c r="D186">
        <v>472</v>
      </c>
    </row>
    <row r="187" spans="2:8">
      <c r="C187" t="s">
        <v>69</v>
      </c>
      <c r="D187">
        <v>517</v>
      </c>
    </row>
    <row r="188" spans="2:8">
      <c r="C188" t="s">
        <v>66</v>
      </c>
      <c r="D188">
        <v>185</v>
      </c>
    </row>
    <row r="189" spans="2:8">
      <c r="C189" t="s">
        <v>81</v>
      </c>
      <c r="D189">
        <v>2077</v>
      </c>
    </row>
    <row r="190" spans="2:8">
      <c r="C190" t="s">
        <v>71</v>
      </c>
      <c r="D190">
        <v>677</v>
      </c>
    </row>
    <row r="191" spans="2:8">
      <c r="C191" t="s">
        <v>83</v>
      </c>
      <c r="D191">
        <v>350</v>
      </c>
    </row>
    <row r="192" spans="2:8">
      <c r="C192" t="s">
        <v>89</v>
      </c>
      <c r="D192">
        <v>529</v>
      </c>
    </row>
    <row r="193" spans="1:6">
      <c r="C193" t="s">
        <v>91</v>
      </c>
      <c r="D193">
        <v>7</v>
      </c>
    </row>
    <row r="194" spans="1:6">
      <c r="C194" t="s">
        <v>75</v>
      </c>
      <c r="D194">
        <v>2</v>
      </c>
    </row>
    <row r="195" spans="1:6">
      <c r="C195" t="s">
        <v>84</v>
      </c>
      <c r="D195">
        <v>245</v>
      </c>
    </row>
    <row r="196" spans="1:6">
      <c r="C196" t="s">
        <v>76</v>
      </c>
      <c r="D196">
        <v>742</v>
      </c>
    </row>
    <row r="197" spans="1:6">
      <c r="C197" t="s">
        <v>60</v>
      </c>
      <c r="D197">
        <v>3973</v>
      </c>
    </row>
    <row r="198" spans="1:6">
      <c r="C198" t="s">
        <v>8</v>
      </c>
      <c r="D198">
        <v>10164</v>
      </c>
    </row>
    <row r="200" spans="1:6">
      <c r="A200" t="s">
        <v>92</v>
      </c>
      <c r="B200" s="2"/>
      <c r="C200" s="2" t="s">
        <v>73</v>
      </c>
      <c r="D200" s="2" t="s">
        <v>93</v>
      </c>
      <c r="E200" s="2" t="s">
        <v>73</v>
      </c>
      <c r="F200" s="2" t="s">
        <v>93</v>
      </c>
    </row>
    <row r="201" spans="1:6">
      <c r="B201" s="2">
        <v>1662</v>
      </c>
      <c r="C201" s="2">
        <v>0</v>
      </c>
      <c r="D201" s="6">
        <v>2720</v>
      </c>
      <c r="E201" s="1">
        <f>C201*0.333</f>
        <v>0</v>
      </c>
      <c r="F201" s="1">
        <f>D201*0.15</f>
        <v>408</v>
      </c>
    </row>
    <row r="202" spans="1:6">
      <c r="B202" s="2">
        <v>1663</v>
      </c>
      <c r="C202" s="2">
        <v>777</v>
      </c>
      <c r="D202" s="6">
        <v>1109</v>
      </c>
      <c r="E202" s="1">
        <f t="shared" ref="E202:E206" si="21">C202*0.333</f>
        <v>258.74100000000004</v>
      </c>
      <c r="F202" s="1">
        <f t="shared" ref="F202:F206" si="22">D202*0.15</f>
        <v>166.35</v>
      </c>
    </row>
    <row r="203" spans="1:6">
      <c r="B203" s="2">
        <v>1664</v>
      </c>
      <c r="C203" s="2">
        <v>429</v>
      </c>
      <c r="D203" s="6">
        <v>6486</v>
      </c>
      <c r="E203" s="1">
        <f t="shared" si="21"/>
        <v>142.857</v>
      </c>
      <c r="F203" s="1">
        <f t="shared" si="22"/>
        <v>972.9</v>
      </c>
    </row>
    <row r="204" spans="1:6">
      <c r="B204" s="2">
        <v>1665</v>
      </c>
      <c r="C204" s="6">
        <v>3011</v>
      </c>
      <c r="D204" s="6">
        <v>4079</v>
      </c>
      <c r="E204" s="1">
        <f t="shared" si="21"/>
        <v>1002.663</v>
      </c>
      <c r="F204" s="1">
        <f t="shared" si="22"/>
        <v>611.85</v>
      </c>
    </row>
    <row r="205" spans="1:6">
      <c r="B205" s="2">
        <v>1666</v>
      </c>
      <c r="C205" s="6">
        <v>2524</v>
      </c>
      <c r="D205" s="6">
        <v>3029</v>
      </c>
      <c r="E205" s="1">
        <f t="shared" si="21"/>
        <v>840.49200000000008</v>
      </c>
      <c r="F205" s="1">
        <f t="shared" si="22"/>
        <v>454.34999999999997</v>
      </c>
    </row>
    <row r="206" spans="1:6">
      <c r="B206" s="2">
        <v>1667</v>
      </c>
      <c r="C206" s="2">
        <v>246</v>
      </c>
      <c r="D206" s="6">
        <v>2492</v>
      </c>
      <c r="E206" s="1">
        <f t="shared" si="21"/>
        <v>81.918000000000006</v>
      </c>
      <c r="F206" s="1">
        <f t="shared" si="22"/>
        <v>373.8</v>
      </c>
    </row>
    <row r="207" spans="1:6">
      <c r="B207" s="2" t="s">
        <v>94</v>
      </c>
      <c r="C207" s="6">
        <f>SUM(C201:C206)</f>
        <v>6987</v>
      </c>
      <c r="D207" s="6">
        <f>SUM(D201:D206)</f>
        <v>19915</v>
      </c>
    </row>
    <row r="209" spans="1:2">
      <c r="A209" t="s">
        <v>144</v>
      </c>
      <c r="B209" s="47" t="s">
        <v>516</v>
      </c>
    </row>
    <row r="210" spans="1:2">
      <c r="A210" t="s">
        <v>514</v>
      </c>
      <c r="B210" s="47" t="s">
        <v>515</v>
      </c>
    </row>
    <row r="211" spans="1:2">
      <c r="A211" t="s">
        <v>518</v>
      </c>
      <c r="B211" s="47" t="s">
        <v>519</v>
      </c>
    </row>
  </sheetData>
  <mergeCells count="1">
    <mergeCell ref="C4:G6"/>
  </mergeCells>
  <hyperlinks>
    <hyperlink ref="K124" r:id="rId1" display="Beyond the Middle Passage: Slave Migration from the Caribbean to North America, 1619-1807(pp. 125-172)  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0"/>
  <sheetViews>
    <sheetView workbookViewId="0">
      <pane xSplit="2" ySplit="6" topLeftCell="D16" activePane="bottomRight" state="frozen"/>
      <selection pane="topRight" activeCell="C1" sqref="C1"/>
      <selection pane="bottomLeft" activeCell="A7" sqref="A7"/>
      <selection pane="bottomRight" activeCell="N38" sqref="N38"/>
    </sheetView>
  </sheetViews>
  <sheetFormatPr baseColWidth="10" defaultRowHeight="15" x14ac:dyDescent="0"/>
  <sheetData>
    <row r="2" spans="2:19">
      <c r="B2" s="4" t="s">
        <v>156</v>
      </c>
      <c r="J2" s="4" t="s">
        <v>166</v>
      </c>
    </row>
    <row r="3" spans="2:19">
      <c r="B3" s="4"/>
    </row>
    <row r="4" spans="2:19">
      <c r="D4" t="s">
        <v>95</v>
      </c>
      <c r="E4" t="s">
        <v>95</v>
      </c>
      <c r="F4" t="s">
        <v>95</v>
      </c>
      <c r="G4" s="2" t="s">
        <v>95</v>
      </c>
      <c r="H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165</v>
      </c>
    </row>
    <row r="5" spans="2:19">
      <c r="D5" t="s">
        <v>102</v>
      </c>
      <c r="E5" t="s">
        <v>103</v>
      </c>
      <c r="F5" t="s">
        <v>104</v>
      </c>
      <c r="G5" s="2" t="s">
        <v>105</v>
      </c>
      <c r="H5" t="s">
        <v>41</v>
      </c>
      <c r="J5" t="s">
        <v>106</v>
      </c>
      <c r="K5" t="s">
        <v>106</v>
      </c>
      <c r="L5" t="s">
        <v>106</v>
      </c>
      <c r="M5" t="s">
        <v>106</v>
      </c>
    </row>
    <row r="6" spans="2:19">
      <c r="D6" t="s">
        <v>43</v>
      </c>
      <c r="E6" t="s">
        <v>164</v>
      </c>
      <c r="H6" t="s">
        <v>107</v>
      </c>
    </row>
    <row r="7" spans="2:19">
      <c r="B7" s="4">
        <v>1790</v>
      </c>
      <c r="C7" s="4"/>
      <c r="D7">
        <v>2310</v>
      </c>
      <c r="E7" s="1">
        <f>D7*1.1</f>
        <v>2541</v>
      </c>
      <c r="F7" s="10">
        <f>S12</f>
        <v>455</v>
      </c>
      <c r="G7">
        <v>1437</v>
      </c>
      <c r="H7" s="1">
        <f>E7+F7+G7</f>
        <v>4433</v>
      </c>
      <c r="I7" s="1"/>
      <c r="J7" s="5">
        <f t="shared" ref="J7:J22" si="0">H7*$J$45</f>
        <v>175.4708819857531</v>
      </c>
      <c r="K7" s="5">
        <f t="shared" ref="K7:K22" si="1">H7*$J$48</f>
        <v>1644.9988249981639</v>
      </c>
      <c r="L7" s="5">
        <f t="shared" ref="L7:L22" si="2">H7*$J$47</f>
        <v>136.40500844532568</v>
      </c>
      <c r="M7" s="5">
        <f t="shared" ref="M7:M22" si="3">H7*$J$50</f>
        <v>2467.3354630241611</v>
      </c>
      <c r="N7" s="5">
        <f>H7*$J$49</f>
        <v>8.7898215465961673</v>
      </c>
      <c r="O7" s="5">
        <f t="shared" ref="O7:O38" si="4">SUM(J7:N7)</f>
        <v>4433</v>
      </c>
    </row>
    <row r="8" spans="2:19">
      <c r="B8" s="4">
        <v>1791</v>
      </c>
      <c r="C8" s="4"/>
      <c r="D8">
        <v>3723</v>
      </c>
      <c r="E8" s="1">
        <f t="shared" ref="E8:E37" si="5">D8*1.1</f>
        <v>4095.3</v>
      </c>
      <c r="F8" s="10">
        <f>E8*0.05</f>
        <v>204.76500000000001</v>
      </c>
      <c r="G8">
        <v>1437</v>
      </c>
      <c r="H8" s="1">
        <f t="shared" ref="H8:H36" si="6">E8+F8+G8</f>
        <v>5737.0650000000005</v>
      </c>
      <c r="I8" s="1"/>
      <c r="J8" s="5">
        <f t="shared" si="0"/>
        <v>227.08952302269225</v>
      </c>
      <c r="K8" s="5">
        <f t="shared" si="1"/>
        <v>2128.9116137915839</v>
      </c>
      <c r="L8" s="5">
        <f t="shared" si="2"/>
        <v>176.53155871337299</v>
      </c>
      <c r="M8" s="5">
        <f t="shared" si="3"/>
        <v>3193.1567625027542</v>
      </c>
      <c r="N8" s="5">
        <f t="shared" ref="N8:N22" si="7">D8*$J$49</f>
        <v>7.3820224719101128</v>
      </c>
      <c r="O8" s="5">
        <f t="shared" si="4"/>
        <v>5733.0714805023135</v>
      </c>
    </row>
    <row r="9" spans="2:19">
      <c r="B9" s="4">
        <v>1792</v>
      </c>
      <c r="C9" s="4"/>
      <c r="D9">
        <v>3819</v>
      </c>
      <c r="E9" s="1">
        <f t="shared" si="5"/>
        <v>4200.9000000000005</v>
      </c>
      <c r="F9" s="10">
        <f t="shared" ref="F9:F36" si="8">E9*0.05</f>
        <v>210.04500000000004</v>
      </c>
      <c r="G9">
        <v>1437</v>
      </c>
      <c r="H9" s="1">
        <f t="shared" si="6"/>
        <v>5847.9450000000006</v>
      </c>
      <c r="I9" s="1"/>
      <c r="J9" s="5">
        <f t="shared" si="0"/>
        <v>231.47847213042522</v>
      </c>
      <c r="K9" s="5">
        <f t="shared" si="1"/>
        <v>2170.0569938312406</v>
      </c>
      <c r="L9" s="5">
        <f t="shared" si="2"/>
        <v>179.94337629433798</v>
      </c>
      <c r="M9" s="5">
        <f t="shared" si="3"/>
        <v>3254.8707611808773</v>
      </c>
      <c r="N9" s="5">
        <f t="shared" si="7"/>
        <v>7.5723727693324525</v>
      </c>
      <c r="O9" s="5">
        <f t="shared" si="4"/>
        <v>5843.9219762062139</v>
      </c>
    </row>
    <row r="10" spans="2:19">
      <c r="B10" s="4">
        <v>1793</v>
      </c>
      <c r="C10" s="4"/>
      <c r="D10">
        <v>2823</v>
      </c>
      <c r="E10" s="1">
        <f t="shared" si="5"/>
        <v>3105.3</v>
      </c>
      <c r="F10" s="10">
        <f t="shared" si="8"/>
        <v>155.26500000000001</v>
      </c>
      <c r="G10">
        <v>1437</v>
      </c>
      <c r="H10" s="1">
        <f t="shared" si="6"/>
        <v>4697.5650000000005</v>
      </c>
      <c r="I10" s="1"/>
      <c r="J10" s="5">
        <f t="shared" si="0"/>
        <v>185.94312513769555</v>
      </c>
      <c r="K10" s="5">
        <f t="shared" si="1"/>
        <v>1743.1736759198063</v>
      </c>
      <c r="L10" s="5">
        <f t="shared" si="2"/>
        <v>144.54576889182641</v>
      </c>
      <c r="M10" s="5">
        <f t="shared" si="3"/>
        <v>2614.5880248953517</v>
      </c>
      <c r="N10" s="5">
        <f t="shared" si="7"/>
        <v>5.5974884335756778</v>
      </c>
      <c r="O10" s="5">
        <f t="shared" si="4"/>
        <v>4693.8480832782552</v>
      </c>
    </row>
    <row r="11" spans="2:19">
      <c r="B11" s="4">
        <v>1794</v>
      </c>
      <c r="C11" s="4"/>
      <c r="D11">
        <v>2481</v>
      </c>
      <c r="E11" s="1">
        <f t="shared" si="5"/>
        <v>2729.1000000000004</v>
      </c>
      <c r="F11" s="10">
        <f t="shared" si="8"/>
        <v>136.45500000000001</v>
      </c>
      <c r="G11">
        <v>1437</v>
      </c>
      <c r="H11" s="1">
        <f t="shared" si="6"/>
        <v>4302.5550000000003</v>
      </c>
      <c r="I11" s="1"/>
      <c r="J11" s="5">
        <f t="shared" si="0"/>
        <v>170.30749394139679</v>
      </c>
      <c r="K11" s="5">
        <f t="shared" si="1"/>
        <v>1596.5932595285306</v>
      </c>
      <c r="L11" s="5">
        <f t="shared" si="2"/>
        <v>132.3911687596387</v>
      </c>
      <c r="M11" s="5">
        <f t="shared" si="3"/>
        <v>2394.7319046045386</v>
      </c>
      <c r="N11" s="5">
        <f t="shared" si="7"/>
        <v>4.9193654990085927</v>
      </c>
      <c r="O11" s="5">
        <f t="shared" si="4"/>
        <v>4298.9431923331131</v>
      </c>
      <c r="Q11" t="s">
        <v>108</v>
      </c>
      <c r="R11" t="s">
        <v>109</v>
      </c>
      <c r="S11" t="s">
        <v>44</v>
      </c>
    </row>
    <row r="12" spans="2:19">
      <c r="B12" s="4">
        <v>1795</v>
      </c>
      <c r="C12" s="4"/>
      <c r="D12">
        <v>2733</v>
      </c>
      <c r="E12" s="1">
        <f t="shared" si="5"/>
        <v>3006.3</v>
      </c>
      <c r="F12" s="10">
        <f t="shared" si="8"/>
        <v>150.31500000000003</v>
      </c>
      <c r="G12">
        <v>1437</v>
      </c>
      <c r="H12" s="1">
        <f t="shared" si="6"/>
        <v>4593.6149999999998</v>
      </c>
      <c r="I12" s="1"/>
      <c r="J12" s="5">
        <f t="shared" si="0"/>
        <v>181.82848534919586</v>
      </c>
      <c r="K12" s="5">
        <f t="shared" si="1"/>
        <v>1704.5998821326282</v>
      </c>
      <c r="L12" s="5">
        <f t="shared" si="2"/>
        <v>141.34718990967173</v>
      </c>
      <c r="M12" s="5">
        <f t="shared" si="3"/>
        <v>2556.7311511346111</v>
      </c>
      <c r="N12" s="5">
        <f t="shared" si="7"/>
        <v>5.4190350297422345</v>
      </c>
      <c r="O12" s="5">
        <f t="shared" si="4"/>
        <v>4589.9257435558493</v>
      </c>
      <c r="Q12" t="s">
        <v>72</v>
      </c>
      <c r="R12">
        <v>1790</v>
      </c>
      <c r="S12">
        <v>455</v>
      </c>
    </row>
    <row r="13" spans="2:19">
      <c r="B13" s="4">
        <v>1796</v>
      </c>
      <c r="C13" s="4"/>
      <c r="D13">
        <v>3043</v>
      </c>
      <c r="E13" s="1">
        <f t="shared" si="5"/>
        <v>3347.3</v>
      </c>
      <c r="F13" s="10">
        <f t="shared" si="8"/>
        <v>167.36500000000001</v>
      </c>
      <c r="G13">
        <v>77</v>
      </c>
      <c r="H13" s="1">
        <f t="shared" si="6"/>
        <v>3591.665</v>
      </c>
      <c r="I13" s="1"/>
      <c r="J13" s="5">
        <f t="shared" si="0"/>
        <v>142.16842439597562</v>
      </c>
      <c r="K13" s="5">
        <f t="shared" si="1"/>
        <v>1332.7960082984505</v>
      </c>
      <c r="L13" s="5">
        <f t="shared" si="2"/>
        <v>110.51682712785488</v>
      </c>
      <c r="M13" s="5">
        <f t="shared" si="3"/>
        <v>1999.0621307923918</v>
      </c>
      <c r="N13" s="5">
        <f t="shared" si="7"/>
        <v>6.0337078651685401</v>
      </c>
      <c r="O13" s="5">
        <f t="shared" si="4"/>
        <v>3590.5770984798414</v>
      </c>
      <c r="R13">
        <v>1792</v>
      </c>
      <c r="S13">
        <v>101</v>
      </c>
    </row>
    <row r="14" spans="2:19">
      <c r="B14" s="4">
        <v>1797</v>
      </c>
      <c r="C14" s="4"/>
      <c r="D14">
        <v>2594</v>
      </c>
      <c r="E14" s="1">
        <f t="shared" si="5"/>
        <v>2853.4</v>
      </c>
      <c r="F14" s="10">
        <f t="shared" si="8"/>
        <v>142.67000000000002</v>
      </c>
      <c r="G14">
        <v>77</v>
      </c>
      <c r="H14" s="1">
        <f t="shared" si="6"/>
        <v>3073.07</v>
      </c>
      <c r="I14" s="1"/>
      <c r="J14" s="5">
        <f t="shared" si="0"/>
        <v>121.6409436733495</v>
      </c>
      <c r="K14" s="5">
        <f t="shared" si="1"/>
        <v>1140.3556370713079</v>
      </c>
      <c r="L14" s="5">
        <f t="shared" si="2"/>
        <v>94.559471983549969</v>
      </c>
      <c r="M14" s="5">
        <f t="shared" si="3"/>
        <v>1710.4206161415877</v>
      </c>
      <c r="N14" s="5">
        <f t="shared" si="7"/>
        <v>5.1434236615994715</v>
      </c>
      <c r="O14" s="5">
        <f t="shared" si="4"/>
        <v>3072.1200925313947</v>
      </c>
      <c r="R14">
        <v>1797</v>
      </c>
      <c r="S14">
        <v>44</v>
      </c>
    </row>
    <row r="15" spans="2:19">
      <c r="B15" s="4">
        <v>1798</v>
      </c>
      <c r="C15" s="4"/>
      <c r="D15">
        <v>1549</v>
      </c>
      <c r="E15" s="1">
        <f t="shared" si="5"/>
        <v>1703.9</v>
      </c>
      <c r="F15" s="10">
        <f t="shared" si="8"/>
        <v>85.195000000000007</v>
      </c>
      <c r="G15">
        <v>77</v>
      </c>
      <c r="H15" s="1">
        <f t="shared" si="6"/>
        <v>1866.095</v>
      </c>
      <c r="I15" s="1"/>
      <c r="J15" s="5">
        <f t="shared" si="0"/>
        <v>73.865403906881099</v>
      </c>
      <c r="K15" s="5">
        <f t="shared" si="1"/>
        <v>692.47103143129914</v>
      </c>
      <c r="L15" s="5">
        <f t="shared" si="2"/>
        <v>57.420416024087537</v>
      </c>
      <c r="M15" s="5">
        <f t="shared" si="3"/>
        <v>1038.6380263641038</v>
      </c>
      <c r="N15" s="5">
        <f t="shared" si="7"/>
        <v>3.0713813615333776</v>
      </c>
      <c r="O15" s="5">
        <f t="shared" si="4"/>
        <v>1865.466259087905</v>
      </c>
      <c r="R15">
        <v>1803</v>
      </c>
      <c r="S15">
        <v>44</v>
      </c>
    </row>
    <row r="16" spans="2:19">
      <c r="B16" s="4">
        <v>1799</v>
      </c>
      <c r="C16" s="4"/>
      <c r="D16">
        <v>2806</v>
      </c>
      <c r="E16" s="1">
        <f t="shared" si="5"/>
        <v>3086.6000000000004</v>
      </c>
      <c r="F16" s="10">
        <f t="shared" si="8"/>
        <v>154.33000000000004</v>
      </c>
      <c r="G16">
        <v>77</v>
      </c>
      <c r="H16" s="1">
        <f t="shared" si="6"/>
        <v>3317.9300000000003</v>
      </c>
      <c r="I16" s="1"/>
      <c r="J16" s="5">
        <f t="shared" si="0"/>
        <v>131.33320628625984</v>
      </c>
      <c r="K16" s="5">
        <f t="shared" si="1"/>
        <v>1231.2183513255491</v>
      </c>
      <c r="L16" s="5">
        <f t="shared" si="2"/>
        <v>102.09390247484762</v>
      </c>
      <c r="M16" s="5">
        <f t="shared" si="3"/>
        <v>1846.7056965557761</v>
      </c>
      <c r="N16" s="5">
        <f t="shared" si="7"/>
        <v>5.5637805684071386</v>
      </c>
      <c r="O16" s="5">
        <f t="shared" si="4"/>
        <v>3316.91493721084</v>
      </c>
      <c r="R16">
        <v>1808</v>
      </c>
      <c r="S16">
        <v>156</v>
      </c>
    </row>
    <row r="17" spans="2:19">
      <c r="B17" s="4">
        <v>1800</v>
      </c>
      <c r="C17" s="4"/>
      <c r="D17">
        <v>2448</v>
      </c>
      <c r="E17" s="1">
        <f t="shared" si="5"/>
        <v>2692.8</v>
      </c>
      <c r="F17" s="10">
        <f t="shared" si="8"/>
        <v>134.64000000000001</v>
      </c>
      <c r="G17">
        <v>77</v>
      </c>
      <c r="H17" s="1">
        <f t="shared" si="6"/>
        <v>2904.44</v>
      </c>
      <c r="I17" s="1"/>
      <c r="J17" s="5">
        <f t="shared" si="0"/>
        <v>114.96608357200559</v>
      </c>
      <c r="K17" s="5">
        <f t="shared" si="1"/>
        <v>1077.7803715943305</v>
      </c>
      <c r="L17" s="5">
        <f t="shared" si="2"/>
        <v>89.370666079165744</v>
      </c>
      <c r="M17" s="5">
        <f t="shared" si="3"/>
        <v>1616.5639098186091</v>
      </c>
      <c r="N17" s="5">
        <f t="shared" si="7"/>
        <v>4.8539325842696632</v>
      </c>
      <c r="O17" s="5">
        <f t="shared" si="4"/>
        <v>2903.5349636483811</v>
      </c>
      <c r="R17">
        <v>1809</v>
      </c>
      <c r="S17">
        <v>182</v>
      </c>
    </row>
    <row r="18" spans="2:19">
      <c r="B18" s="4">
        <v>1801</v>
      </c>
      <c r="C18" s="4"/>
      <c r="D18">
        <v>920</v>
      </c>
      <c r="E18" s="1">
        <f t="shared" si="5"/>
        <v>1012.0000000000001</v>
      </c>
      <c r="F18" s="10">
        <f t="shared" si="8"/>
        <v>50.600000000000009</v>
      </c>
      <c r="G18">
        <v>77</v>
      </c>
      <c r="H18" s="1">
        <f t="shared" si="6"/>
        <v>1139.6000000000001</v>
      </c>
      <c r="I18" s="1"/>
      <c r="J18" s="5">
        <f t="shared" si="0"/>
        <v>45.108643607255644</v>
      </c>
      <c r="K18" s="5">
        <f t="shared" si="1"/>
        <v>422.88307262980101</v>
      </c>
      <c r="L18" s="5">
        <f t="shared" si="2"/>
        <v>35.065902915473309</v>
      </c>
      <c r="M18" s="5">
        <f t="shared" si="3"/>
        <v>634.28276419181918</v>
      </c>
      <c r="N18" s="5">
        <f t="shared" si="7"/>
        <v>1.8241903502974224</v>
      </c>
      <c r="O18" s="5">
        <f t="shared" si="4"/>
        <v>1139.1645736946466</v>
      </c>
      <c r="R18">
        <v>1811</v>
      </c>
      <c r="S18">
        <v>394</v>
      </c>
    </row>
    <row r="19" spans="2:19">
      <c r="B19" s="4">
        <v>1802</v>
      </c>
      <c r="C19" s="4"/>
      <c r="D19">
        <v>5387</v>
      </c>
      <c r="E19" s="1">
        <f t="shared" si="5"/>
        <v>5925.7000000000007</v>
      </c>
      <c r="F19" s="10">
        <f t="shared" si="8"/>
        <v>296.28500000000003</v>
      </c>
      <c r="G19">
        <v>77</v>
      </c>
      <c r="H19" s="1">
        <f t="shared" si="6"/>
        <v>6298.9850000000006</v>
      </c>
      <c r="I19" s="1"/>
      <c r="J19" s="5">
        <f t="shared" si="0"/>
        <v>249.33193177645592</v>
      </c>
      <c r="K19" s="5">
        <f t="shared" si="1"/>
        <v>2337.429037600059</v>
      </c>
      <c r="L19" s="5">
        <f t="shared" si="2"/>
        <v>193.82203972974958</v>
      </c>
      <c r="M19" s="5">
        <f t="shared" si="3"/>
        <v>3505.9122651832272</v>
      </c>
      <c r="N19" s="5">
        <f t="shared" si="7"/>
        <v>10.681427627230669</v>
      </c>
      <c r="O19" s="5">
        <f t="shared" si="4"/>
        <v>6297.1767019167219</v>
      </c>
      <c r="R19" t="s">
        <v>8</v>
      </c>
      <c r="S19">
        <f>SUM(S12:S18)</f>
        <v>1376</v>
      </c>
    </row>
    <row r="20" spans="2:19">
      <c r="B20" s="4">
        <v>1803</v>
      </c>
      <c r="C20" s="4"/>
      <c r="D20">
        <v>2715</v>
      </c>
      <c r="E20" s="1">
        <f t="shared" si="5"/>
        <v>2986.5000000000005</v>
      </c>
      <c r="F20" s="10">
        <f t="shared" si="8"/>
        <v>149.32500000000002</v>
      </c>
      <c r="G20">
        <v>77</v>
      </c>
      <c r="H20" s="1">
        <f t="shared" si="6"/>
        <v>3212.8250000000003</v>
      </c>
      <c r="I20" s="1"/>
      <c r="J20" s="5">
        <f t="shared" si="0"/>
        <v>127.17284827788795</v>
      </c>
      <c r="K20" s="5">
        <f t="shared" si="1"/>
        <v>1192.2159598296248</v>
      </c>
      <c r="L20" s="5">
        <f t="shared" si="2"/>
        <v>98.859783726224578</v>
      </c>
      <c r="M20" s="5">
        <f t="shared" si="3"/>
        <v>1788.2059686421387</v>
      </c>
      <c r="N20" s="5">
        <f t="shared" si="7"/>
        <v>5.3833443489755455</v>
      </c>
      <c r="O20" s="5">
        <f t="shared" si="4"/>
        <v>3211.8379048248516</v>
      </c>
    </row>
    <row r="21" spans="2:19">
      <c r="B21" s="4">
        <v>1804</v>
      </c>
      <c r="C21" s="4"/>
      <c r="D21">
        <v>4045</v>
      </c>
      <c r="E21" s="1">
        <f t="shared" si="5"/>
        <v>4449.5</v>
      </c>
      <c r="F21" s="10">
        <f t="shared" si="8"/>
        <v>222.47500000000002</v>
      </c>
      <c r="G21">
        <v>77</v>
      </c>
      <c r="H21" s="1">
        <f t="shared" si="6"/>
        <v>4748.9750000000004</v>
      </c>
      <c r="I21" s="1"/>
      <c r="J21" s="5">
        <f t="shared" si="0"/>
        <v>187.97808070793863</v>
      </c>
      <c r="K21" s="5">
        <f t="shared" si="1"/>
        <v>1762.2509124623632</v>
      </c>
      <c r="L21" s="5">
        <f t="shared" si="2"/>
        <v>146.12767312917677</v>
      </c>
      <c r="M21" s="5">
        <f t="shared" si="3"/>
        <v>2643.2019919953</v>
      </c>
      <c r="N21" s="5">
        <f t="shared" si="7"/>
        <v>8.0204890945142111</v>
      </c>
      <c r="O21" s="5">
        <f t="shared" si="4"/>
        <v>4747.5791473892923</v>
      </c>
    </row>
    <row r="22" spans="2:19">
      <c r="B22" s="4">
        <v>1805</v>
      </c>
      <c r="C22" s="4"/>
      <c r="D22">
        <v>2019</v>
      </c>
      <c r="E22" s="1">
        <f t="shared" si="5"/>
        <v>2220.9</v>
      </c>
      <c r="F22" s="10">
        <f t="shared" si="8"/>
        <v>111.04500000000002</v>
      </c>
      <c r="G22">
        <v>300</v>
      </c>
      <c r="H22" s="1">
        <f t="shared" si="6"/>
        <v>2631.9450000000002</v>
      </c>
      <c r="I22" s="1"/>
      <c r="J22" s="5">
        <f t="shared" si="0"/>
        <v>104.17994822648161</v>
      </c>
      <c r="K22" s="5">
        <f t="shared" si="1"/>
        <v>976.66285415289713</v>
      </c>
      <c r="L22" s="5">
        <f t="shared" si="2"/>
        <v>80.985896673276059</v>
      </c>
      <c r="M22" s="5">
        <f t="shared" si="3"/>
        <v>1464.897639347874</v>
      </c>
      <c r="N22" s="5">
        <f t="shared" si="7"/>
        <v>4.0033046926635825</v>
      </c>
      <c r="O22" s="5">
        <f t="shared" si="4"/>
        <v>2630.7296430931929</v>
      </c>
    </row>
    <row r="23" spans="2:19">
      <c r="B23" s="4">
        <v>1806</v>
      </c>
      <c r="C23" s="4"/>
      <c r="D23">
        <v>1989</v>
      </c>
      <c r="E23" s="1">
        <f t="shared" si="5"/>
        <v>2187.9</v>
      </c>
      <c r="F23" s="10">
        <f t="shared" si="8"/>
        <v>109.39500000000001</v>
      </c>
      <c r="G23">
        <v>77</v>
      </c>
      <c r="H23" s="1">
        <f t="shared" si="6"/>
        <v>2374.2950000000001</v>
      </c>
      <c r="I23" s="1"/>
      <c r="J23" s="5"/>
      <c r="K23" s="5">
        <f t="shared" ref="K23:K36" si="9">H23*$J$82</f>
        <v>416.57434864457832</v>
      </c>
      <c r="L23" s="5"/>
      <c r="M23" s="5">
        <v>1957</v>
      </c>
      <c r="N23" s="5">
        <v>0</v>
      </c>
      <c r="O23" s="5">
        <f t="shared" si="4"/>
        <v>2373.5743486445781</v>
      </c>
    </row>
    <row r="24" spans="2:19">
      <c r="B24" s="4">
        <v>1807</v>
      </c>
      <c r="C24" s="4"/>
      <c r="D24">
        <v>2689</v>
      </c>
      <c r="E24" s="1">
        <f t="shared" si="5"/>
        <v>2957.9</v>
      </c>
      <c r="F24" s="10">
        <f t="shared" si="8"/>
        <v>147.89500000000001</v>
      </c>
      <c r="G24">
        <v>77</v>
      </c>
      <c r="H24" s="1">
        <f t="shared" si="6"/>
        <v>3182.7950000000001</v>
      </c>
      <c r="I24" s="1"/>
      <c r="J24" s="5"/>
      <c r="K24" s="5">
        <f t="shared" si="9"/>
        <v>558.42713478915664</v>
      </c>
      <c r="L24" s="5"/>
      <c r="M24" s="5">
        <v>2623</v>
      </c>
      <c r="N24" s="5">
        <v>0</v>
      </c>
      <c r="O24" s="5">
        <f t="shared" si="4"/>
        <v>3181.4271347891568</v>
      </c>
    </row>
    <row r="25" spans="2:19">
      <c r="B25" s="4">
        <v>1808</v>
      </c>
      <c r="C25" s="4"/>
      <c r="D25">
        <v>611</v>
      </c>
      <c r="E25" s="1">
        <f t="shared" si="5"/>
        <v>672.1</v>
      </c>
      <c r="F25" s="10">
        <f>S16</f>
        <v>156</v>
      </c>
      <c r="G25">
        <v>77</v>
      </c>
      <c r="H25" s="1">
        <f t="shared" si="6"/>
        <v>905.1</v>
      </c>
      <c r="I25" s="1"/>
      <c r="J25" s="5"/>
      <c r="K25" s="5">
        <f t="shared" si="9"/>
        <v>158.80143072289155</v>
      </c>
      <c r="L25" s="5"/>
      <c r="M25" s="5">
        <f t="shared" ref="M25:M36" si="10">H25*$J$84</f>
        <v>354.74740210843373</v>
      </c>
      <c r="N25" s="5">
        <f t="shared" ref="N25:N36" si="11">H25*$J$83</f>
        <v>391.55116716867468</v>
      </c>
      <c r="O25" s="5">
        <f t="shared" si="4"/>
        <v>905.09999999999991</v>
      </c>
    </row>
    <row r="26" spans="2:19">
      <c r="B26" s="4">
        <v>1809</v>
      </c>
      <c r="C26" s="4"/>
      <c r="D26">
        <v>231</v>
      </c>
      <c r="E26" s="1">
        <f t="shared" si="5"/>
        <v>254.10000000000002</v>
      </c>
      <c r="F26" s="10">
        <f>S17</f>
        <v>182</v>
      </c>
      <c r="G26">
        <v>77</v>
      </c>
      <c r="H26" s="1">
        <f t="shared" si="6"/>
        <v>513.1</v>
      </c>
      <c r="I26" s="1"/>
      <c r="J26" s="5"/>
      <c r="K26" s="5">
        <f t="shared" si="9"/>
        <v>90.024322289156629</v>
      </c>
      <c r="L26" s="5"/>
      <c r="M26" s="5">
        <f t="shared" si="10"/>
        <v>201.10583584337348</v>
      </c>
      <c r="N26" s="5">
        <f t="shared" si="11"/>
        <v>221.96984186746988</v>
      </c>
      <c r="O26" s="5">
        <f t="shared" si="4"/>
        <v>513.1</v>
      </c>
    </row>
    <row r="27" spans="2:19">
      <c r="B27" s="4">
        <v>1810</v>
      </c>
      <c r="C27" s="4"/>
      <c r="D27">
        <v>641</v>
      </c>
      <c r="E27" s="1">
        <f t="shared" si="5"/>
        <v>705.1</v>
      </c>
      <c r="F27" s="10">
        <f t="shared" si="8"/>
        <v>35.255000000000003</v>
      </c>
      <c r="G27">
        <v>77</v>
      </c>
      <c r="H27" s="1">
        <f t="shared" si="6"/>
        <v>817.35500000000002</v>
      </c>
      <c r="I27" s="1"/>
      <c r="J27" s="5"/>
      <c r="K27" s="5">
        <f t="shared" si="9"/>
        <v>143.40641189759035</v>
      </c>
      <c r="L27" s="5"/>
      <c r="M27" s="5">
        <f t="shared" si="10"/>
        <v>320.35638365963854</v>
      </c>
      <c r="N27" s="5">
        <f t="shared" si="11"/>
        <v>353.59220444277111</v>
      </c>
      <c r="O27" s="5">
        <f t="shared" si="4"/>
        <v>817.35500000000002</v>
      </c>
    </row>
    <row r="28" spans="2:19">
      <c r="B28" s="4">
        <v>1811</v>
      </c>
      <c r="C28" s="4"/>
      <c r="D28">
        <v>1662</v>
      </c>
      <c r="E28" s="1">
        <f t="shared" si="5"/>
        <v>1828.2</v>
      </c>
      <c r="F28" s="10">
        <f>S18</f>
        <v>394</v>
      </c>
      <c r="H28" s="1">
        <f t="shared" si="6"/>
        <v>2222.1999999999998</v>
      </c>
      <c r="I28" s="1"/>
      <c r="J28" s="5"/>
      <c r="K28" s="5">
        <f t="shared" si="9"/>
        <v>389.88900602409632</v>
      </c>
      <c r="L28" s="5"/>
      <c r="M28" s="5">
        <f t="shared" si="10"/>
        <v>870.97522590361439</v>
      </c>
      <c r="N28" s="5">
        <f t="shared" si="11"/>
        <v>961.33576807228906</v>
      </c>
      <c r="O28" s="5">
        <f t="shared" si="4"/>
        <v>2222.1999999999998</v>
      </c>
    </row>
    <row r="29" spans="2:19">
      <c r="B29" s="4">
        <v>1812</v>
      </c>
      <c r="C29" s="4"/>
      <c r="D29">
        <v>124</v>
      </c>
      <c r="E29" s="1">
        <f t="shared" si="5"/>
        <v>136.4</v>
      </c>
      <c r="F29" s="10">
        <f t="shared" si="8"/>
        <v>6.82</v>
      </c>
      <c r="H29" s="1">
        <f t="shared" si="6"/>
        <v>143.22</v>
      </c>
      <c r="I29" s="1"/>
      <c r="J29" s="5"/>
      <c r="K29" s="5">
        <f t="shared" si="9"/>
        <v>25.128207831325298</v>
      </c>
      <c r="L29" s="5"/>
      <c r="M29" s="5">
        <f t="shared" si="10"/>
        <v>56.134043674698795</v>
      </c>
      <c r="N29" s="5">
        <f t="shared" si="11"/>
        <v>61.957748493975899</v>
      </c>
      <c r="O29" s="5">
        <f t="shared" si="4"/>
        <v>143.21999999999997</v>
      </c>
    </row>
    <row r="30" spans="2:19">
      <c r="B30" s="4">
        <v>1813</v>
      </c>
      <c r="C30" s="4"/>
      <c r="D30">
        <v>7</v>
      </c>
      <c r="E30" s="1">
        <f t="shared" si="5"/>
        <v>7.7000000000000011</v>
      </c>
      <c r="F30" s="10">
        <f t="shared" si="8"/>
        <v>0.38500000000000006</v>
      </c>
      <c r="H30" s="1">
        <f t="shared" si="6"/>
        <v>8.0850000000000009</v>
      </c>
      <c r="I30" s="1"/>
      <c r="J30" s="5"/>
      <c r="K30" s="5">
        <f t="shared" si="9"/>
        <v>1.4185278614457832</v>
      </c>
      <c r="L30" s="5"/>
      <c r="M30" s="5">
        <f t="shared" si="10"/>
        <v>3.1688573042168677</v>
      </c>
      <c r="N30" s="5">
        <f t="shared" si="11"/>
        <v>3.4976148343373499</v>
      </c>
      <c r="O30" s="5">
        <f t="shared" si="4"/>
        <v>8.0850000000000009</v>
      </c>
    </row>
    <row r="31" spans="2:19">
      <c r="B31" s="4">
        <v>1814</v>
      </c>
      <c r="C31" s="4"/>
      <c r="D31">
        <v>15</v>
      </c>
      <c r="E31" s="1">
        <f t="shared" si="5"/>
        <v>16.5</v>
      </c>
      <c r="F31" s="10">
        <f t="shared" si="8"/>
        <v>0.82500000000000007</v>
      </c>
      <c r="H31" s="1">
        <f t="shared" si="6"/>
        <v>17.324999999999999</v>
      </c>
      <c r="I31" s="1"/>
      <c r="J31" s="5"/>
      <c r="K31" s="5">
        <f t="shared" si="9"/>
        <v>3.0397025602409635</v>
      </c>
      <c r="L31" s="5"/>
      <c r="M31" s="5">
        <f t="shared" si="10"/>
        <v>6.7904085090361441</v>
      </c>
      <c r="N31" s="5">
        <f t="shared" si="11"/>
        <v>7.4948889307228912</v>
      </c>
      <c r="O31" s="5">
        <f t="shared" si="4"/>
        <v>17.324999999999999</v>
      </c>
    </row>
    <row r="32" spans="2:19">
      <c r="B32" s="4">
        <v>1815</v>
      </c>
      <c r="C32" s="4"/>
      <c r="D32">
        <v>113</v>
      </c>
      <c r="E32" s="1">
        <f t="shared" si="5"/>
        <v>124.30000000000001</v>
      </c>
      <c r="F32" s="10">
        <f t="shared" si="8"/>
        <v>6.2150000000000007</v>
      </c>
      <c r="H32" s="1">
        <f t="shared" si="6"/>
        <v>130.51500000000001</v>
      </c>
      <c r="I32" s="1"/>
      <c r="J32" s="5"/>
      <c r="K32" s="5">
        <f t="shared" si="9"/>
        <v>22.89909262048193</v>
      </c>
      <c r="L32" s="5"/>
      <c r="M32" s="5">
        <f t="shared" si="10"/>
        <v>51.154410768072296</v>
      </c>
      <c r="N32" s="5">
        <f t="shared" si="11"/>
        <v>56.461496611445789</v>
      </c>
      <c r="O32" s="5">
        <f t="shared" si="4"/>
        <v>130.51500000000001</v>
      </c>
    </row>
    <row r="33" spans="1:15">
      <c r="B33" s="4">
        <v>1816</v>
      </c>
      <c r="C33" s="4"/>
      <c r="D33">
        <v>113</v>
      </c>
      <c r="E33" s="1">
        <f t="shared" si="5"/>
        <v>124.30000000000001</v>
      </c>
      <c r="F33" s="10">
        <f t="shared" si="8"/>
        <v>6.2150000000000007</v>
      </c>
      <c r="H33" s="1">
        <f t="shared" si="6"/>
        <v>130.51500000000001</v>
      </c>
      <c r="I33" s="1"/>
      <c r="J33" s="5"/>
      <c r="K33" s="5">
        <f t="shared" si="9"/>
        <v>22.89909262048193</v>
      </c>
      <c r="L33" s="5"/>
      <c r="M33" s="5">
        <f t="shared" si="10"/>
        <v>51.154410768072296</v>
      </c>
      <c r="N33" s="5">
        <f t="shared" si="11"/>
        <v>56.461496611445789</v>
      </c>
      <c r="O33" s="5">
        <f t="shared" si="4"/>
        <v>130.51500000000001</v>
      </c>
    </row>
    <row r="34" spans="1:15">
      <c r="B34" s="4">
        <v>1817</v>
      </c>
      <c r="C34" s="4"/>
      <c r="D34">
        <v>576</v>
      </c>
      <c r="E34" s="1">
        <f t="shared" si="5"/>
        <v>633.6</v>
      </c>
      <c r="F34" s="10">
        <f t="shared" si="8"/>
        <v>31.680000000000003</v>
      </c>
      <c r="H34" s="1">
        <f t="shared" si="6"/>
        <v>665.28</v>
      </c>
      <c r="I34" s="1"/>
      <c r="J34" s="5"/>
      <c r="K34" s="5">
        <f t="shared" si="9"/>
        <v>116.72457831325301</v>
      </c>
      <c r="L34" s="5"/>
      <c r="M34" s="5">
        <f t="shared" si="10"/>
        <v>260.75168674698796</v>
      </c>
      <c r="N34" s="5">
        <f t="shared" si="11"/>
        <v>287.80373493975901</v>
      </c>
      <c r="O34" s="5">
        <f t="shared" si="4"/>
        <v>665.28</v>
      </c>
    </row>
    <row r="35" spans="1:15">
      <c r="B35" s="4">
        <v>1818</v>
      </c>
      <c r="C35" s="4"/>
      <c r="D35">
        <v>656</v>
      </c>
      <c r="E35" s="1">
        <f t="shared" si="5"/>
        <v>721.6</v>
      </c>
      <c r="F35" s="10">
        <f t="shared" si="8"/>
        <v>36.080000000000005</v>
      </c>
      <c r="H35" s="1">
        <f t="shared" si="6"/>
        <v>757.68000000000006</v>
      </c>
      <c r="I35" s="1"/>
      <c r="J35" s="5"/>
      <c r="K35" s="5">
        <f t="shared" si="9"/>
        <v>132.93632530120482</v>
      </c>
      <c r="L35" s="5"/>
      <c r="M35" s="5">
        <f t="shared" si="10"/>
        <v>296.96719879518076</v>
      </c>
      <c r="N35" s="5">
        <f t="shared" si="11"/>
        <v>327.77647590361448</v>
      </c>
      <c r="O35" s="5">
        <f t="shared" si="4"/>
        <v>757.68000000000006</v>
      </c>
    </row>
    <row r="36" spans="1:15">
      <c r="B36" s="4">
        <v>1819</v>
      </c>
      <c r="C36" s="4"/>
      <c r="D36">
        <v>0</v>
      </c>
      <c r="E36" s="1">
        <f t="shared" si="5"/>
        <v>0</v>
      </c>
      <c r="F36" s="10">
        <f t="shared" si="8"/>
        <v>0</v>
      </c>
      <c r="H36" s="1">
        <f t="shared" si="6"/>
        <v>0</v>
      </c>
      <c r="I36" s="1"/>
      <c r="J36" s="5"/>
      <c r="K36" s="5">
        <f t="shared" si="9"/>
        <v>0</v>
      </c>
      <c r="L36" s="5"/>
      <c r="M36" s="5">
        <f t="shared" si="10"/>
        <v>0</v>
      </c>
      <c r="N36" s="5">
        <f t="shared" si="11"/>
        <v>0</v>
      </c>
      <c r="O36" s="5">
        <f t="shared" si="4"/>
        <v>0</v>
      </c>
    </row>
    <row r="37" spans="1:15">
      <c r="B37" s="4">
        <v>1820</v>
      </c>
      <c r="C37" s="4"/>
      <c r="D37">
        <v>0</v>
      </c>
      <c r="E37" s="1">
        <f t="shared" si="5"/>
        <v>0</v>
      </c>
      <c r="F37" s="10">
        <v>0</v>
      </c>
      <c r="H37" s="1">
        <v>0</v>
      </c>
      <c r="I37" s="1"/>
      <c r="J37" s="5"/>
      <c r="K37" s="5">
        <v>0</v>
      </c>
      <c r="L37" s="5"/>
      <c r="M37" s="5">
        <v>0</v>
      </c>
      <c r="N37" s="5">
        <v>0</v>
      </c>
      <c r="O37" s="5">
        <f t="shared" si="4"/>
        <v>0</v>
      </c>
    </row>
    <row r="38" spans="1:15">
      <c r="B38" s="4" t="s">
        <v>110</v>
      </c>
      <c r="D38">
        <f>SUM(D7:D35)</f>
        <v>54842</v>
      </c>
      <c r="E38" s="1">
        <f>SUM(E7:E36)</f>
        <v>60326.200000000004</v>
      </c>
      <c r="F38" s="10">
        <f>SUM(F7:F36)</f>
        <v>3938.5400000000004</v>
      </c>
      <c r="G38">
        <f>SUM(G7:G35)</f>
        <v>10000</v>
      </c>
      <c r="H38" s="1">
        <f>SUM(H7:H36)</f>
        <v>74264.740000000005</v>
      </c>
      <c r="I38" s="1"/>
      <c r="J38" s="5">
        <f>SUM(J7:J35)</f>
        <v>2469.8634959976503</v>
      </c>
      <c r="K38" s="5">
        <f>SUM(K7:K36)</f>
        <v>25236.565668073545</v>
      </c>
      <c r="L38" s="5">
        <f>SUM(L7:L35)</f>
        <v>1919.9866508775795</v>
      </c>
      <c r="M38" s="5">
        <f>SUM(M7:M36)</f>
        <v>41782.610940456449</v>
      </c>
      <c r="N38" s="5">
        <f>SUM(N7:N36)</f>
        <v>2824.161525781331</v>
      </c>
      <c r="O38" s="5">
        <f t="shared" si="4"/>
        <v>74233.188281186551</v>
      </c>
    </row>
    <row r="39" spans="1:15">
      <c r="B39" s="4" t="s">
        <v>18</v>
      </c>
      <c r="H39" s="1"/>
      <c r="I39" s="1"/>
      <c r="K39" s="5">
        <v>48374.942999999999</v>
      </c>
    </row>
    <row r="40" spans="1:15">
      <c r="B40" s="4" t="s">
        <v>6</v>
      </c>
      <c r="K40" s="5">
        <f>SUM(K38:K39)</f>
        <v>73611.50866807354</v>
      </c>
    </row>
    <row r="41" spans="1:15">
      <c r="B41" s="4"/>
      <c r="K41" s="5"/>
    </row>
    <row r="42" spans="1:15">
      <c r="B42" s="4"/>
      <c r="K42" s="5"/>
    </row>
    <row r="43" spans="1:15">
      <c r="A43" s="4" t="s">
        <v>111</v>
      </c>
    </row>
    <row r="44" spans="1:15">
      <c r="A44" s="4"/>
      <c r="C44" t="s">
        <v>544</v>
      </c>
      <c r="G44" t="s">
        <v>545</v>
      </c>
    </row>
    <row r="45" spans="1:15">
      <c r="C45" t="s">
        <v>112</v>
      </c>
      <c r="D45">
        <v>158</v>
      </c>
      <c r="G45" s="2" t="s">
        <v>13</v>
      </c>
      <c r="H45">
        <f>D45+D46+D62+D76</f>
        <v>539</v>
      </c>
      <c r="J45">
        <f>H45/$H$51</f>
        <v>3.9582874348241169E-2</v>
      </c>
    </row>
    <row r="46" spans="1:15">
      <c r="C46" t="s">
        <v>113</v>
      </c>
      <c r="D46">
        <v>8</v>
      </c>
      <c r="G46" s="2" t="s">
        <v>120</v>
      </c>
      <c r="H46">
        <f>D47+D48+D49+D52+D55+D57+D58+D72</f>
        <v>953</v>
      </c>
      <c r="K46" s="7" t="s">
        <v>121</v>
      </c>
    </row>
    <row r="47" spans="1:15">
      <c r="C47" t="s">
        <v>63</v>
      </c>
      <c r="D47">
        <v>6</v>
      </c>
      <c r="G47" s="2" t="s">
        <v>10</v>
      </c>
      <c r="H47">
        <f>D59+D50</f>
        <v>419</v>
      </c>
      <c r="J47">
        <f>H47/$H$51</f>
        <v>3.0770360578688403E-2</v>
      </c>
    </row>
    <row r="48" spans="1:15">
      <c r="C48" t="s">
        <v>114</v>
      </c>
      <c r="D48">
        <v>5</v>
      </c>
      <c r="G48" s="2" t="s">
        <v>124</v>
      </c>
      <c r="H48">
        <f>D51+D53+D54+SUM(D63:D67)+SUM(D69:D71)+SUM(D73:D75)</f>
        <v>5053</v>
      </c>
      <c r="J48">
        <f>H48/$H$51</f>
        <v>0.37108026731291766</v>
      </c>
    </row>
    <row r="49" spans="3:10">
      <c r="C49" t="s">
        <v>55</v>
      </c>
      <c r="D49">
        <v>3</v>
      </c>
      <c r="G49" s="2" t="s">
        <v>101</v>
      </c>
      <c r="H49">
        <f>D56</f>
        <v>27</v>
      </c>
      <c r="J49">
        <f>H49/$H$51</f>
        <v>1.9828155981493722E-3</v>
      </c>
    </row>
    <row r="50" spans="3:10">
      <c r="C50" t="s">
        <v>115</v>
      </c>
      <c r="D50">
        <v>49</v>
      </c>
      <c r="G50" s="2" t="s">
        <v>127</v>
      </c>
      <c r="H50">
        <f>D60+D61+D68</f>
        <v>7579</v>
      </c>
      <c r="J50">
        <f>H50/$H$51</f>
        <v>0.55658368216200338</v>
      </c>
    </row>
    <row r="51" spans="3:10">
      <c r="C51" t="s">
        <v>116</v>
      </c>
      <c r="D51">
        <v>30</v>
      </c>
      <c r="G51" s="2"/>
      <c r="H51">
        <f>SUM(H45:H50)-H46</f>
        <v>13617</v>
      </c>
      <c r="J51">
        <f>H51/$H$51</f>
        <v>1</v>
      </c>
    </row>
    <row r="52" spans="3:10">
      <c r="C52" t="s">
        <v>59</v>
      </c>
      <c r="D52">
        <v>54</v>
      </c>
    </row>
    <row r="53" spans="3:10">
      <c r="C53" t="s">
        <v>73</v>
      </c>
      <c r="D53">
        <v>2421</v>
      </c>
    </row>
    <row r="54" spans="3:10">
      <c r="C54" t="s">
        <v>117</v>
      </c>
      <c r="D54">
        <v>30</v>
      </c>
    </row>
    <row r="55" spans="3:10">
      <c r="C55" t="s">
        <v>118</v>
      </c>
      <c r="D55">
        <v>81</v>
      </c>
    </row>
    <row r="56" spans="3:10">
      <c r="C56" t="s">
        <v>119</v>
      </c>
      <c r="D56">
        <v>27</v>
      </c>
    </row>
    <row r="57" spans="3:10">
      <c r="C57" t="s">
        <v>122</v>
      </c>
      <c r="D57">
        <v>317</v>
      </c>
    </row>
    <row r="58" spans="3:10">
      <c r="C58" t="s">
        <v>123</v>
      </c>
      <c r="D58">
        <v>477</v>
      </c>
    </row>
    <row r="59" spans="3:10">
      <c r="C59" t="s">
        <v>125</v>
      </c>
      <c r="D59">
        <v>370</v>
      </c>
    </row>
    <row r="60" spans="3:10">
      <c r="C60" t="s">
        <v>126</v>
      </c>
      <c r="D60">
        <v>5161</v>
      </c>
    </row>
    <row r="61" spans="3:10">
      <c r="C61" t="s">
        <v>128</v>
      </c>
      <c r="D61">
        <v>191</v>
      </c>
    </row>
    <row r="62" spans="3:10">
      <c r="C62" t="s">
        <v>129</v>
      </c>
      <c r="D62">
        <v>274</v>
      </c>
    </row>
    <row r="63" spans="3:10">
      <c r="C63" t="s">
        <v>130</v>
      </c>
      <c r="D63">
        <v>88</v>
      </c>
    </row>
    <row r="64" spans="3:10">
      <c r="C64" t="s">
        <v>74</v>
      </c>
      <c r="D64">
        <v>125</v>
      </c>
    </row>
    <row r="65" spans="1:7">
      <c r="C65" t="s">
        <v>131</v>
      </c>
      <c r="D65">
        <v>14</v>
      </c>
    </row>
    <row r="66" spans="1:7">
      <c r="C66" t="s">
        <v>132</v>
      </c>
      <c r="D66">
        <v>6</v>
      </c>
    </row>
    <row r="67" spans="1:7">
      <c r="C67" t="s">
        <v>133</v>
      </c>
      <c r="D67">
        <v>57</v>
      </c>
    </row>
    <row r="68" spans="1:7">
      <c r="C68" t="s">
        <v>134</v>
      </c>
      <c r="D68">
        <v>2227</v>
      </c>
    </row>
    <row r="69" spans="1:7">
      <c r="C69" t="s">
        <v>135</v>
      </c>
      <c r="D69">
        <v>1523</v>
      </c>
    </row>
    <row r="70" spans="1:7">
      <c r="C70" t="s">
        <v>136</v>
      </c>
      <c r="D70">
        <v>104</v>
      </c>
    </row>
    <row r="71" spans="1:7">
      <c r="C71" t="s">
        <v>137</v>
      </c>
      <c r="D71">
        <v>49</v>
      </c>
    </row>
    <row r="72" spans="1:7">
      <c r="C72" t="s">
        <v>138</v>
      </c>
      <c r="D72">
        <v>10</v>
      </c>
    </row>
    <row r="73" spans="1:7">
      <c r="C73" t="s">
        <v>139</v>
      </c>
      <c r="D73">
        <v>3</v>
      </c>
    </row>
    <row r="74" spans="1:7">
      <c r="C74" t="s">
        <v>140</v>
      </c>
      <c r="D74">
        <v>583</v>
      </c>
    </row>
    <row r="75" spans="1:7">
      <c r="C75" t="s">
        <v>89</v>
      </c>
      <c r="D75">
        <v>20</v>
      </c>
    </row>
    <row r="76" spans="1:7">
      <c r="C76" t="s">
        <v>82</v>
      </c>
      <c r="D76">
        <v>99</v>
      </c>
    </row>
    <row r="77" spans="1:7">
      <c r="C77" t="s">
        <v>8</v>
      </c>
      <c r="D77">
        <f>SUM(D45:D76)</f>
        <v>14570</v>
      </c>
    </row>
    <row r="79" spans="1:7">
      <c r="A79" s="4" t="s">
        <v>141</v>
      </c>
    </row>
    <row r="80" spans="1:7">
      <c r="A80" s="4"/>
      <c r="C80" t="s">
        <v>544</v>
      </c>
      <c r="G80" t="s">
        <v>545</v>
      </c>
    </row>
    <row r="81" spans="3:11">
      <c r="C81" t="s">
        <v>142</v>
      </c>
      <c r="D81">
        <v>512</v>
      </c>
      <c r="G81" s="2" t="s">
        <v>120</v>
      </c>
      <c r="H81">
        <f>D83</f>
        <v>2291</v>
      </c>
      <c r="K81" s="7" t="s">
        <v>121</v>
      </c>
    </row>
    <row r="82" spans="3:11">
      <c r="C82" t="s">
        <v>143</v>
      </c>
      <c r="D82">
        <v>637</v>
      </c>
      <c r="G82" s="2" t="s">
        <v>124</v>
      </c>
      <c r="H82">
        <f>SUM(D86:D89)</f>
        <v>466</v>
      </c>
      <c r="J82">
        <f>H82/$H$85</f>
        <v>0.17545180722891565</v>
      </c>
    </row>
    <row r="83" spans="3:11">
      <c r="C83" t="s">
        <v>123</v>
      </c>
      <c r="D83">
        <v>2291</v>
      </c>
      <c r="G83" s="2" t="s">
        <v>101</v>
      </c>
      <c r="H83">
        <f>D81+D82</f>
        <v>1149</v>
      </c>
      <c r="J83">
        <f>H83/$H$85</f>
        <v>0.43260542168674698</v>
      </c>
    </row>
    <row r="84" spans="3:11">
      <c r="C84" t="s">
        <v>126</v>
      </c>
      <c r="D84">
        <v>482</v>
      </c>
      <c r="G84" s="2" t="s">
        <v>127</v>
      </c>
      <c r="H84">
        <f>D84+D85</f>
        <v>1041</v>
      </c>
      <c r="J84">
        <f>H84/$H$85</f>
        <v>0.39194277108433734</v>
      </c>
    </row>
    <row r="85" spans="3:11">
      <c r="C85" t="s">
        <v>128</v>
      </c>
      <c r="D85">
        <v>559</v>
      </c>
      <c r="H85">
        <f>SUM(H82:H84)</f>
        <v>2656</v>
      </c>
      <c r="J85">
        <f>H85/$H$85</f>
        <v>1</v>
      </c>
    </row>
    <row r="86" spans="3:11">
      <c r="C86" t="s">
        <v>132</v>
      </c>
      <c r="D86">
        <v>374</v>
      </c>
    </row>
    <row r="87" spans="3:11">
      <c r="C87" t="s">
        <v>133</v>
      </c>
      <c r="D87">
        <v>44</v>
      </c>
    </row>
    <row r="88" spans="3:11">
      <c r="C88" t="s">
        <v>135</v>
      </c>
      <c r="D88">
        <v>4</v>
      </c>
    </row>
    <row r="89" spans="3:11">
      <c r="C89" t="s">
        <v>139</v>
      </c>
      <c r="D89">
        <v>44</v>
      </c>
    </row>
    <row r="90" spans="3:11">
      <c r="D90">
        <f>SUM(D81:D89)</f>
        <v>4947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1"/>
  <sheetViews>
    <sheetView workbookViewId="0">
      <selection activeCell="F17" sqref="F17"/>
    </sheetView>
  </sheetViews>
  <sheetFormatPr baseColWidth="10" defaultRowHeight="15" x14ac:dyDescent="0"/>
  <cols>
    <col min="3" max="3" width="17.1640625" customWidth="1"/>
    <col min="4" max="4" width="12.5" customWidth="1"/>
    <col min="7" max="7" width="16.6640625" customWidth="1"/>
    <col min="8" max="8" width="21.5" customWidth="1"/>
  </cols>
  <sheetData>
    <row r="2" spans="1:6">
      <c r="B2" s="4" t="s">
        <v>553</v>
      </c>
    </row>
    <row r="3" spans="1:6">
      <c r="B3" s="4"/>
    </row>
    <row r="4" spans="1:6" ht="15" customHeight="1">
      <c r="A4" s="4" t="s">
        <v>70</v>
      </c>
    </row>
    <row r="5" spans="1:6" ht="15" customHeight="1">
      <c r="A5" s="4"/>
    </row>
    <row r="6" spans="1:6">
      <c r="B6" s="21" t="s">
        <v>147</v>
      </c>
      <c r="C6" s="21" t="s">
        <v>148</v>
      </c>
      <c r="D6" s="21" t="s">
        <v>509</v>
      </c>
    </row>
    <row r="7" spans="1:6">
      <c r="B7" s="56" t="s">
        <v>146</v>
      </c>
      <c r="C7" s="22"/>
      <c r="D7" s="23"/>
    </row>
    <row r="8" spans="1:6" ht="16" thickBot="1">
      <c r="B8" s="53"/>
      <c r="C8" s="24">
        <f>I191</f>
        <v>12847</v>
      </c>
      <c r="D8" s="25">
        <f>C8*2.24</f>
        <v>28777.280000000002</v>
      </c>
      <c r="F8" s="19" t="s">
        <v>549</v>
      </c>
    </row>
    <row r="9" spans="1:6">
      <c r="B9" s="52" t="s">
        <v>4</v>
      </c>
      <c r="C9" s="26"/>
      <c r="D9" s="27"/>
    </row>
    <row r="10" spans="1:6" ht="16" thickBot="1">
      <c r="B10" s="53"/>
      <c r="C10" s="24"/>
      <c r="D10" s="25">
        <f>+(2189+11400)</f>
        <v>13589</v>
      </c>
      <c r="F10" t="s">
        <v>552</v>
      </c>
    </row>
    <row r="11" spans="1:6">
      <c r="B11" s="54" t="s">
        <v>5</v>
      </c>
      <c r="C11" s="28"/>
      <c r="D11" s="27"/>
    </row>
    <row r="12" spans="1:6" ht="16" thickBot="1">
      <c r="B12" s="55"/>
      <c r="C12" s="24">
        <v>0</v>
      </c>
      <c r="D12" s="29">
        <v>28200</v>
      </c>
      <c r="F12" t="s">
        <v>551</v>
      </c>
    </row>
    <row r="13" spans="1:6">
      <c r="B13" s="52" t="s">
        <v>6</v>
      </c>
      <c r="C13" s="28"/>
      <c r="D13" s="27"/>
    </row>
    <row r="14" spans="1:6" ht="16" thickBot="1">
      <c r="B14" s="53"/>
      <c r="C14" s="30">
        <f>+(1000+42252)</f>
        <v>43252</v>
      </c>
      <c r="D14" s="31">
        <f>+(5000+42252+9000)</f>
        <v>56252</v>
      </c>
      <c r="F14" t="s">
        <v>550</v>
      </c>
    </row>
    <row r="15" spans="1:6">
      <c r="B15" s="52" t="s">
        <v>145</v>
      </c>
      <c r="C15" s="28"/>
      <c r="D15" s="27"/>
    </row>
    <row r="16" spans="1:6" ht="16" thickBot="1">
      <c r="B16" s="53"/>
      <c r="C16" s="24">
        <v>1396</v>
      </c>
      <c r="D16" s="25">
        <f>+(1396*1.1)</f>
        <v>1535.6000000000001</v>
      </c>
      <c r="F16" t="s">
        <v>559</v>
      </c>
    </row>
    <row r="17" spans="1:13" ht="16" thickBot="1">
      <c r="B17" s="11" t="s">
        <v>33</v>
      </c>
      <c r="C17" s="20">
        <f>SUM(C8:C16)</f>
        <v>57495</v>
      </c>
      <c r="D17" s="32">
        <f>SUM(D8:D16)</f>
        <v>128353.88</v>
      </c>
    </row>
    <row r="18" spans="1:13" ht="16" thickBot="1">
      <c r="B18" s="15"/>
      <c r="C18" s="16"/>
      <c r="D18" s="13"/>
    </row>
    <row r="19" spans="1:13" ht="16" thickBot="1">
      <c r="B19" s="15"/>
      <c r="C19" s="16"/>
      <c r="D19" s="14">
        <f>SUM(D7:D16)</f>
        <v>128353.88</v>
      </c>
    </row>
    <row r="20" spans="1:13">
      <c r="A20" s="4" t="s">
        <v>60</v>
      </c>
      <c r="B20" s="18" t="s">
        <v>554</v>
      </c>
      <c r="C20" s="16"/>
      <c r="D20" s="5">
        <f>post1789SpanArriv!N38</f>
        <v>2824.161525781331</v>
      </c>
      <c r="F20" t="s">
        <v>556</v>
      </c>
    </row>
    <row r="21" spans="1:13">
      <c r="A21" s="4"/>
      <c r="B21" s="18" t="s">
        <v>555</v>
      </c>
      <c r="C21" s="16"/>
      <c r="D21">
        <v>5000</v>
      </c>
      <c r="F21" t="s">
        <v>557</v>
      </c>
    </row>
    <row r="22" spans="1:13">
      <c r="B22" t="s">
        <v>8</v>
      </c>
      <c r="D22" s="17">
        <f>SUM(D19:D21)</f>
        <v>136178.04152578133</v>
      </c>
    </row>
    <row r="24" spans="1:13">
      <c r="A24" s="33" t="s">
        <v>173</v>
      </c>
      <c r="B24" s="33" t="s">
        <v>174</v>
      </c>
      <c r="C24" s="33" t="s">
        <v>175</v>
      </c>
      <c r="D24" s="33" t="s">
        <v>176</v>
      </c>
      <c r="E24" s="33" t="s">
        <v>177</v>
      </c>
      <c r="F24" s="33" t="s">
        <v>178</v>
      </c>
      <c r="G24" s="33" t="s">
        <v>179</v>
      </c>
      <c r="H24" s="33" t="s">
        <v>180</v>
      </c>
      <c r="I24" s="34" t="s">
        <v>181</v>
      </c>
      <c r="J24" s="35" t="s">
        <v>182</v>
      </c>
      <c r="K24" s="33" t="s">
        <v>183</v>
      </c>
      <c r="L24" s="33" t="s">
        <v>184</v>
      </c>
      <c r="M24" s="33" t="s">
        <v>185</v>
      </c>
    </row>
    <row r="25" spans="1:13">
      <c r="A25" s="36" t="s">
        <v>186</v>
      </c>
      <c r="B25" s="36"/>
      <c r="C25" s="36"/>
      <c r="D25" s="36" t="s">
        <v>11</v>
      </c>
      <c r="E25" s="36"/>
      <c r="F25" s="36"/>
      <c r="G25" s="36" t="s">
        <v>187</v>
      </c>
      <c r="H25" s="36" t="s">
        <v>188</v>
      </c>
      <c r="I25" s="37">
        <v>3</v>
      </c>
      <c r="J25" s="38" t="s">
        <v>189</v>
      </c>
      <c r="K25" s="36"/>
      <c r="L25" s="36"/>
      <c r="M25" s="36"/>
    </row>
    <row r="26" spans="1:13">
      <c r="A26" s="36" t="s">
        <v>186</v>
      </c>
      <c r="B26" s="36"/>
      <c r="C26" s="36"/>
      <c r="D26" s="36" t="s">
        <v>11</v>
      </c>
      <c r="E26" s="36"/>
      <c r="F26" s="36"/>
      <c r="G26" s="36" t="s">
        <v>190</v>
      </c>
      <c r="H26" s="36" t="s">
        <v>188</v>
      </c>
      <c r="I26" s="37">
        <v>5</v>
      </c>
      <c r="J26" s="38" t="s">
        <v>191</v>
      </c>
      <c r="K26" s="36"/>
      <c r="L26" s="36"/>
      <c r="M26" s="36"/>
    </row>
    <row r="27" spans="1:13">
      <c r="A27" s="36"/>
      <c r="B27" s="36"/>
      <c r="C27" s="36"/>
      <c r="D27" s="36" t="s">
        <v>11</v>
      </c>
      <c r="E27" s="36"/>
      <c r="F27" s="36"/>
      <c r="G27" s="36" t="s">
        <v>192</v>
      </c>
      <c r="H27" s="36" t="s">
        <v>188</v>
      </c>
      <c r="I27" s="37">
        <v>30</v>
      </c>
      <c r="J27" s="38" t="s">
        <v>193</v>
      </c>
      <c r="K27" s="36"/>
      <c r="L27" s="36"/>
      <c r="M27" s="36"/>
    </row>
    <row r="28" spans="1:13">
      <c r="A28" s="39" t="s">
        <v>194</v>
      </c>
      <c r="B28" s="39" t="s">
        <v>195</v>
      </c>
      <c r="C28" s="39" t="s">
        <v>196</v>
      </c>
      <c r="D28" s="39"/>
      <c r="E28" s="39"/>
      <c r="F28" s="39"/>
      <c r="G28" s="39" t="s">
        <v>197</v>
      </c>
      <c r="H28" s="39" t="s">
        <v>198</v>
      </c>
      <c r="I28" s="37">
        <v>165</v>
      </c>
      <c r="J28" s="40"/>
      <c r="K28" s="39" t="s">
        <v>199</v>
      </c>
      <c r="L28" s="41" t="s">
        <v>200</v>
      </c>
      <c r="M28" s="39"/>
    </row>
    <row r="29" spans="1:13">
      <c r="A29" s="36" t="s">
        <v>201</v>
      </c>
      <c r="B29" s="36"/>
      <c r="C29" s="36" t="s">
        <v>202</v>
      </c>
      <c r="D29" s="36" t="s">
        <v>119</v>
      </c>
      <c r="E29" s="36"/>
      <c r="F29" s="36"/>
      <c r="G29" s="36" t="s">
        <v>203</v>
      </c>
      <c r="H29" s="36" t="s">
        <v>188</v>
      </c>
      <c r="I29" s="37">
        <v>38</v>
      </c>
      <c r="J29" s="38" t="s">
        <v>204</v>
      </c>
      <c r="K29" s="36" t="s">
        <v>205</v>
      </c>
      <c r="L29" s="36"/>
      <c r="M29" s="36"/>
    </row>
    <row r="30" spans="1:13">
      <c r="A30" s="36" t="s">
        <v>206</v>
      </c>
      <c r="B30" s="36"/>
      <c r="C30" s="36" t="s">
        <v>207</v>
      </c>
      <c r="D30" s="36" t="s">
        <v>119</v>
      </c>
      <c r="E30" s="36"/>
      <c r="F30" s="36"/>
      <c r="G30" s="36" t="s">
        <v>203</v>
      </c>
      <c r="H30" s="36" t="s">
        <v>188</v>
      </c>
      <c r="I30" s="37">
        <v>4</v>
      </c>
      <c r="J30" s="38" t="s">
        <v>204</v>
      </c>
      <c r="K30" s="36" t="s">
        <v>205</v>
      </c>
      <c r="L30" s="36"/>
      <c r="M30" s="36"/>
    </row>
    <row r="31" spans="1:13">
      <c r="A31" s="36" t="s">
        <v>208</v>
      </c>
      <c r="B31" s="36"/>
      <c r="C31" s="36" t="s">
        <v>209</v>
      </c>
      <c r="D31" s="36" t="s">
        <v>119</v>
      </c>
      <c r="E31" s="36"/>
      <c r="F31" s="36"/>
      <c r="G31" s="36" t="s">
        <v>203</v>
      </c>
      <c r="H31" s="36" t="s">
        <v>188</v>
      </c>
      <c r="I31" s="37">
        <v>67</v>
      </c>
      <c r="J31" s="38" t="s">
        <v>204</v>
      </c>
      <c r="K31" s="36" t="s">
        <v>210</v>
      </c>
      <c r="L31" s="36"/>
      <c r="M31" s="36"/>
    </row>
    <row r="32" spans="1:13">
      <c r="A32" s="36" t="s">
        <v>211</v>
      </c>
      <c r="B32" s="36"/>
      <c r="C32" s="36" t="s">
        <v>212</v>
      </c>
      <c r="D32" s="36" t="s">
        <v>119</v>
      </c>
      <c r="E32" s="36"/>
      <c r="F32" s="36"/>
      <c r="G32" s="36" t="s">
        <v>203</v>
      </c>
      <c r="H32" s="36" t="s">
        <v>188</v>
      </c>
      <c r="I32" s="37">
        <v>1</v>
      </c>
      <c r="J32" s="38" t="s">
        <v>204</v>
      </c>
      <c r="K32" s="36" t="s">
        <v>213</v>
      </c>
      <c r="L32" s="36"/>
      <c r="M32" s="36"/>
    </row>
    <row r="33" spans="1:13">
      <c r="A33" s="36" t="s">
        <v>214</v>
      </c>
      <c r="B33" s="36"/>
      <c r="C33" s="36" t="s">
        <v>215</v>
      </c>
      <c r="D33" s="36" t="s">
        <v>119</v>
      </c>
      <c r="E33" s="36"/>
      <c r="F33" s="36"/>
      <c r="G33" s="36" t="s">
        <v>203</v>
      </c>
      <c r="H33" s="36" t="s">
        <v>188</v>
      </c>
      <c r="I33" s="37">
        <v>4</v>
      </c>
      <c r="J33" s="38" t="s">
        <v>204</v>
      </c>
      <c r="K33" s="36" t="s">
        <v>216</v>
      </c>
      <c r="L33" s="36"/>
      <c r="M33" s="36"/>
    </row>
    <row r="34" spans="1:13">
      <c r="A34" s="42" t="s">
        <v>217</v>
      </c>
      <c r="B34" s="42" t="s">
        <v>218</v>
      </c>
      <c r="C34" s="42"/>
      <c r="D34" s="42" t="s">
        <v>119</v>
      </c>
      <c r="E34" s="42" t="s">
        <v>219</v>
      </c>
      <c r="F34" s="42"/>
      <c r="G34" s="42" t="s">
        <v>203</v>
      </c>
      <c r="H34" s="42" t="s">
        <v>220</v>
      </c>
      <c r="I34" s="37">
        <v>10</v>
      </c>
      <c r="J34" s="40"/>
      <c r="K34" s="42" t="s">
        <v>221</v>
      </c>
      <c r="L34" s="43" t="s">
        <v>200</v>
      </c>
      <c r="M34" s="43"/>
    </row>
    <row r="35" spans="1:13">
      <c r="A35" s="39" t="s">
        <v>222</v>
      </c>
      <c r="B35" s="39" t="s">
        <v>195</v>
      </c>
      <c r="C35" s="39" t="s">
        <v>223</v>
      </c>
      <c r="D35" s="39" t="s">
        <v>224</v>
      </c>
      <c r="E35" s="39"/>
      <c r="F35" s="39"/>
      <c r="G35" s="39" t="s">
        <v>225</v>
      </c>
      <c r="H35" s="39" t="s">
        <v>198</v>
      </c>
      <c r="I35" s="37">
        <v>1</v>
      </c>
      <c r="J35" s="40"/>
      <c r="K35" s="39" t="s">
        <v>226</v>
      </c>
      <c r="L35" s="41" t="s">
        <v>200</v>
      </c>
      <c r="M35" s="39"/>
    </row>
    <row r="36" spans="1:13">
      <c r="A36" s="36" t="s">
        <v>227</v>
      </c>
      <c r="B36" s="36"/>
      <c r="C36" s="36"/>
      <c r="D36" s="36" t="s">
        <v>119</v>
      </c>
      <c r="E36" s="36" t="s">
        <v>228</v>
      </c>
      <c r="F36" s="36"/>
      <c r="G36" s="36" t="s">
        <v>203</v>
      </c>
      <c r="H36" s="36" t="s">
        <v>188</v>
      </c>
      <c r="I36" s="37">
        <v>10</v>
      </c>
      <c r="J36" s="38"/>
      <c r="K36" s="36" t="s">
        <v>210</v>
      </c>
      <c r="L36" s="36"/>
      <c r="M36" s="36"/>
    </row>
    <row r="37" spans="1:13">
      <c r="A37" s="42" t="s">
        <v>229</v>
      </c>
      <c r="B37" s="42" t="s">
        <v>230</v>
      </c>
      <c r="C37" s="42" t="s">
        <v>231</v>
      </c>
      <c r="D37" s="42" t="s">
        <v>119</v>
      </c>
      <c r="E37" s="42"/>
      <c r="F37" s="42"/>
      <c r="G37" s="42" t="s">
        <v>203</v>
      </c>
      <c r="H37" s="42" t="s">
        <v>220</v>
      </c>
      <c r="I37" s="37">
        <v>14</v>
      </c>
      <c r="J37" s="40"/>
      <c r="K37" s="42" t="s">
        <v>221</v>
      </c>
      <c r="L37" s="43" t="s">
        <v>200</v>
      </c>
      <c r="M37" s="43"/>
    </row>
    <row r="38" spans="1:13">
      <c r="A38" s="39" t="s">
        <v>232</v>
      </c>
      <c r="B38" s="39" t="s">
        <v>195</v>
      </c>
      <c r="C38" s="39" t="s">
        <v>233</v>
      </c>
      <c r="D38" s="39" t="s">
        <v>224</v>
      </c>
      <c r="E38" s="39"/>
      <c r="F38" s="39"/>
      <c r="G38" s="39" t="s">
        <v>225</v>
      </c>
      <c r="H38" s="39" t="s">
        <v>198</v>
      </c>
      <c r="I38" s="37">
        <v>4</v>
      </c>
      <c r="J38" s="40"/>
      <c r="K38" s="39" t="s">
        <v>234</v>
      </c>
      <c r="L38" s="41" t="s">
        <v>200</v>
      </c>
      <c r="M38" s="39"/>
    </row>
    <row r="39" spans="1:13">
      <c r="A39" s="39" t="s">
        <v>235</v>
      </c>
      <c r="B39" s="39" t="s">
        <v>195</v>
      </c>
      <c r="C39" s="39" t="s">
        <v>236</v>
      </c>
      <c r="D39" s="39" t="s">
        <v>224</v>
      </c>
      <c r="E39" s="39"/>
      <c r="F39" s="39"/>
      <c r="G39" s="39" t="s">
        <v>225</v>
      </c>
      <c r="H39" s="39" t="s">
        <v>198</v>
      </c>
      <c r="I39" s="37">
        <v>4</v>
      </c>
      <c r="J39" s="40"/>
      <c r="K39" s="39" t="s">
        <v>237</v>
      </c>
      <c r="L39" s="41" t="s">
        <v>200</v>
      </c>
      <c r="M39" s="39"/>
    </row>
    <row r="40" spans="1:13">
      <c r="A40" s="36" t="s">
        <v>238</v>
      </c>
      <c r="B40" s="36"/>
      <c r="C40" s="36" t="s">
        <v>239</v>
      </c>
      <c r="D40" s="36" t="s">
        <v>119</v>
      </c>
      <c r="E40" s="36"/>
      <c r="F40" s="36"/>
      <c r="G40" s="36" t="s">
        <v>203</v>
      </c>
      <c r="H40" s="36" t="s">
        <v>188</v>
      </c>
      <c r="I40" s="37">
        <v>14</v>
      </c>
      <c r="J40" s="38" t="s">
        <v>204</v>
      </c>
      <c r="K40" s="36" t="s">
        <v>210</v>
      </c>
      <c r="L40" s="36"/>
      <c r="M40" s="36"/>
    </row>
    <row r="41" spans="1:13">
      <c r="A41" s="42" t="s">
        <v>240</v>
      </c>
      <c r="B41" s="42" t="s">
        <v>218</v>
      </c>
      <c r="C41" s="42" t="s">
        <v>241</v>
      </c>
      <c r="D41" s="42" t="s">
        <v>119</v>
      </c>
      <c r="E41" s="42"/>
      <c r="F41" s="42"/>
      <c r="G41" s="42" t="s">
        <v>242</v>
      </c>
      <c r="H41" s="42" t="s">
        <v>220</v>
      </c>
      <c r="I41" s="37">
        <v>5</v>
      </c>
      <c r="J41" s="40"/>
      <c r="K41" s="42" t="s">
        <v>243</v>
      </c>
      <c r="L41" s="43" t="s">
        <v>200</v>
      </c>
      <c r="M41" s="43"/>
    </row>
    <row r="42" spans="1:13">
      <c r="A42" s="39" t="s">
        <v>232</v>
      </c>
      <c r="B42" s="39" t="s">
        <v>195</v>
      </c>
      <c r="C42" s="39" t="s">
        <v>244</v>
      </c>
      <c r="D42" s="39" t="s">
        <v>245</v>
      </c>
      <c r="E42" s="39"/>
      <c r="F42" s="39"/>
      <c r="G42" s="39" t="s">
        <v>246</v>
      </c>
      <c r="H42" s="39" t="s">
        <v>198</v>
      </c>
      <c r="I42" s="37">
        <v>1</v>
      </c>
      <c r="J42" s="40"/>
      <c r="K42" s="39" t="s">
        <v>247</v>
      </c>
      <c r="L42" s="39"/>
      <c r="M42" s="39"/>
    </row>
    <row r="43" spans="1:13">
      <c r="A43" s="39" t="s">
        <v>248</v>
      </c>
      <c r="B43" s="39" t="s">
        <v>195</v>
      </c>
      <c r="C43" s="39" t="s">
        <v>249</v>
      </c>
      <c r="D43" s="39" t="s">
        <v>250</v>
      </c>
      <c r="E43" s="39"/>
      <c r="F43" s="39"/>
      <c r="G43" s="39" t="s">
        <v>251</v>
      </c>
      <c r="H43" s="39" t="s">
        <v>198</v>
      </c>
      <c r="I43" s="37">
        <v>1</v>
      </c>
      <c r="J43" s="40" t="s">
        <v>252</v>
      </c>
      <c r="K43" s="39" t="s">
        <v>253</v>
      </c>
      <c r="L43" s="41" t="s">
        <v>200</v>
      </c>
      <c r="M43" s="39"/>
    </row>
    <row r="44" spans="1:13">
      <c r="A44" s="42" t="s">
        <v>254</v>
      </c>
      <c r="B44" s="42" t="s">
        <v>255</v>
      </c>
      <c r="C44" s="42" t="s">
        <v>256</v>
      </c>
      <c r="D44" s="42" t="s">
        <v>257</v>
      </c>
      <c r="E44" s="42"/>
      <c r="F44" s="42"/>
      <c r="G44" s="42" t="s">
        <v>258</v>
      </c>
      <c r="H44" s="42" t="s">
        <v>220</v>
      </c>
      <c r="I44" s="37">
        <v>3</v>
      </c>
      <c r="J44" s="40" t="s">
        <v>252</v>
      </c>
      <c r="K44" s="42" t="s">
        <v>259</v>
      </c>
      <c r="L44" s="43" t="s">
        <v>200</v>
      </c>
      <c r="M44" s="43"/>
    </row>
    <row r="45" spans="1:13">
      <c r="A45" s="42" t="s">
        <v>260</v>
      </c>
      <c r="B45" s="42" t="s">
        <v>230</v>
      </c>
      <c r="C45" s="42" t="s">
        <v>261</v>
      </c>
      <c r="D45" s="42" t="s">
        <v>257</v>
      </c>
      <c r="E45" s="42"/>
      <c r="F45" s="42"/>
      <c r="G45" s="42" t="s">
        <v>262</v>
      </c>
      <c r="H45" s="42" t="s">
        <v>220</v>
      </c>
      <c r="I45" s="37">
        <v>12</v>
      </c>
      <c r="J45" s="40" t="s">
        <v>263</v>
      </c>
      <c r="K45" s="42" t="s">
        <v>264</v>
      </c>
      <c r="L45" s="43" t="s">
        <v>200</v>
      </c>
      <c r="M45" s="43"/>
    </row>
    <row r="46" spans="1:13">
      <c r="A46" s="36" t="s">
        <v>201</v>
      </c>
      <c r="B46" s="36"/>
      <c r="C46" s="36" t="s">
        <v>265</v>
      </c>
      <c r="D46" s="36" t="s">
        <v>266</v>
      </c>
      <c r="E46" s="36"/>
      <c r="F46" s="36"/>
      <c r="G46" s="36" t="s">
        <v>267</v>
      </c>
      <c r="H46" s="36" t="s">
        <v>188</v>
      </c>
      <c r="I46" s="37">
        <v>3</v>
      </c>
      <c r="J46" s="38" t="s">
        <v>268</v>
      </c>
      <c r="K46" s="36" t="s">
        <v>269</v>
      </c>
      <c r="L46" s="36"/>
      <c r="M46" s="36"/>
    </row>
    <row r="47" spans="1:13">
      <c r="A47" s="42" t="s">
        <v>240</v>
      </c>
      <c r="B47" s="42" t="s">
        <v>230</v>
      </c>
      <c r="C47" s="42" t="s">
        <v>270</v>
      </c>
      <c r="D47" s="42" t="s">
        <v>142</v>
      </c>
      <c r="E47" s="42"/>
      <c r="F47" s="42"/>
      <c r="G47" s="42" t="s">
        <v>267</v>
      </c>
      <c r="H47" s="42" t="s">
        <v>220</v>
      </c>
      <c r="I47" s="37">
        <v>3</v>
      </c>
      <c r="J47" s="40"/>
      <c r="K47" s="42" t="s">
        <v>271</v>
      </c>
      <c r="L47" s="43" t="s">
        <v>200</v>
      </c>
      <c r="M47" s="43"/>
    </row>
    <row r="48" spans="1:13">
      <c r="A48" s="39" t="s">
        <v>229</v>
      </c>
      <c r="B48" s="39" t="s">
        <v>230</v>
      </c>
      <c r="C48" s="39" t="s">
        <v>272</v>
      </c>
      <c r="D48" s="39" t="s">
        <v>257</v>
      </c>
      <c r="E48" s="39"/>
      <c r="F48" s="39"/>
      <c r="G48" s="39" t="s">
        <v>273</v>
      </c>
      <c r="H48" s="39" t="s">
        <v>220</v>
      </c>
      <c r="I48" s="37">
        <v>2</v>
      </c>
      <c r="J48" s="40" t="s">
        <v>263</v>
      </c>
      <c r="K48" s="39" t="s">
        <v>274</v>
      </c>
      <c r="L48" s="41" t="s">
        <v>200</v>
      </c>
      <c r="M48" s="39"/>
    </row>
    <row r="49" spans="1:13">
      <c r="A49" s="36" t="s">
        <v>229</v>
      </c>
      <c r="B49" s="36"/>
      <c r="C49" s="36" t="s">
        <v>272</v>
      </c>
      <c r="D49" s="36" t="s">
        <v>257</v>
      </c>
      <c r="E49" s="36"/>
      <c r="F49" s="36"/>
      <c r="G49" s="36" t="s">
        <v>273</v>
      </c>
      <c r="H49" s="36" t="s">
        <v>188</v>
      </c>
      <c r="I49" s="37">
        <v>2</v>
      </c>
      <c r="J49" s="38" t="s">
        <v>275</v>
      </c>
      <c r="K49" s="36" t="s">
        <v>274</v>
      </c>
      <c r="L49" s="36"/>
      <c r="M49" s="36"/>
    </row>
    <row r="50" spans="1:13">
      <c r="A50" s="36" t="s">
        <v>276</v>
      </c>
      <c r="B50" s="36"/>
      <c r="C50" s="36" t="s">
        <v>277</v>
      </c>
      <c r="D50" s="36"/>
      <c r="E50" s="36"/>
      <c r="F50" s="36"/>
      <c r="G50" s="36" t="s">
        <v>278</v>
      </c>
      <c r="H50" s="36" t="s">
        <v>188</v>
      </c>
      <c r="I50" s="37">
        <v>81</v>
      </c>
      <c r="J50" s="38" t="s">
        <v>279</v>
      </c>
      <c r="K50" s="36"/>
      <c r="L50" s="36"/>
      <c r="M50" s="36"/>
    </row>
    <row r="51" spans="1:13">
      <c r="A51" s="36" t="s">
        <v>280</v>
      </c>
      <c r="B51" s="36"/>
      <c r="C51" s="36" t="s">
        <v>281</v>
      </c>
      <c r="D51" s="36" t="s">
        <v>257</v>
      </c>
      <c r="E51" s="36"/>
      <c r="F51" s="36"/>
      <c r="G51" s="36" t="s">
        <v>278</v>
      </c>
      <c r="H51" s="36" t="s">
        <v>188</v>
      </c>
      <c r="I51" s="37">
        <v>20</v>
      </c>
      <c r="J51" s="38" t="s">
        <v>282</v>
      </c>
      <c r="K51" s="36"/>
      <c r="L51" s="36"/>
      <c r="M51" s="36"/>
    </row>
    <row r="52" spans="1:13">
      <c r="A52" s="36" t="s">
        <v>283</v>
      </c>
      <c r="B52" s="36"/>
      <c r="C52" s="36" t="s">
        <v>284</v>
      </c>
      <c r="D52" s="36"/>
      <c r="E52" s="36"/>
      <c r="F52" s="36"/>
      <c r="G52" s="36" t="s">
        <v>278</v>
      </c>
      <c r="H52" s="36" t="s">
        <v>188</v>
      </c>
      <c r="I52" s="37">
        <v>28</v>
      </c>
      <c r="J52" s="38" t="s">
        <v>282</v>
      </c>
      <c r="K52" s="36"/>
      <c r="L52" s="36"/>
      <c r="M52" s="36"/>
    </row>
    <row r="53" spans="1:13">
      <c r="A53" s="36" t="s">
        <v>285</v>
      </c>
      <c r="B53" s="36"/>
      <c r="C53" s="36" t="s">
        <v>286</v>
      </c>
      <c r="D53" s="36" t="s">
        <v>119</v>
      </c>
      <c r="E53" s="36"/>
      <c r="F53" s="36"/>
      <c r="G53" s="36" t="s">
        <v>287</v>
      </c>
      <c r="H53" s="36" t="s">
        <v>188</v>
      </c>
      <c r="I53" s="37">
        <v>6</v>
      </c>
      <c r="J53" s="38" t="s">
        <v>288</v>
      </c>
      <c r="K53" s="36" t="s">
        <v>289</v>
      </c>
      <c r="L53" s="36"/>
      <c r="M53" s="36"/>
    </row>
    <row r="54" spans="1:13">
      <c r="A54" s="42" t="s">
        <v>285</v>
      </c>
      <c r="B54" s="42" t="s">
        <v>230</v>
      </c>
      <c r="C54" s="42" t="s">
        <v>286</v>
      </c>
      <c r="D54" s="42" t="s">
        <v>119</v>
      </c>
      <c r="E54" s="42"/>
      <c r="F54" s="42"/>
      <c r="G54" s="42" t="s">
        <v>287</v>
      </c>
      <c r="H54" s="42" t="s">
        <v>220</v>
      </c>
      <c r="I54" s="37">
        <v>6</v>
      </c>
      <c r="J54" s="40"/>
      <c r="K54" s="42" t="s">
        <v>289</v>
      </c>
      <c r="L54" s="43" t="s">
        <v>200</v>
      </c>
      <c r="M54" s="43"/>
    </row>
    <row r="55" spans="1:13">
      <c r="A55" s="36" t="s">
        <v>290</v>
      </c>
      <c r="B55" s="36"/>
      <c r="C55" s="36" t="s">
        <v>291</v>
      </c>
      <c r="D55" s="36" t="s">
        <v>119</v>
      </c>
      <c r="E55" s="36"/>
      <c r="F55" s="36"/>
      <c r="G55" s="36" t="s">
        <v>292</v>
      </c>
      <c r="H55" s="36" t="s">
        <v>188</v>
      </c>
      <c r="I55" s="37">
        <v>167</v>
      </c>
      <c r="J55" s="38" t="s">
        <v>293</v>
      </c>
      <c r="K55" s="36" t="s">
        <v>294</v>
      </c>
      <c r="L55" s="36"/>
      <c r="M55" s="36"/>
    </row>
    <row r="56" spans="1:13">
      <c r="A56" s="36" t="s">
        <v>229</v>
      </c>
      <c r="B56" s="36"/>
      <c r="C56" s="36" t="s">
        <v>281</v>
      </c>
      <c r="D56" s="36" t="s">
        <v>119</v>
      </c>
      <c r="E56" s="36"/>
      <c r="F56" s="36" t="s">
        <v>250</v>
      </c>
      <c r="G56" s="36" t="s">
        <v>295</v>
      </c>
      <c r="H56" s="36" t="s">
        <v>188</v>
      </c>
      <c r="I56" s="37">
        <v>71</v>
      </c>
      <c r="J56" s="38" t="s">
        <v>296</v>
      </c>
      <c r="K56" s="36" t="s">
        <v>294</v>
      </c>
      <c r="L56" s="36" t="s">
        <v>297</v>
      </c>
      <c r="M56" s="36"/>
    </row>
    <row r="57" spans="1:13">
      <c r="A57" s="36" t="s">
        <v>298</v>
      </c>
      <c r="B57" s="36"/>
      <c r="C57" s="36" t="s">
        <v>299</v>
      </c>
      <c r="D57" s="36" t="s">
        <v>119</v>
      </c>
      <c r="E57" s="36" t="s">
        <v>300</v>
      </c>
      <c r="F57" s="36"/>
      <c r="G57" s="36" t="s">
        <v>301</v>
      </c>
      <c r="H57" s="36" t="s">
        <v>188</v>
      </c>
      <c r="I57" s="37">
        <v>57</v>
      </c>
      <c r="J57" s="38" t="s">
        <v>302</v>
      </c>
      <c r="K57" s="36" t="s">
        <v>303</v>
      </c>
      <c r="L57" s="36" t="s">
        <v>304</v>
      </c>
      <c r="M57" s="36"/>
    </row>
    <row r="58" spans="1:13">
      <c r="A58" s="36" t="s">
        <v>305</v>
      </c>
      <c r="B58" s="36"/>
      <c r="C58" s="36" t="s">
        <v>306</v>
      </c>
      <c r="D58" s="36" t="s">
        <v>119</v>
      </c>
      <c r="E58" s="36"/>
      <c r="F58" s="36" t="s">
        <v>250</v>
      </c>
      <c r="G58" s="36" t="s">
        <v>307</v>
      </c>
      <c r="H58" s="36" t="s">
        <v>188</v>
      </c>
      <c r="I58" s="37">
        <v>149</v>
      </c>
      <c r="J58" s="38" t="s">
        <v>279</v>
      </c>
      <c r="K58" s="36" t="s">
        <v>308</v>
      </c>
      <c r="L58" s="36" t="s">
        <v>309</v>
      </c>
      <c r="M58" s="36"/>
    </row>
    <row r="59" spans="1:13">
      <c r="A59" s="36" t="s">
        <v>280</v>
      </c>
      <c r="B59" s="36"/>
      <c r="C59" s="36" t="s">
        <v>310</v>
      </c>
      <c r="D59" s="36" t="s">
        <v>119</v>
      </c>
      <c r="E59" s="36"/>
      <c r="F59" s="36"/>
      <c r="G59" s="36" t="s">
        <v>311</v>
      </c>
      <c r="H59" s="36" t="s">
        <v>188</v>
      </c>
      <c r="I59" s="37">
        <v>49</v>
      </c>
      <c r="J59" s="38" t="s">
        <v>282</v>
      </c>
      <c r="K59" s="36"/>
      <c r="L59" s="36"/>
      <c r="M59" s="36"/>
    </row>
    <row r="60" spans="1:13">
      <c r="A60" s="42" t="s">
        <v>240</v>
      </c>
      <c r="B60" s="42" t="s">
        <v>230</v>
      </c>
      <c r="C60" s="42" t="s">
        <v>312</v>
      </c>
      <c r="D60" s="42" t="s">
        <v>313</v>
      </c>
      <c r="E60" s="42"/>
      <c r="F60" s="42"/>
      <c r="G60" s="42" t="s">
        <v>314</v>
      </c>
      <c r="H60" s="42" t="s">
        <v>315</v>
      </c>
      <c r="I60" s="37">
        <v>4</v>
      </c>
      <c r="J60" s="40" t="s">
        <v>316</v>
      </c>
      <c r="K60" s="42" t="s">
        <v>308</v>
      </c>
      <c r="L60" s="42" t="s">
        <v>317</v>
      </c>
      <c r="M60" s="42"/>
    </row>
    <row r="61" spans="1:13">
      <c r="A61" s="36" t="s">
        <v>318</v>
      </c>
      <c r="B61" s="36"/>
      <c r="C61" s="36" t="s">
        <v>319</v>
      </c>
      <c r="D61" s="36" t="s">
        <v>119</v>
      </c>
      <c r="E61" s="36"/>
      <c r="F61" s="36"/>
      <c r="G61" s="36" t="s">
        <v>320</v>
      </c>
      <c r="H61" s="36" t="s">
        <v>188</v>
      </c>
      <c r="I61" s="37">
        <v>30</v>
      </c>
      <c r="J61" s="38" t="s">
        <v>321</v>
      </c>
      <c r="K61" s="36"/>
      <c r="L61" s="36"/>
      <c r="M61" s="36"/>
    </row>
    <row r="62" spans="1:13">
      <c r="A62" s="36" t="s">
        <v>322</v>
      </c>
      <c r="B62" s="36"/>
      <c r="C62" s="36" t="s">
        <v>323</v>
      </c>
      <c r="D62" s="36" t="s">
        <v>119</v>
      </c>
      <c r="E62" s="36"/>
      <c r="F62" s="36"/>
      <c r="G62" s="36" t="s">
        <v>324</v>
      </c>
      <c r="H62" s="36" t="s">
        <v>188</v>
      </c>
      <c r="I62" s="37">
        <v>42</v>
      </c>
      <c r="J62" s="38" t="s">
        <v>325</v>
      </c>
      <c r="K62" s="36"/>
      <c r="L62" s="36"/>
      <c r="M62" s="36"/>
    </row>
    <row r="63" spans="1:13">
      <c r="A63" s="36" t="s">
        <v>326</v>
      </c>
      <c r="B63" s="36"/>
      <c r="C63" s="36" t="s">
        <v>327</v>
      </c>
      <c r="D63" s="36" t="s">
        <v>257</v>
      </c>
      <c r="E63" s="36"/>
      <c r="F63" s="36"/>
      <c r="G63" s="36" t="s">
        <v>328</v>
      </c>
      <c r="H63" s="36" t="s">
        <v>188</v>
      </c>
      <c r="I63" s="37">
        <v>5</v>
      </c>
      <c r="J63" s="38" t="s">
        <v>325</v>
      </c>
      <c r="K63" s="36"/>
      <c r="L63" s="36"/>
      <c r="M63" s="36"/>
    </row>
    <row r="64" spans="1:13">
      <c r="A64" s="36" t="s">
        <v>329</v>
      </c>
      <c r="B64" s="36"/>
      <c r="C64" s="36"/>
      <c r="D64" s="36" t="s">
        <v>257</v>
      </c>
      <c r="E64" s="36"/>
      <c r="F64" s="36"/>
      <c r="G64" s="36" t="s">
        <v>330</v>
      </c>
      <c r="H64" s="36" t="s">
        <v>188</v>
      </c>
      <c r="I64" s="37">
        <v>29</v>
      </c>
      <c r="J64" s="38" t="s">
        <v>325</v>
      </c>
      <c r="K64" s="36"/>
      <c r="L64" s="36"/>
      <c r="M64" s="36"/>
    </row>
    <row r="65" spans="1:13">
      <c r="A65" s="36" t="s">
        <v>329</v>
      </c>
      <c r="B65" s="36"/>
      <c r="C65" s="36"/>
      <c r="D65" s="36" t="s">
        <v>257</v>
      </c>
      <c r="E65" s="36"/>
      <c r="F65" s="36"/>
      <c r="G65" s="36" t="s">
        <v>330</v>
      </c>
      <c r="H65" s="36" t="s">
        <v>188</v>
      </c>
      <c r="I65" s="37">
        <v>12</v>
      </c>
      <c r="J65" s="38" t="s">
        <v>325</v>
      </c>
      <c r="K65" s="36"/>
      <c r="L65" s="36"/>
      <c r="M65" s="36"/>
    </row>
    <row r="66" spans="1:13">
      <c r="A66" s="36" t="s">
        <v>331</v>
      </c>
      <c r="B66" s="36"/>
      <c r="C66" s="36"/>
      <c r="D66" s="36" t="s">
        <v>257</v>
      </c>
      <c r="E66" s="36"/>
      <c r="F66" s="36"/>
      <c r="G66" s="36" t="s">
        <v>330</v>
      </c>
      <c r="H66" s="36" t="s">
        <v>188</v>
      </c>
      <c r="I66" s="37">
        <v>11</v>
      </c>
      <c r="J66" s="38" t="s">
        <v>325</v>
      </c>
      <c r="K66" s="36"/>
      <c r="L66" s="36"/>
      <c r="M66" s="36"/>
    </row>
    <row r="67" spans="1:13">
      <c r="A67" s="36" t="s">
        <v>280</v>
      </c>
      <c r="B67" s="36"/>
      <c r="C67" s="36" t="s">
        <v>332</v>
      </c>
      <c r="D67" s="36" t="s">
        <v>333</v>
      </c>
      <c r="E67" s="36"/>
      <c r="F67" s="36"/>
      <c r="G67" s="36" t="s">
        <v>330</v>
      </c>
      <c r="H67" s="36" t="s">
        <v>188</v>
      </c>
      <c r="I67" s="37">
        <v>78</v>
      </c>
      <c r="J67" s="38" t="s">
        <v>325</v>
      </c>
      <c r="K67" s="36"/>
      <c r="L67" s="36"/>
      <c r="M67" s="36"/>
    </row>
    <row r="68" spans="1:13">
      <c r="A68" s="36" t="s">
        <v>334</v>
      </c>
      <c r="B68" s="36"/>
      <c r="C68" s="36"/>
      <c r="D68" s="36" t="s">
        <v>11</v>
      </c>
      <c r="E68" s="36"/>
      <c r="F68" s="36"/>
      <c r="G68" s="36" t="s">
        <v>335</v>
      </c>
      <c r="H68" s="36" t="s">
        <v>188</v>
      </c>
      <c r="I68" s="37">
        <v>9</v>
      </c>
      <c r="J68" s="38" t="s">
        <v>325</v>
      </c>
      <c r="K68" s="36"/>
      <c r="L68" s="36"/>
      <c r="M68" s="36"/>
    </row>
    <row r="69" spans="1:13">
      <c r="A69" s="36" t="s">
        <v>336</v>
      </c>
      <c r="B69" s="36"/>
      <c r="C69" s="36" t="s">
        <v>337</v>
      </c>
      <c r="D69" s="36" t="s">
        <v>257</v>
      </c>
      <c r="E69" s="36"/>
      <c r="F69" s="36"/>
      <c r="G69" s="36" t="s">
        <v>338</v>
      </c>
      <c r="H69" s="36" t="s">
        <v>188</v>
      </c>
      <c r="I69" s="37">
        <v>152</v>
      </c>
      <c r="J69" s="38" t="s">
        <v>325</v>
      </c>
      <c r="K69" s="36"/>
      <c r="L69" s="36"/>
      <c r="M69" s="36"/>
    </row>
    <row r="70" spans="1:13">
      <c r="A70" s="36" t="s">
        <v>339</v>
      </c>
      <c r="B70" s="36"/>
      <c r="C70" s="36" t="s">
        <v>340</v>
      </c>
      <c r="D70" s="36" t="s">
        <v>119</v>
      </c>
      <c r="E70" s="36"/>
      <c r="F70" s="36"/>
      <c r="G70" s="36" t="s">
        <v>341</v>
      </c>
      <c r="H70" s="36" t="s">
        <v>188</v>
      </c>
      <c r="I70" s="37">
        <v>15</v>
      </c>
      <c r="J70" s="38" t="s">
        <v>325</v>
      </c>
      <c r="K70" s="36"/>
      <c r="L70" s="36"/>
      <c r="M70" s="36"/>
    </row>
    <row r="71" spans="1:13">
      <c r="A71" s="36" t="s">
        <v>318</v>
      </c>
      <c r="B71" s="36"/>
      <c r="C71" s="36" t="s">
        <v>342</v>
      </c>
      <c r="D71" s="36" t="s">
        <v>119</v>
      </c>
      <c r="E71" s="36"/>
      <c r="F71" s="36"/>
      <c r="G71" s="36" t="s">
        <v>343</v>
      </c>
      <c r="H71" s="36" t="s">
        <v>188</v>
      </c>
      <c r="I71" s="37">
        <v>92</v>
      </c>
      <c r="J71" s="38" t="s">
        <v>325</v>
      </c>
      <c r="K71" s="36"/>
      <c r="L71" s="36"/>
      <c r="M71" s="36"/>
    </row>
    <row r="72" spans="1:13">
      <c r="A72" s="36" t="s">
        <v>344</v>
      </c>
      <c r="B72" s="36"/>
      <c r="C72" s="36" t="s">
        <v>345</v>
      </c>
      <c r="D72" s="36" t="s">
        <v>257</v>
      </c>
      <c r="E72" s="36"/>
      <c r="F72" s="36"/>
      <c r="G72" s="36" t="s">
        <v>343</v>
      </c>
      <c r="H72" s="36" t="s">
        <v>188</v>
      </c>
      <c r="I72" s="37">
        <v>140</v>
      </c>
      <c r="J72" s="38" t="s">
        <v>325</v>
      </c>
      <c r="K72" s="36"/>
      <c r="L72" s="36"/>
      <c r="M72" s="36"/>
    </row>
    <row r="73" spans="1:13">
      <c r="A73" s="36" t="s">
        <v>346</v>
      </c>
      <c r="B73" s="36"/>
      <c r="C73" s="36"/>
      <c r="D73" s="36" t="s">
        <v>119</v>
      </c>
      <c r="E73" s="36"/>
      <c r="F73" s="36"/>
      <c r="G73" s="36" t="s">
        <v>343</v>
      </c>
      <c r="H73" s="36" t="s">
        <v>188</v>
      </c>
      <c r="I73" s="37">
        <v>44</v>
      </c>
      <c r="J73" s="38" t="s">
        <v>325</v>
      </c>
      <c r="K73" s="36"/>
      <c r="L73" s="36"/>
      <c r="M73" s="36"/>
    </row>
    <row r="74" spans="1:13">
      <c r="A74" s="36" t="s">
        <v>280</v>
      </c>
      <c r="B74" s="36"/>
      <c r="C74" s="36" t="s">
        <v>347</v>
      </c>
      <c r="D74" s="36" t="s">
        <v>119</v>
      </c>
      <c r="E74" s="36"/>
      <c r="F74" s="36"/>
      <c r="G74" s="36" t="s">
        <v>343</v>
      </c>
      <c r="H74" s="36" t="s">
        <v>188</v>
      </c>
      <c r="I74" s="37">
        <v>67</v>
      </c>
      <c r="J74" s="38" t="s">
        <v>325</v>
      </c>
      <c r="K74" s="36"/>
      <c r="L74" s="36"/>
      <c r="M74" s="36"/>
    </row>
    <row r="75" spans="1:13">
      <c r="A75" s="36" t="s">
        <v>329</v>
      </c>
      <c r="B75" s="36"/>
      <c r="C75" s="36" t="s">
        <v>348</v>
      </c>
      <c r="D75" s="36" t="s">
        <v>257</v>
      </c>
      <c r="E75" s="36"/>
      <c r="F75" s="36"/>
      <c r="G75" s="36" t="s">
        <v>343</v>
      </c>
      <c r="H75" s="36" t="s">
        <v>188</v>
      </c>
      <c r="I75" s="37">
        <v>152</v>
      </c>
      <c r="J75" s="38" t="s">
        <v>325</v>
      </c>
      <c r="K75" s="36"/>
      <c r="L75" s="36"/>
      <c r="M75" s="36"/>
    </row>
    <row r="76" spans="1:13">
      <c r="A76" s="36" t="s">
        <v>326</v>
      </c>
      <c r="B76" s="36"/>
      <c r="C76" s="36" t="s">
        <v>349</v>
      </c>
      <c r="D76" s="36" t="s">
        <v>257</v>
      </c>
      <c r="E76" s="36"/>
      <c r="F76" s="36"/>
      <c r="G76" s="36" t="s">
        <v>343</v>
      </c>
      <c r="H76" s="36" t="s">
        <v>188</v>
      </c>
      <c r="I76" s="37">
        <v>24</v>
      </c>
      <c r="J76" s="38" t="s">
        <v>325</v>
      </c>
      <c r="K76" s="36"/>
      <c r="L76" s="36"/>
      <c r="M76" s="36"/>
    </row>
    <row r="77" spans="1:13">
      <c r="A77" s="36" t="s">
        <v>326</v>
      </c>
      <c r="B77" s="36"/>
      <c r="C77" s="36" t="s">
        <v>350</v>
      </c>
      <c r="D77" s="36" t="s">
        <v>11</v>
      </c>
      <c r="E77" s="36"/>
      <c r="F77" s="36"/>
      <c r="G77" s="36" t="s">
        <v>351</v>
      </c>
      <c r="H77" s="36" t="s">
        <v>188</v>
      </c>
      <c r="I77" s="37">
        <v>11</v>
      </c>
      <c r="J77" s="38" t="s">
        <v>325</v>
      </c>
      <c r="K77" s="36"/>
      <c r="L77" s="36"/>
      <c r="M77" s="36"/>
    </row>
    <row r="78" spans="1:13">
      <c r="A78" s="36" t="s">
        <v>352</v>
      </c>
      <c r="B78" s="36"/>
      <c r="C78" s="36"/>
      <c r="D78" s="36"/>
      <c r="E78" s="36"/>
      <c r="F78" s="36"/>
      <c r="G78" s="36" t="s">
        <v>351</v>
      </c>
      <c r="H78" s="36" t="s">
        <v>188</v>
      </c>
      <c r="I78" s="37">
        <v>11</v>
      </c>
      <c r="J78" s="38" t="s">
        <v>325</v>
      </c>
      <c r="K78" s="36"/>
      <c r="L78" s="36"/>
      <c r="M78" s="36"/>
    </row>
    <row r="79" spans="1:13">
      <c r="A79" s="36" t="s">
        <v>318</v>
      </c>
      <c r="B79" s="36"/>
      <c r="C79" s="36" t="s">
        <v>353</v>
      </c>
      <c r="D79" s="36"/>
      <c r="E79" s="36"/>
      <c r="F79" s="36"/>
      <c r="G79" s="36" t="s">
        <v>354</v>
      </c>
      <c r="H79" s="36" t="s">
        <v>188</v>
      </c>
      <c r="I79" s="37">
        <v>84</v>
      </c>
      <c r="J79" s="38" t="s">
        <v>325</v>
      </c>
      <c r="K79" s="36"/>
      <c r="L79" s="36"/>
      <c r="M79" s="36"/>
    </row>
    <row r="80" spans="1:13">
      <c r="A80" s="36" t="s">
        <v>329</v>
      </c>
      <c r="B80" s="36"/>
      <c r="C80" s="36" t="s">
        <v>355</v>
      </c>
      <c r="D80" s="36"/>
      <c r="E80" s="36"/>
      <c r="F80" s="36"/>
      <c r="G80" s="36" t="s">
        <v>356</v>
      </c>
      <c r="H80" s="36" t="s">
        <v>188</v>
      </c>
      <c r="I80" s="37">
        <v>23</v>
      </c>
      <c r="J80" s="38" t="s">
        <v>325</v>
      </c>
      <c r="K80" s="36"/>
      <c r="L80" s="36"/>
      <c r="M80" s="36"/>
    </row>
    <row r="81" spans="1:13">
      <c r="A81" s="36" t="s">
        <v>352</v>
      </c>
      <c r="B81" s="36"/>
      <c r="C81" s="36"/>
      <c r="D81" s="36"/>
      <c r="E81" s="36"/>
      <c r="F81" s="36"/>
      <c r="G81" s="36" t="s">
        <v>357</v>
      </c>
      <c r="H81" s="36" t="s">
        <v>188</v>
      </c>
      <c r="I81" s="37">
        <v>147</v>
      </c>
      <c r="J81" s="38" t="s">
        <v>358</v>
      </c>
      <c r="K81" s="36"/>
      <c r="L81" s="36"/>
      <c r="M81" s="36"/>
    </row>
    <row r="82" spans="1:13">
      <c r="A82" s="36" t="s">
        <v>359</v>
      </c>
      <c r="B82" s="36"/>
      <c r="C82" s="36"/>
      <c r="D82" s="36"/>
      <c r="E82" s="36"/>
      <c r="F82" s="36"/>
      <c r="G82" s="36" t="s">
        <v>357</v>
      </c>
      <c r="H82" s="36" t="s">
        <v>188</v>
      </c>
      <c r="I82" s="37">
        <v>51</v>
      </c>
      <c r="J82" s="38" t="s">
        <v>325</v>
      </c>
      <c r="K82" s="36"/>
      <c r="L82" s="36"/>
      <c r="M82" s="36"/>
    </row>
    <row r="83" spans="1:13">
      <c r="A83" s="36" t="s">
        <v>360</v>
      </c>
      <c r="B83" s="36"/>
      <c r="C83" s="36" t="s">
        <v>355</v>
      </c>
      <c r="D83" s="36"/>
      <c r="E83" s="36"/>
      <c r="F83" s="36"/>
      <c r="G83" s="36" t="s">
        <v>357</v>
      </c>
      <c r="H83" s="36" t="s">
        <v>188</v>
      </c>
      <c r="I83" s="37">
        <v>120</v>
      </c>
      <c r="J83" s="38" t="s">
        <v>325</v>
      </c>
      <c r="K83" s="36"/>
      <c r="L83" s="36"/>
      <c r="M83" s="36"/>
    </row>
    <row r="84" spans="1:13">
      <c r="A84" s="36" t="s">
        <v>361</v>
      </c>
      <c r="B84" s="36"/>
      <c r="C84" s="36" t="s">
        <v>362</v>
      </c>
      <c r="D84" s="36"/>
      <c r="E84" s="36"/>
      <c r="F84" s="36"/>
      <c r="G84" s="36" t="s">
        <v>357</v>
      </c>
      <c r="H84" s="36" t="s">
        <v>188</v>
      </c>
      <c r="I84" s="37">
        <v>98</v>
      </c>
      <c r="J84" s="38" t="s">
        <v>325</v>
      </c>
      <c r="K84" s="36"/>
      <c r="L84" s="36"/>
      <c r="M84" s="36"/>
    </row>
    <row r="85" spans="1:13">
      <c r="A85" s="36" t="s">
        <v>329</v>
      </c>
      <c r="B85" s="36"/>
      <c r="C85" s="36" t="s">
        <v>363</v>
      </c>
      <c r="D85" s="36"/>
      <c r="E85" s="36"/>
      <c r="F85" s="36"/>
      <c r="G85" s="36" t="s">
        <v>364</v>
      </c>
      <c r="H85" s="36" t="s">
        <v>188</v>
      </c>
      <c r="I85" s="37">
        <v>135</v>
      </c>
      <c r="J85" s="38" t="s">
        <v>358</v>
      </c>
      <c r="K85" s="36"/>
      <c r="L85" s="36"/>
      <c r="M85" s="36"/>
    </row>
    <row r="86" spans="1:13">
      <c r="A86" s="36" t="s">
        <v>365</v>
      </c>
      <c r="B86" s="36"/>
      <c r="C86" s="36" t="s">
        <v>366</v>
      </c>
      <c r="D86" s="36"/>
      <c r="E86" s="36"/>
      <c r="F86" s="36"/>
      <c r="G86" s="36" t="s">
        <v>364</v>
      </c>
      <c r="H86" s="36" t="s">
        <v>188</v>
      </c>
      <c r="I86" s="37">
        <v>140</v>
      </c>
      <c r="J86" s="38" t="s">
        <v>358</v>
      </c>
      <c r="K86" s="36"/>
      <c r="L86" s="36"/>
      <c r="M86" s="36"/>
    </row>
    <row r="87" spans="1:13">
      <c r="A87" s="36" t="s">
        <v>367</v>
      </c>
      <c r="B87" s="36"/>
      <c r="C87" s="36" t="s">
        <v>368</v>
      </c>
      <c r="D87" s="36"/>
      <c r="E87" s="36"/>
      <c r="F87" s="36"/>
      <c r="G87" s="36" t="s">
        <v>364</v>
      </c>
      <c r="H87" s="36" t="s">
        <v>188</v>
      </c>
      <c r="I87" s="37">
        <v>149</v>
      </c>
      <c r="J87" s="38" t="s">
        <v>358</v>
      </c>
      <c r="K87" s="36"/>
      <c r="L87" s="36"/>
      <c r="M87" s="36"/>
    </row>
    <row r="88" spans="1:13">
      <c r="A88" s="36" t="s">
        <v>352</v>
      </c>
      <c r="B88" s="36"/>
      <c r="C88" s="36" t="s">
        <v>369</v>
      </c>
      <c r="D88" s="36"/>
      <c r="E88" s="36"/>
      <c r="F88" s="36"/>
      <c r="G88" s="36" t="s">
        <v>364</v>
      </c>
      <c r="H88" s="36" t="s">
        <v>188</v>
      </c>
      <c r="I88" s="37">
        <v>39</v>
      </c>
      <c r="J88" s="38" t="s">
        <v>358</v>
      </c>
      <c r="K88" s="36"/>
      <c r="L88" s="36"/>
      <c r="M88" s="36"/>
    </row>
    <row r="89" spans="1:13">
      <c r="A89" s="36" t="s">
        <v>370</v>
      </c>
      <c r="B89" s="36"/>
      <c r="C89" s="36" t="s">
        <v>371</v>
      </c>
      <c r="D89" s="36"/>
      <c r="E89" s="36"/>
      <c r="F89" s="36"/>
      <c r="G89" s="36" t="s">
        <v>364</v>
      </c>
      <c r="H89" s="36" t="s">
        <v>188</v>
      </c>
      <c r="I89" s="37">
        <v>252</v>
      </c>
      <c r="J89" s="38" t="s">
        <v>358</v>
      </c>
      <c r="K89" s="36"/>
      <c r="L89" s="36"/>
      <c r="M89" s="36"/>
    </row>
    <row r="90" spans="1:13">
      <c r="A90" s="36" t="s">
        <v>365</v>
      </c>
      <c r="B90" s="36"/>
      <c r="C90" s="36" t="s">
        <v>372</v>
      </c>
      <c r="D90" s="36"/>
      <c r="E90" s="36"/>
      <c r="F90" s="36"/>
      <c r="G90" s="36" t="s">
        <v>364</v>
      </c>
      <c r="H90" s="36" t="s">
        <v>188</v>
      </c>
      <c r="I90" s="37">
        <v>110</v>
      </c>
      <c r="J90" s="38" t="s">
        <v>358</v>
      </c>
      <c r="K90" s="36"/>
      <c r="L90" s="36"/>
      <c r="M90" s="36"/>
    </row>
    <row r="91" spans="1:13">
      <c r="A91" s="36" t="s">
        <v>373</v>
      </c>
      <c r="B91" s="36"/>
      <c r="C91" s="36" t="s">
        <v>374</v>
      </c>
      <c r="D91" s="36" t="s">
        <v>119</v>
      </c>
      <c r="E91" s="36"/>
      <c r="F91" s="36"/>
      <c r="G91" s="36" t="s">
        <v>375</v>
      </c>
      <c r="H91" s="36" t="s">
        <v>188</v>
      </c>
      <c r="I91" s="37">
        <v>10</v>
      </c>
      <c r="J91" s="38" t="s">
        <v>358</v>
      </c>
      <c r="K91" s="36"/>
      <c r="L91" s="36"/>
      <c r="M91" s="36"/>
    </row>
    <row r="92" spans="1:13">
      <c r="A92" s="36" t="s">
        <v>376</v>
      </c>
      <c r="B92" s="36"/>
      <c r="C92" s="36" t="s">
        <v>377</v>
      </c>
      <c r="D92" s="36" t="s">
        <v>119</v>
      </c>
      <c r="E92" s="36"/>
      <c r="F92" s="36"/>
      <c r="G92" s="36" t="s">
        <v>378</v>
      </c>
      <c r="H92" s="36" t="s">
        <v>188</v>
      </c>
      <c r="I92" s="37">
        <v>161</v>
      </c>
      <c r="J92" s="38" t="s">
        <v>358</v>
      </c>
      <c r="K92" s="36"/>
      <c r="L92" s="36"/>
      <c r="M92" s="36"/>
    </row>
    <row r="93" spans="1:13">
      <c r="A93" s="36" t="s">
        <v>379</v>
      </c>
      <c r="B93" s="36"/>
      <c r="C93" s="36" t="s">
        <v>380</v>
      </c>
      <c r="D93" s="36" t="s">
        <v>119</v>
      </c>
      <c r="E93" s="36"/>
      <c r="F93" s="36"/>
      <c r="G93" s="36" t="s">
        <v>378</v>
      </c>
      <c r="H93" s="36" t="s">
        <v>188</v>
      </c>
      <c r="I93" s="37">
        <v>17</v>
      </c>
      <c r="J93" s="38" t="s">
        <v>358</v>
      </c>
      <c r="K93" s="36"/>
      <c r="L93" s="36"/>
      <c r="M93" s="36"/>
    </row>
    <row r="94" spans="1:13">
      <c r="A94" s="36" t="s">
        <v>370</v>
      </c>
      <c r="B94" s="36"/>
      <c r="C94" s="36" t="s">
        <v>381</v>
      </c>
      <c r="D94" s="36" t="s">
        <v>142</v>
      </c>
      <c r="E94" s="36"/>
      <c r="F94" s="36"/>
      <c r="G94" s="36" t="s">
        <v>382</v>
      </c>
      <c r="H94" s="36" t="s">
        <v>188</v>
      </c>
      <c r="I94" s="37">
        <v>5</v>
      </c>
      <c r="J94" s="38" t="s">
        <v>383</v>
      </c>
      <c r="K94" s="36"/>
      <c r="L94" s="36"/>
      <c r="M94" s="36"/>
    </row>
    <row r="95" spans="1:13">
      <c r="A95" s="36" t="s">
        <v>280</v>
      </c>
      <c r="B95" s="36"/>
      <c r="C95" s="36" t="s">
        <v>384</v>
      </c>
      <c r="D95" s="36" t="s">
        <v>119</v>
      </c>
      <c r="E95" s="36"/>
      <c r="F95" s="36"/>
      <c r="G95" s="36" t="s">
        <v>385</v>
      </c>
      <c r="H95" s="36" t="s">
        <v>188</v>
      </c>
      <c r="I95" s="37">
        <v>163</v>
      </c>
      <c r="J95" s="38" t="s">
        <v>383</v>
      </c>
      <c r="K95" s="36"/>
      <c r="L95" s="36"/>
      <c r="M95" s="36"/>
    </row>
    <row r="96" spans="1:13">
      <c r="A96" s="36" t="s">
        <v>386</v>
      </c>
      <c r="B96" s="36"/>
      <c r="C96" s="36" t="s">
        <v>387</v>
      </c>
      <c r="D96" s="36"/>
      <c r="E96" s="36"/>
      <c r="F96" s="36"/>
      <c r="G96" s="36" t="s">
        <v>388</v>
      </c>
      <c r="H96" s="36" t="s">
        <v>188</v>
      </c>
      <c r="I96" s="37">
        <v>114</v>
      </c>
      <c r="J96" s="38" t="s">
        <v>383</v>
      </c>
      <c r="K96" s="36"/>
      <c r="L96" s="36"/>
      <c r="M96" s="36"/>
    </row>
    <row r="97" spans="1:13">
      <c r="A97" s="36" t="s">
        <v>280</v>
      </c>
      <c r="B97" s="36"/>
      <c r="C97" s="36" t="s">
        <v>389</v>
      </c>
      <c r="D97" s="36" t="s">
        <v>119</v>
      </c>
      <c r="E97" s="36"/>
      <c r="F97" s="36"/>
      <c r="G97" s="36" t="s">
        <v>390</v>
      </c>
      <c r="H97" s="36" t="s">
        <v>188</v>
      </c>
      <c r="I97" s="37">
        <v>23</v>
      </c>
      <c r="J97" s="38" t="s">
        <v>383</v>
      </c>
      <c r="K97" s="36"/>
      <c r="L97" s="36"/>
      <c r="M97" s="36"/>
    </row>
    <row r="98" spans="1:13">
      <c r="A98" s="36" t="s">
        <v>280</v>
      </c>
      <c r="B98" s="36"/>
      <c r="C98" s="36" t="s">
        <v>391</v>
      </c>
      <c r="D98" s="36" t="s">
        <v>119</v>
      </c>
      <c r="E98" s="36"/>
      <c r="F98" s="36"/>
      <c r="G98" s="36" t="s">
        <v>390</v>
      </c>
      <c r="H98" s="36" t="s">
        <v>188</v>
      </c>
      <c r="I98" s="37">
        <v>51</v>
      </c>
      <c r="J98" s="38" t="s">
        <v>383</v>
      </c>
      <c r="K98" s="36"/>
      <c r="L98" s="36"/>
      <c r="M98" s="36"/>
    </row>
    <row r="99" spans="1:13">
      <c r="A99" s="36" t="s">
        <v>370</v>
      </c>
      <c r="B99" s="36"/>
      <c r="C99" s="36" t="s">
        <v>392</v>
      </c>
      <c r="D99" s="36" t="s">
        <v>257</v>
      </c>
      <c r="E99" s="36"/>
      <c r="F99" s="36"/>
      <c r="G99" s="36" t="s">
        <v>393</v>
      </c>
      <c r="H99" s="36" t="s">
        <v>188</v>
      </c>
      <c r="I99" s="37">
        <v>8</v>
      </c>
      <c r="J99" s="38" t="s">
        <v>383</v>
      </c>
      <c r="K99" s="36"/>
      <c r="L99" s="36"/>
      <c r="M99" s="36"/>
    </row>
    <row r="100" spans="1:13">
      <c r="A100" s="36" t="s">
        <v>394</v>
      </c>
      <c r="B100" s="36"/>
      <c r="C100" s="36" t="s">
        <v>395</v>
      </c>
      <c r="D100" s="36" t="s">
        <v>119</v>
      </c>
      <c r="E100" s="36"/>
      <c r="F100" s="36"/>
      <c r="G100" s="36" t="s">
        <v>393</v>
      </c>
      <c r="H100" s="36" t="s">
        <v>188</v>
      </c>
      <c r="I100" s="37">
        <v>45</v>
      </c>
      <c r="J100" s="38" t="s">
        <v>383</v>
      </c>
      <c r="K100" s="36"/>
      <c r="L100" s="36"/>
      <c r="M100" s="36"/>
    </row>
    <row r="101" spans="1:13">
      <c r="A101" s="36" t="s">
        <v>396</v>
      </c>
      <c r="B101" s="36"/>
      <c r="C101" s="36" t="s">
        <v>397</v>
      </c>
      <c r="D101" s="36" t="s">
        <v>119</v>
      </c>
      <c r="E101" s="36"/>
      <c r="F101" s="36"/>
      <c r="G101" s="36" t="s">
        <v>393</v>
      </c>
      <c r="H101" s="36" t="s">
        <v>188</v>
      </c>
      <c r="I101" s="37">
        <v>47</v>
      </c>
      <c r="J101" s="38" t="s">
        <v>383</v>
      </c>
      <c r="K101" s="36"/>
      <c r="L101" s="36"/>
      <c r="M101" s="36"/>
    </row>
    <row r="102" spans="1:13">
      <c r="A102" s="36" t="s">
        <v>344</v>
      </c>
      <c r="B102" s="36"/>
      <c r="C102" s="36" t="s">
        <v>398</v>
      </c>
      <c r="D102" s="36"/>
      <c r="E102" s="36"/>
      <c r="F102" s="36"/>
      <c r="G102" s="36" t="s">
        <v>393</v>
      </c>
      <c r="H102" s="36" t="s">
        <v>188</v>
      </c>
      <c r="I102" s="37">
        <v>205</v>
      </c>
      <c r="J102" s="38" t="s">
        <v>383</v>
      </c>
      <c r="K102" s="36"/>
      <c r="L102" s="36"/>
      <c r="M102" s="36"/>
    </row>
    <row r="103" spans="1:13">
      <c r="A103" s="36" t="s">
        <v>399</v>
      </c>
      <c r="B103" s="36"/>
      <c r="C103" s="36" t="s">
        <v>400</v>
      </c>
      <c r="D103" s="36" t="s">
        <v>401</v>
      </c>
      <c r="E103" s="36"/>
      <c r="F103" s="36"/>
      <c r="G103" s="36" t="s">
        <v>393</v>
      </c>
      <c r="H103" s="36" t="s">
        <v>188</v>
      </c>
      <c r="I103" s="37">
        <v>31</v>
      </c>
      <c r="J103" s="38" t="s">
        <v>383</v>
      </c>
      <c r="K103" s="36"/>
      <c r="L103" s="36"/>
      <c r="M103" s="36"/>
    </row>
    <row r="104" spans="1:13">
      <c r="A104" s="36" t="s">
        <v>329</v>
      </c>
      <c r="B104" s="36"/>
      <c r="C104" s="36" t="s">
        <v>402</v>
      </c>
      <c r="D104" s="36" t="s">
        <v>119</v>
      </c>
      <c r="E104" s="36"/>
      <c r="F104" s="36"/>
      <c r="G104" s="36" t="s">
        <v>393</v>
      </c>
      <c r="H104" s="36" t="s">
        <v>188</v>
      </c>
      <c r="I104" s="37">
        <v>191</v>
      </c>
      <c r="J104" s="38" t="s">
        <v>383</v>
      </c>
      <c r="K104" s="36"/>
      <c r="L104" s="36"/>
      <c r="M104" s="36"/>
    </row>
    <row r="105" spans="1:13">
      <c r="A105" s="36" t="s">
        <v>329</v>
      </c>
      <c r="B105" s="36"/>
      <c r="C105" s="36" t="s">
        <v>403</v>
      </c>
      <c r="D105" s="36" t="s">
        <v>119</v>
      </c>
      <c r="E105" s="36"/>
      <c r="F105" s="36"/>
      <c r="G105" s="36" t="s">
        <v>393</v>
      </c>
      <c r="H105" s="36" t="s">
        <v>188</v>
      </c>
      <c r="I105" s="37">
        <v>210</v>
      </c>
      <c r="J105" s="38" t="s">
        <v>383</v>
      </c>
      <c r="K105" s="36"/>
      <c r="L105" s="36"/>
      <c r="M105" s="36"/>
    </row>
    <row r="106" spans="1:13">
      <c r="A106" s="36" t="s">
        <v>404</v>
      </c>
      <c r="B106" s="36"/>
      <c r="C106" s="36" t="s">
        <v>405</v>
      </c>
      <c r="D106" s="36" t="s">
        <v>119</v>
      </c>
      <c r="E106" s="36"/>
      <c r="F106" s="36"/>
      <c r="G106" s="36" t="s">
        <v>393</v>
      </c>
      <c r="H106" s="36" t="s">
        <v>188</v>
      </c>
      <c r="I106" s="37">
        <v>157</v>
      </c>
      <c r="J106" s="38" t="s">
        <v>383</v>
      </c>
      <c r="K106" s="36"/>
      <c r="L106" s="36"/>
      <c r="M106" s="36"/>
    </row>
    <row r="107" spans="1:13">
      <c r="A107" s="36" t="s">
        <v>280</v>
      </c>
      <c r="B107" s="36"/>
      <c r="C107" s="36" t="s">
        <v>406</v>
      </c>
      <c r="D107" s="36"/>
      <c r="E107" s="36"/>
      <c r="F107" s="36"/>
      <c r="G107" s="36" t="s">
        <v>393</v>
      </c>
      <c r="H107" s="36" t="s">
        <v>188</v>
      </c>
      <c r="I107" s="37">
        <v>138</v>
      </c>
      <c r="J107" s="38" t="s">
        <v>383</v>
      </c>
      <c r="K107" s="36"/>
      <c r="L107" s="36"/>
      <c r="M107" s="36"/>
    </row>
    <row r="108" spans="1:13">
      <c r="A108" s="36" t="s">
        <v>280</v>
      </c>
      <c r="B108" s="36"/>
      <c r="C108" s="36" t="s">
        <v>407</v>
      </c>
      <c r="D108" s="36" t="s">
        <v>142</v>
      </c>
      <c r="E108" s="36"/>
      <c r="F108" s="36"/>
      <c r="G108" s="36" t="s">
        <v>393</v>
      </c>
      <c r="H108" s="36" t="s">
        <v>188</v>
      </c>
      <c r="I108" s="37">
        <v>56</v>
      </c>
      <c r="J108" s="38" t="s">
        <v>383</v>
      </c>
      <c r="K108" s="36"/>
      <c r="L108" s="36"/>
      <c r="M108" s="36"/>
    </row>
    <row r="109" spans="1:13">
      <c r="A109" s="36" t="s">
        <v>280</v>
      </c>
      <c r="B109" s="36"/>
      <c r="C109" s="36" t="s">
        <v>408</v>
      </c>
      <c r="D109" s="36"/>
      <c r="E109" s="36"/>
      <c r="F109" s="36"/>
      <c r="G109" s="36" t="s">
        <v>393</v>
      </c>
      <c r="H109" s="36" t="s">
        <v>188</v>
      </c>
      <c r="I109" s="37">
        <v>220</v>
      </c>
      <c r="J109" s="38" t="s">
        <v>383</v>
      </c>
      <c r="K109" s="36"/>
      <c r="L109" s="36"/>
      <c r="M109" s="36"/>
    </row>
    <row r="110" spans="1:13">
      <c r="A110" s="36" t="s">
        <v>329</v>
      </c>
      <c r="B110" s="36"/>
      <c r="C110" s="36" t="s">
        <v>409</v>
      </c>
      <c r="D110" s="36" t="s">
        <v>142</v>
      </c>
      <c r="E110" s="36"/>
      <c r="F110" s="36"/>
      <c r="G110" s="36" t="s">
        <v>410</v>
      </c>
      <c r="H110" s="36" t="s">
        <v>188</v>
      </c>
      <c r="I110" s="37">
        <v>15</v>
      </c>
      <c r="J110" s="38" t="s">
        <v>383</v>
      </c>
      <c r="K110" s="36"/>
      <c r="L110" s="36"/>
      <c r="M110" s="36"/>
    </row>
    <row r="111" spans="1:13">
      <c r="A111" s="36" t="s">
        <v>346</v>
      </c>
      <c r="B111" s="36"/>
      <c r="C111" s="36" t="s">
        <v>411</v>
      </c>
      <c r="D111" s="36" t="s">
        <v>142</v>
      </c>
      <c r="E111" s="36"/>
      <c r="F111" s="36"/>
      <c r="G111" s="36" t="s">
        <v>410</v>
      </c>
      <c r="H111" s="36" t="s">
        <v>188</v>
      </c>
      <c r="I111" s="37">
        <v>72</v>
      </c>
      <c r="J111" s="38" t="s">
        <v>383</v>
      </c>
      <c r="K111" s="36"/>
      <c r="L111" s="36"/>
      <c r="M111" s="36"/>
    </row>
    <row r="112" spans="1:13">
      <c r="A112" s="36" t="s">
        <v>346</v>
      </c>
      <c r="B112" s="36"/>
      <c r="C112" s="36" t="s">
        <v>412</v>
      </c>
      <c r="D112" s="36" t="s">
        <v>142</v>
      </c>
      <c r="E112" s="36"/>
      <c r="F112" s="36"/>
      <c r="G112" s="36" t="s">
        <v>413</v>
      </c>
      <c r="H112" s="36" t="s">
        <v>188</v>
      </c>
      <c r="I112" s="37">
        <v>125</v>
      </c>
      <c r="J112" s="38" t="s">
        <v>383</v>
      </c>
      <c r="K112" s="36"/>
      <c r="L112" s="36"/>
      <c r="M112" s="36"/>
    </row>
    <row r="113" spans="1:13">
      <c r="A113" s="36" t="s">
        <v>370</v>
      </c>
      <c r="B113" s="36"/>
      <c r="C113" s="36" t="s">
        <v>414</v>
      </c>
      <c r="D113" s="36" t="s">
        <v>257</v>
      </c>
      <c r="E113" s="36"/>
      <c r="F113" s="36"/>
      <c r="G113" s="36" t="s">
        <v>415</v>
      </c>
      <c r="H113" s="36" t="s">
        <v>188</v>
      </c>
      <c r="I113" s="37">
        <v>39</v>
      </c>
      <c r="J113" s="38" t="s">
        <v>416</v>
      </c>
      <c r="K113" s="36"/>
      <c r="L113" s="36"/>
      <c r="M113" s="36"/>
    </row>
    <row r="114" spans="1:13">
      <c r="A114" s="36" t="s">
        <v>346</v>
      </c>
      <c r="B114" s="36"/>
      <c r="C114" s="36" t="s">
        <v>417</v>
      </c>
      <c r="D114" s="36" t="s">
        <v>142</v>
      </c>
      <c r="E114" s="36"/>
      <c r="F114" s="36"/>
      <c r="G114" s="36" t="s">
        <v>415</v>
      </c>
      <c r="H114" s="36" t="s">
        <v>188</v>
      </c>
      <c r="I114" s="37">
        <v>36</v>
      </c>
      <c r="J114" s="38" t="s">
        <v>416</v>
      </c>
      <c r="K114" s="36"/>
      <c r="L114" s="36"/>
      <c r="M114" s="36"/>
    </row>
    <row r="115" spans="1:13">
      <c r="A115" s="36" t="s">
        <v>280</v>
      </c>
      <c r="B115" s="36"/>
      <c r="C115" s="36" t="s">
        <v>418</v>
      </c>
      <c r="D115" s="36" t="s">
        <v>119</v>
      </c>
      <c r="E115" s="36"/>
      <c r="F115" s="36"/>
      <c r="G115" s="36" t="s">
        <v>415</v>
      </c>
      <c r="H115" s="36" t="s">
        <v>188</v>
      </c>
      <c r="I115" s="37">
        <v>29</v>
      </c>
      <c r="J115" s="38" t="s">
        <v>416</v>
      </c>
      <c r="K115" s="36"/>
      <c r="L115" s="36"/>
      <c r="M115" s="36"/>
    </row>
    <row r="116" spans="1:13">
      <c r="A116" s="36" t="s">
        <v>419</v>
      </c>
      <c r="B116" s="36"/>
      <c r="C116" s="36" t="s">
        <v>420</v>
      </c>
      <c r="D116" s="36" t="s">
        <v>11</v>
      </c>
      <c r="E116" s="36"/>
      <c r="F116" s="36"/>
      <c r="G116" s="36" t="s">
        <v>421</v>
      </c>
      <c r="H116" s="36" t="s">
        <v>188</v>
      </c>
      <c r="I116" s="37">
        <v>33</v>
      </c>
      <c r="J116" s="38" t="s">
        <v>416</v>
      </c>
      <c r="K116" s="36"/>
      <c r="L116" s="36"/>
      <c r="M116" s="36"/>
    </row>
    <row r="117" spans="1:13">
      <c r="A117" s="36" t="s">
        <v>419</v>
      </c>
      <c r="B117" s="36"/>
      <c r="C117" s="36" t="s">
        <v>420</v>
      </c>
      <c r="D117" s="36" t="s">
        <v>11</v>
      </c>
      <c r="E117" s="36"/>
      <c r="F117" s="36"/>
      <c r="G117" s="36" t="s">
        <v>422</v>
      </c>
      <c r="H117" s="36" t="s">
        <v>188</v>
      </c>
      <c r="I117" s="37">
        <v>107</v>
      </c>
      <c r="J117" s="38" t="s">
        <v>416</v>
      </c>
      <c r="K117" s="36"/>
      <c r="L117" s="36"/>
      <c r="M117" s="36"/>
    </row>
    <row r="118" spans="1:13">
      <c r="A118" s="36" t="s">
        <v>326</v>
      </c>
      <c r="B118" s="36"/>
      <c r="C118" s="36" t="s">
        <v>417</v>
      </c>
      <c r="D118" s="36" t="s">
        <v>119</v>
      </c>
      <c r="E118" s="36"/>
      <c r="F118" s="36"/>
      <c r="G118" s="36" t="s">
        <v>423</v>
      </c>
      <c r="H118" s="36" t="s">
        <v>188</v>
      </c>
      <c r="I118" s="37">
        <v>24</v>
      </c>
      <c r="J118" s="38" t="s">
        <v>416</v>
      </c>
      <c r="K118" s="36"/>
      <c r="L118" s="36"/>
      <c r="M118" s="36"/>
    </row>
    <row r="119" spans="1:13">
      <c r="A119" s="36" t="s">
        <v>329</v>
      </c>
      <c r="B119" s="36"/>
      <c r="C119" s="36" t="s">
        <v>424</v>
      </c>
      <c r="D119" s="36"/>
      <c r="E119" s="36"/>
      <c r="F119" s="36"/>
      <c r="G119" s="36" t="s">
        <v>425</v>
      </c>
      <c r="H119" s="36" t="s">
        <v>188</v>
      </c>
      <c r="I119" s="37">
        <v>5</v>
      </c>
      <c r="J119" s="38" t="s">
        <v>416</v>
      </c>
      <c r="K119" s="36"/>
      <c r="L119" s="36"/>
      <c r="M119" s="36"/>
    </row>
    <row r="120" spans="1:13">
      <c r="A120" s="36" t="s">
        <v>329</v>
      </c>
      <c r="B120" s="36"/>
      <c r="C120" s="36" t="s">
        <v>424</v>
      </c>
      <c r="D120" s="36"/>
      <c r="E120" s="36"/>
      <c r="F120" s="36"/>
      <c r="G120" s="36" t="s">
        <v>425</v>
      </c>
      <c r="H120" s="36" t="s">
        <v>188</v>
      </c>
      <c r="I120" s="37">
        <v>22</v>
      </c>
      <c r="J120" s="38" t="s">
        <v>416</v>
      </c>
      <c r="K120" s="36"/>
      <c r="L120" s="36"/>
      <c r="M120" s="36"/>
    </row>
    <row r="121" spans="1:13">
      <c r="A121" s="36" t="s">
        <v>329</v>
      </c>
      <c r="B121" s="36"/>
      <c r="C121" s="36" t="s">
        <v>424</v>
      </c>
      <c r="D121" s="36"/>
      <c r="E121" s="36"/>
      <c r="F121" s="36"/>
      <c r="G121" s="36" t="s">
        <v>425</v>
      </c>
      <c r="H121" s="36" t="s">
        <v>188</v>
      </c>
      <c r="I121" s="37">
        <v>23</v>
      </c>
      <c r="J121" s="38" t="s">
        <v>416</v>
      </c>
      <c r="K121" s="36"/>
      <c r="L121" s="36"/>
      <c r="M121" s="36"/>
    </row>
    <row r="122" spans="1:13">
      <c r="A122" s="36" t="s">
        <v>359</v>
      </c>
      <c r="B122" s="36"/>
      <c r="C122" s="36" t="s">
        <v>426</v>
      </c>
      <c r="D122" s="36" t="s">
        <v>119</v>
      </c>
      <c r="E122" s="36"/>
      <c r="F122" s="36"/>
      <c r="G122" s="36" t="s">
        <v>427</v>
      </c>
      <c r="H122" s="36" t="s">
        <v>188</v>
      </c>
      <c r="I122" s="37">
        <v>65</v>
      </c>
      <c r="J122" s="38" t="s">
        <v>416</v>
      </c>
      <c r="K122" s="36"/>
      <c r="L122" s="36"/>
      <c r="M122" s="36"/>
    </row>
    <row r="123" spans="1:13">
      <c r="A123" s="36" t="s">
        <v>359</v>
      </c>
      <c r="B123" s="36"/>
      <c r="C123" s="36" t="s">
        <v>428</v>
      </c>
      <c r="D123" s="36" t="s">
        <v>119</v>
      </c>
      <c r="E123" s="36"/>
      <c r="F123" s="36"/>
      <c r="G123" s="36" t="s">
        <v>429</v>
      </c>
      <c r="H123" s="36" t="s">
        <v>188</v>
      </c>
      <c r="I123" s="37">
        <v>45</v>
      </c>
      <c r="J123" s="38" t="s">
        <v>416</v>
      </c>
      <c r="K123" s="36"/>
      <c r="L123" s="36"/>
      <c r="M123" s="36"/>
    </row>
    <row r="124" spans="1:13">
      <c r="A124" s="36" t="s">
        <v>331</v>
      </c>
      <c r="B124" s="36"/>
      <c r="C124" s="36" t="s">
        <v>430</v>
      </c>
      <c r="D124" s="36"/>
      <c r="E124" s="36"/>
      <c r="F124" s="36"/>
      <c r="G124" s="36" t="s">
        <v>431</v>
      </c>
      <c r="H124" s="36" t="s">
        <v>188</v>
      </c>
      <c r="I124" s="37">
        <v>12</v>
      </c>
      <c r="J124" s="38" t="s">
        <v>416</v>
      </c>
      <c r="K124" s="36"/>
      <c r="L124" s="36"/>
      <c r="M124" s="36"/>
    </row>
    <row r="125" spans="1:13">
      <c r="A125" s="36" t="s">
        <v>432</v>
      </c>
      <c r="B125" s="36"/>
      <c r="C125" s="36"/>
      <c r="D125" s="36"/>
      <c r="E125" s="36"/>
      <c r="F125" s="36"/>
      <c r="G125" s="36" t="s">
        <v>431</v>
      </c>
      <c r="H125" s="36" t="s">
        <v>188</v>
      </c>
      <c r="I125" s="37">
        <v>26</v>
      </c>
      <c r="J125" s="38" t="s">
        <v>416</v>
      </c>
      <c r="K125" s="36"/>
      <c r="L125" s="36"/>
      <c r="M125" s="36"/>
    </row>
    <row r="126" spans="1:13">
      <c r="A126" s="36" t="s">
        <v>331</v>
      </c>
      <c r="B126" s="36"/>
      <c r="C126" s="36" t="s">
        <v>433</v>
      </c>
      <c r="D126" s="36" t="s">
        <v>257</v>
      </c>
      <c r="E126" s="36"/>
      <c r="F126" s="36"/>
      <c r="G126" s="36" t="s">
        <v>434</v>
      </c>
      <c r="H126" s="36" t="s">
        <v>188</v>
      </c>
      <c r="I126" s="37">
        <v>12</v>
      </c>
      <c r="J126" s="38" t="s">
        <v>416</v>
      </c>
      <c r="K126" s="36"/>
      <c r="L126" s="36"/>
      <c r="M126" s="36"/>
    </row>
    <row r="127" spans="1:13">
      <c r="A127" s="36" t="s">
        <v>280</v>
      </c>
      <c r="B127" s="36"/>
      <c r="C127" s="36" t="s">
        <v>435</v>
      </c>
      <c r="D127" s="36" t="s">
        <v>119</v>
      </c>
      <c r="E127" s="36"/>
      <c r="F127" s="36"/>
      <c r="G127" s="36" t="s">
        <v>436</v>
      </c>
      <c r="H127" s="36" t="s">
        <v>188</v>
      </c>
      <c r="I127" s="37">
        <v>86</v>
      </c>
      <c r="J127" s="38" t="s">
        <v>416</v>
      </c>
      <c r="K127" s="36"/>
      <c r="L127" s="36"/>
      <c r="M127" s="36"/>
    </row>
    <row r="128" spans="1:13">
      <c r="A128" s="36" t="s">
        <v>329</v>
      </c>
      <c r="B128" s="36"/>
      <c r="C128" s="36" t="s">
        <v>437</v>
      </c>
      <c r="D128" s="36" t="s">
        <v>119</v>
      </c>
      <c r="E128" s="36"/>
      <c r="F128" s="36"/>
      <c r="G128" s="36" t="s">
        <v>438</v>
      </c>
      <c r="H128" s="36" t="s">
        <v>188</v>
      </c>
      <c r="I128" s="37">
        <v>10</v>
      </c>
      <c r="J128" s="38" t="s">
        <v>416</v>
      </c>
      <c r="K128" s="36"/>
      <c r="L128" s="36"/>
      <c r="M128" s="36"/>
    </row>
    <row r="129" spans="1:13">
      <c r="A129" s="36" t="s">
        <v>439</v>
      </c>
      <c r="B129" s="36"/>
      <c r="C129" s="36" t="s">
        <v>440</v>
      </c>
      <c r="D129" s="36" t="s">
        <v>119</v>
      </c>
      <c r="E129" s="36"/>
      <c r="F129" s="36"/>
      <c r="G129" s="36" t="s">
        <v>438</v>
      </c>
      <c r="H129" s="36" t="s">
        <v>188</v>
      </c>
      <c r="I129" s="37">
        <v>31</v>
      </c>
      <c r="J129" s="38" t="s">
        <v>416</v>
      </c>
      <c r="K129" s="36"/>
      <c r="L129" s="36"/>
      <c r="M129" s="36"/>
    </row>
    <row r="130" spans="1:13">
      <c r="A130" s="36" t="s">
        <v>441</v>
      </c>
      <c r="B130" s="36"/>
      <c r="C130" s="36" t="s">
        <v>442</v>
      </c>
      <c r="D130" s="36" t="s">
        <v>119</v>
      </c>
      <c r="E130" s="36"/>
      <c r="F130" s="36"/>
      <c r="G130" s="36" t="s">
        <v>438</v>
      </c>
      <c r="H130" s="36" t="s">
        <v>188</v>
      </c>
      <c r="I130" s="37">
        <v>68</v>
      </c>
      <c r="J130" s="38" t="s">
        <v>416</v>
      </c>
      <c r="K130" s="36"/>
      <c r="L130" s="36"/>
      <c r="M130" s="36"/>
    </row>
    <row r="131" spans="1:13">
      <c r="A131" s="36" t="s">
        <v>443</v>
      </c>
      <c r="B131" s="36"/>
      <c r="C131" s="36" t="s">
        <v>444</v>
      </c>
      <c r="D131" s="36" t="s">
        <v>11</v>
      </c>
      <c r="E131" s="36"/>
      <c r="F131" s="36"/>
      <c r="G131" s="36" t="s">
        <v>445</v>
      </c>
      <c r="H131" s="36" t="s">
        <v>188</v>
      </c>
      <c r="I131" s="37">
        <v>77</v>
      </c>
      <c r="J131" s="38" t="s">
        <v>416</v>
      </c>
      <c r="K131" s="36"/>
      <c r="L131" s="36"/>
      <c r="M131" s="36"/>
    </row>
    <row r="132" spans="1:13">
      <c r="A132" s="36" t="s">
        <v>446</v>
      </c>
      <c r="B132" s="36"/>
      <c r="C132" s="36" t="s">
        <v>447</v>
      </c>
      <c r="D132" s="36"/>
      <c r="E132" s="36"/>
      <c r="F132" s="36"/>
      <c r="G132" s="36" t="s">
        <v>448</v>
      </c>
      <c r="H132" s="36" t="s">
        <v>188</v>
      </c>
      <c r="I132" s="37">
        <v>45</v>
      </c>
      <c r="J132" s="38" t="s">
        <v>416</v>
      </c>
      <c r="K132" s="36"/>
      <c r="L132" s="36"/>
      <c r="M132" s="36"/>
    </row>
    <row r="133" spans="1:13">
      <c r="A133" s="36" t="s">
        <v>449</v>
      </c>
      <c r="B133" s="36"/>
      <c r="C133" s="36" t="s">
        <v>450</v>
      </c>
      <c r="D133" s="36" t="s">
        <v>119</v>
      </c>
      <c r="E133" s="36"/>
      <c r="F133" s="36"/>
      <c r="G133" s="36" t="s">
        <v>451</v>
      </c>
      <c r="H133" s="36" t="s">
        <v>188</v>
      </c>
      <c r="I133" s="37">
        <v>45</v>
      </c>
      <c r="J133" s="38" t="s">
        <v>416</v>
      </c>
      <c r="K133" s="36"/>
      <c r="L133" s="36"/>
      <c r="M133" s="36"/>
    </row>
    <row r="134" spans="1:13">
      <c r="A134" s="36" t="s">
        <v>329</v>
      </c>
      <c r="B134" s="36"/>
      <c r="C134" s="36" t="s">
        <v>452</v>
      </c>
      <c r="D134" s="36"/>
      <c r="E134" s="36"/>
      <c r="F134" s="36"/>
      <c r="G134" s="36" t="s">
        <v>453</v>
      </c>
      <c r="H134" s="36" t="s">
        <v>188</v>
      </c>
      <c r="I134" s="37">
        <v>14</v>
      </c>
      <c r="J134" s="38" t="s">
        <v>416</v>
      </c>
      <c r="K134" s="36"/>
      <c r="L134" s="36"/>
      <c r="M134" s="36"/>
    </row>
    <row r="135" spans="1:13">
      <c r="A135" s="36" t="s">
        <v>370</v>
      </c>
      <c r="B135" s="36"/>
      <c r="C135" s="36" t="s">
        <v>454</v>
      </c>
      <c r="D135" s="36"/>
      <c r="E135" s="36"/>
      <c r="F135" s="36"/>
      <c r="G135" s="36" t="s">
        <v>455</v>
      </c>
      <c r="H135" s="36" t="s">
        <v>188</v>
      </c>
      <c r="I135" s="37">
        <v>123</v>
      </c>
      <c r="J135" s="38" t="s">
        <v>416</v>
      </c>
      <c r="K135" s="36"/>
      <c r="L135" s="36"/>
      <c r="M135" s="36"/>
    </row>
    <row r="136" spans="1:13">
      <c r="A136" s="36" t="s">
        <v>370</v>
      </c>
      <c r="B136" s="36"/>
      <c r="C136" s="36" t="s">
        <v>456</v>
      </c>
      <c r="D136" s="36" t="s">
        <v>119</v>
      </c>
      <c r="E136" s="36"/>
      <c r="F136" s="36"/>
      <c r="G136" s="36" t="s">
        <v>457</v>
      </c>
      <c r="H136" s="36" t="s">
        <v>188</v>
      </c>
      <c r="I136" s="37">
        <v>58</v>
      </c>
      <c r="J136" s="38" t="s">
        <v>416</v>
      </c>
      <c r="K136" s="36"/>
      <c r="L136" s="36"/>
      <c r="M136" s="36"/>
    </row>
    <row r="137" spans="1:13">
      <c r="A137" s="36" t="s">
        <v>396</v>
      </c>
      <c r="B137" s="36"/>
      <c r="C137" s="36" t="s">
        <v>458</v>
      </c>
      <c r="D137" s="36" t="s">
        <v>119</v>
      </c>
      <c r="E137" s="36"/>
      <c r="F137" s="36"/>
      <c r="G137" s="36" t="s">
        <v>459</v>
      </c>
      <c r="H137" s="36" t="s">
        <v>188</v>
      </c>
      <c r="I137" s="37">
        <v>40</v>
      </c>
      <c r="J137" s="38" t="s">
        <v>416</v>
      </c>
      <c r="K137" s="36"/>
      <c r="L137" s="36"/>
      <c r="M137" s="36"/>
    </row>
    <row r="138" spans="1:13">
      <c r="A138" s="36" t="s">
        <v>329</v>
      </c>
      <c r="B138" s="36"/>
      <c r="C138" s="36" t="s">
        <v>460</v>
      </c>
      <c r="D138" s="36" t="s">
        <v>119</v>
      </c>
      <c r="E138" s="36"/>
      <c r="F138" s="36"/>
      <c r="G138" s="36" t="s">
        <v>459</v>
      </c>
      <c r="H138" s="36" t="s">
        <v>188</v>
      </c>
      <c r="I138" s="37">
        <v>9</v>
      </c>
      <c r="J138" s="38" t="s">
        <v>416</v>
      </c>
      <c r="K138" s="36"/>
      <c r="L138" s="36"/>
      <c r="M138" s="36"/>
    </row>
    <row r="139" spans="1:13">
      <c r="A139" s="36" t="s">
        <v>370</v>
      </c>
      <c r="B139" s="36"/>
      <c r="C139" s="36" t="s">
        <v>461</v>
      </c>
      <c r="D139" s="36" t="s">
        <v>401</v>
      </c>
      <c r="E139" s="36"/>
      <c r="F139" s="36"/>
      <c r="G139" s="36" t="s">
        <v>459</v>
      </c>
      <c r="H139" s="36" t="s">
        <v>188</v>
      </c>
      <c r="I139" s="37">
        <v>78</v>
      </c>
      <c r="J139" s="38" t="s">
        <v>416</v>
      </c>
      <c r="K139" s="36"/>
      <c r="L139" s="36"/>
      <c r="M139" s="36"/>
    </row>
    <row r="140" spans="1:13">
      <c r="A140" s="36" t="s">
        <v>370</v>
      </c>
      <c r="B140" s="36"/>
      <c r="C140" s="36" t="s">
        <v>462</v>
      </c>
      <c r="D140" s="36" t="s">
        <v>119</v>
      </c>
      <c r="E140" s="36"/>
      <c r="F140" s="36"/>
      <c r="G140" s="36" t="s">
        <v>463</v>
      </c>
      <c r="H140" s="36" t="s">
        <v>188</v>
      </c>
      <c r="I140" s="37">
        <v>10</v>
      </c>
      <c r="J140" s="38" t="s">
        <v>416</v>
      </c>
      <c r="K140" s="36"/>
      <c r="L140" s="36"/>
      <c r="M140" s="36"/>
    </row>
    <row r="141" spans="1:13">
      <c r="A141" s="36" t="s">
        <v>326</v>
      </c>
      <c r="B141" s="36"/>
      <c r="C141" s="36" t="s">
        <v>403</v>
      </c>
      <c r="D141" s="36" t="s">
        <v>119</v>
      </c>
      <c r="E141" s="36"/>
      <c r="F141" s="36"/>
      <c r="G141" s="36" t="s">
        <v>464</v>
      </c>
      <c r="H141" s="36" t="s">
        <v>188</v>
      </c>
      <c r="I141" s="37">
        <v>32</v>
      </c>
      <c r="J141" s="38" t="s">
        <v>416</v>
      </c>
      <c r="K141" s="36"/>
      <c r="L141" s="36"/>
      <c r="M141" s="36"/>
    </row>
    <row r="142" spans="1:13">
      <c r="A142" s="36" t="s">
        <v>465</v>
      </c>
      <c r="B142" s="36"/>
      <c r="C142" s="36" t="s">
        <v>466</v>
      </c>
      <c r="D142" s="36" t="s">
        <v>467</v>
      </c>
      <c r="E142" s="36"/>
      <c r="F142" s="36"/>
      <c r="G142" s="36" t="s">
        <v>464</v>
      </c>
      <c r="H142" s="36" t="s">
        <v>188</v>
      </c>
      <c r="I142" s="37">
        <v>50</v>
      </c>
      <c r="J142" s="38" t="s">
        <v>416</v>
      </c>
      <c r="K142" s="36"/>
      <c r="L142" s="36"/>
      <c r="M142" s="36"/>
    </row>
    <row r="143" spans="1:13">
      <c r="A143" s="36" t="s">
        <v>468</v>
      </c>
      <c r="B143" s="36"/>
      <c r="C143" s="36" t="s">
        <v>469</v>
      </c>
      <c r="D143" s="36" t="s">
        <v>119</v>
      </c>
      <c r="E143" s="36"/>
      <c r="F143" s="36"/>
      <c r="G143" s="36" t="s">
        <v>464</v>
      </c>
      <c r="H143" s="36" t="s">
        <v>188</v>
      </c>
      <c r="I143" s="37">
        <v>15</v>
      </c>
      <c r="J143" s="38" t="s">
        <v>416</v>
      </c>
      <c r="K143" s="36"/>
      <c r="L143" s="36"/>
      <c r="M143" s="36"/>
    </row>
    <row r="144" spans="1:13">
      <c r="A144" s="36" t="s">
        <v>326</v>
      </c>
      <c r="B144" s="36"/>
      <c r="C144" s="36" t="s">
        <v>470</v>
      </c>
      <c r="D144" s="36" t="s">
        <v>119</v>
      </c>
      <c r="E144" s="36"/>
      <c r="F144" s="36"/>
      <c r="G144" s="36" t="s">
        <v>471</v>
      </c>
      <c r="H144" s="36" t="s">
        <v>188</v>
      </c>
      <c r="I144" s="37">
        <v>45</v>
      </c>
      <c r="J144" s="38" t="s">
        <v>416</v>
      </c>
      <c r="K144" s="36"/>
      <c r="L144" s="36"/>
      <c r="M144" s="36"/>
    </row>
    <row r="145" spans="1:13">
      <c r="A145" s="36" t="s">
        <v>329</v>
      </c>
      <c r="B145" s="36"/>
      <c r="C145" s="36" t="s">
        <v>472</v>
      </c>
      <c r="D145" s="36" t="s">
        <v>473</v>
      </c>
      <c r="E145" s="36"/>
      <c r="F145" s="36"/>
      <c r="G145" s="36" t="s">
        <v>471</v>
      </c>
      <c r="H145" s="36" t="s">
        <v>188</v>
      </c>
      <c r="I145" s="37">
        <v>54</v>
      </c>
      <c r="J145" s="38" t="s">
        <v>416</v>
      </c>
      <c r="K145" s="36"/>
      <c r="L145" s="36"/>
      <c r="M145" s="36"/>
    </row>
    <row r="146" spans="1:13">
      <c r="A146" s="36" t="s">
        <v>370</v>
      </c>
      <c r="B146" s="36"/>
      <c r="C146" s="36" t="s">
        <v>474</v>
      </c>
      <c r="D146" s="36" t="s">
        <v>119</v>
      </c>
      <c r="E146" s="36"/>
      <c r="F146" s="36"/>
      <c r="G146" s="36" t="s">
        <v>471</v>
      </c>
      <c r="H146" s="36" t="s">
        <v>188</v>
      </c>
      <c r="I146" s="37">
        <v>50</v>
      </c>
      <c r="J146" s="38" t="s">
        <v>416</v>
      </c>
      <c r="K146" s="36"/>
      <c r="L146" s="36"/>
      <c r="M146" s="36"/>
    </row>
    <row r="147" spans="1:13">
      <c r="A147" s="36" t="s">
        <v>475</v>
      </c>
      <c r="B147" s="36"/>
      <c r="C147" s="36" t="s">
        <v>476</v>
      </c>
      <c r="D147" s="36"/>
      <c r="E147" s="36"/>
      <c r="F147" s="36"/>
      <c r="G147" s="36" t="s">
        <v>471</v>
      </c>
      <c r="H147" s="36" t="s">
        <v>188</v>
      </c>
      <c r="I147" s="37">
        <v>50</v>
      </c>
      <c r="J147" s="38" t="s">
        <v>416</v>
      </c>
      <c r="K147" s="36"/>
      <c r="L147" s="36"/>
      <c r="M147" s="36"/>
    </row>
    <row r="148" spans="1:13">
      <c r="A148" s="36" t="s">
        <v>329</v>
      </c>
      <c r="B148" s="36"/>
      <c r="C148" s="36" t="s">
        <v>477</v>
      </c>
      <c r="D148" s="36" t="s">
        <v>119</v>
      </c>
      <c r="E148" s="36"/>
      <c r="F148" s="36"/>
      <c r="G148" s="36" t="s">
        <v>478</v>
      </c>
      <c r="H148" s="36" t="s">
        <v>188</v>
      </c>
      <c r="I148" s="37">
        <v>30</v>
      </c>
      <c r="J148" s="38" t="s">
        <v>416</v>
      </c>
      <c r="K148" s="36"/>
      <c r="L148" s="36"/>
      <c r="M148" s="36"/>
    </row>
    <row r="149" spans="1:13">
      <c r="A149" s="36" t="s">
        <v>370</v>
      </c>
      <c r="B149" s="36"/>
      <c r="C149" s="36" t="s">
        <v>479</v>
      </c>
      <c r="D149" s="36" t="s">
        <v>11</v>
      </c>
      <c r="E149" s="36"/>
      <c r="F149" s="36"/>
      <c r="G149" s="36" t="s">
        <v>478</v>
      </c>
      <c r="H149" s="36" t="s">
        <v>188</v>
      </c>
      <c r="I149" s="37">
        <v>35</v>
      </c>
      <c r="J149" s="38" t="s">
        <v>416</v>
      </c>
      <c r="K149" s="36"/>
      <c r="L149" s="36"/>
      <c r="M149" s="36"/>
    </row>
    <row r="150" spans="1:13">
      <c r="A150" s="36" t="s">
        <v>329</v>
      </c>
      <c r="B150" s="36"/>
      <c r="C150" s="36" t="s">
        <v>480</v>
      </c>
      <c r="D150" s="36" t="s">
        <v>119</v>
      </c>
      <c r="E150" s="36"/>
      <c r="F150" s="36"/>
      <c r="G150" s="36" t="s">
        <v>481</v>
      </c>
      <c r="H150" s="36" t="s">
        <v>188</v>
      </c>
      <c r="I150" s="37">
        <v>38</v>
      </c>
      <c r="J150" s="38" t="s">
        <v>416</v>
      </c>
      <c r="K150" s="36"/>
      <c r="L150" s="36"/>
      <c r="M150" s="36"/>
    </row>
    <row r="151" spans="1:13">
      <c r="A151" s="36" t="s">
        <v>370</v>
      </c>
      <c r="B151" s="36"/>
      <c r="C151" s="36" t="s">
        <v>482</v>
      </c>
      <c r="D151" s="36" t="s">
        <v>483</v>
      </c>
      <c r="E151" s="36"/>
      <c r="F151" s="36"/>
      <c r="G151" s="36" t="s">
        <v>481</v>
      </c>
      <c r="H151" s="36" t="s">
        <v>188</v>
      </c>
      <c r="I151" s="37">
        <v>28</v>
      </c>
      <c r="J151" s="38" t="s">
        <v>416</v>
      </c>
      <c r="K151" s="36"/>
      <c r="L151" s="36"/>
      <c r="M151" s="36"/>
    </row>
    <row r="152" spans="1:13">
      <c r="A152" s="36" t="s">
        <v>329</v>
      </c>
      <c r="B152" s="36"/>
      <c r="C152" s="36" t="s">
        <v>484</v>
      </c>
      <c r="D152" s="36" t="s">
        <v>119</v>
      </c>
      <c r="E152" s="36"/>
      <c r="F152" s="36"/>
      <c r="G152" s="36" t="s">
        <v>485</v>
      </c>
      <c r="H152" s="36" t="s">
        <v>188</v>
      </c>
      <c r="I152" s="37">
        <v>30</v>
      </c>
      <c r="J152" s="38" t="s">
        <v>416</v>
      </c>
      <c r="K152" s="36"/>
      <c r="L152" s="36"/>
      <c r="M152" s="36"/>
    </row>
    <row r="153" spans="1:13">
      <c r="A153" s="36" t="s">
        <v>370</v>
      </c>
      <c r="B153" s="36"/>
      <c r="C153" s="36" t="s">
        <v>486</v>
      </c>
      <c r="D153" s="36" t="s">
        <v>257</v>
      </c>
      <c r="E153" s="36"/>
      <c r="F153" s="36"/>
      <c r="G153" s="36" t="s">
        <v>485</v>
      </c>
      <c r="H153" s="36" t="s">
        <v>188</v>
      </c>
      <c r="I153" s="37">
        <v>20</v>
      </c>
      <c r="J153" s="38" t="s">
        <v>416</v>
      </c>
      <c r="K153" s="36"/>
      <c r="L153" s="36"/>
      <c r="M153" s="36"/>
    </row>
    <row r="154" spans="1:13">
      <c r="A154" s="36" t="s">
        <v>370</v>
      </c>
      <c r="B154" s="36"/>
      <c r="C154" s="36" t="s">
        <v>487</v>
      </c>
      <c r="D154" s="36" t="s">
        <v>119</v>
      </c>
      <c r="E154" s="36"/>
      <c r="F154" s="36"/>
      <c r="G154" s="36" t="s">
        <v>485</v>
      </c>
      <c r="H154" s="36" t="s">
        <v>188</v>
      </c>
      <c r="I154" s="37">
        <v>10</v>
      </c>
      <c r="J154" s="38" t="s">
        <v>416</v>
      </c>
      <c r="K154" s="36"/>
      <c r="L154" s="36"/>
      <c r="M154" s="36"/>
    </row>
    <row r="155" spans="1:13">
      <c r="A155" s="36" t="s">
        <v>441</v>
      </c>
      <c r="B155" s="36"/>
      <c r="C155" s="36" t="s">
        <v>488</v>
      </c>
      <c r="D155" s="36" t="s">
        <v>257</v>
      </c>
      <c r="E155" s="36"/>
      <c r="F155" s="36"/>
      <c r="G155" s="36" t="s">
        <v>485</v>
      </c>
      <c r="H155" s="36" t="s">
        <v>188</v>
      </c>
      <c r="I155" s="37">
        <v>16</v>
      </c>
      <c r="J155" s="38" t="s">
        <v>416</v>
      </c>
      <c r="K155" s="36"/>
      <c r="L155" s="36"/>
      <c r="M155" s="36"/>
    </row>
    <row r="156" spans="1:13">
      <c r="A156" s="36"/>
      <c r="B156" s="36"/>
      <c r="C156" s="36"/>
      <c r="D156" s="36" t="s">
        <v>11</v>
      </c>
      <c r="E156" s="36"/>
      <c r="F156" s="36"/>
      <c r="G156" s="36" t="s">
        <v>489</v>
      </c>
      <c r="H156" s="36" t="s">
        <v>490</v>
      </c>
      <c r="I156" s="37">
        <v>60</v>
      </c>
      <c r="J156" s="38" t="s">
        <v>491</v>
      </c>
      <c r="K156" s="36"/>
      <c r="L156" s="36"/>
      <c r="M156" s="36"/>
    </row>
    <row r="157" spans="1:13">
      <c r="A157" s="36"/>
      <c r="B157" s="36"/>
      <c r="C157" s="36"/>
      <c r="D157" s="36" t="s">
        <v>11</v>
      </c>
      <c r="E157" s="36"/>
      <c r="F157" s="36"/>
      <c r="G157" s="36" t="s">
        <v>492</v>
      </c>
      <c r="H157" s="36" t="s">
        <v>490</v>
      </c>
      <c r="I157" s="37">
        <v>5</v>
      </c>
      <c r="J157" s="38" t="s">
        <v>493</v>
      </c>
      <c r="K157" s="36"/>
      <c r="L157" s="36"/>
      <c r="M157" s="36"/>
    </row>
    <row r="158" spans="1:13">
      <c r="A158" s="36"/>
      <c r="B158" s="36"/>
      <c r="C158" s="36"/>
      <c r="D158" s="36" t="s">
        <v>11</v>
      </c>
      <c r="E158" s="36"/>
      <c r="F158" s="36"/>
      <c r="G158" s="36" t="s">
        <v>494</v>
      </c>
      <c r="H158" s="36" t="s">
        <v>490</v>
      </c>
      <c r="I158" s="37">
        <v>46</v>
      </c>
      <c r="J158" s="38" t="s">
        <v>495</v>
      </c>
      <c r="K158" s="36"/>
      <c r="L158" s="36"/>
      <c r="M158" s="36"/>
    </row>
    <row r="159" spans="1:13">
      <c r="A159" s="36"/>
      <c r="B159" s="36"/>
      <c r="C159" s="36"/>
      <c r="D159" s="36" t="s">
        <v>11</v>
      </c>
      <c r="E159" s="36"/>
      <c r="F159" s="36"/>
      <c r="G159" s="36" t="s">
        <v>496</v>
      </c>
      <c r="H159" s="36" t="s">
        <v>490</v>
      </c>
      <c r="I159" s="37">
        <v>61</v>
      </c>
      <c r="J159" s="38" t="s">
        <v>495</v>
      </c>
      <c r="K159" s="36"/>
      <c r="L159" s="36"/>
      <c r="M159" s="36"/>
    </row>
    <row r="160" spans="1:13">
      <c r="A160" s="36"/>
      <c r="B160" s="36"/>
      <c r="C160" s="36"/>
      <c r="D160" s="36" t="s">
        <v>11</v>
      </c>
      <c r="E160" s="36"/>
      <c r="F160" s="36"/>
      <c r="G160" s="36" t="s">
        <v>497</v>
      </c>
      <c r="H160" s="36" t="s">
        <v>490</v>
      </c>
      <c r="I160" s="37">
        <v>92</v>
      </c>
      <c r="J160" s="38" t="s">
        <v>193</v>
      </c>
      <c r="K160" s="36"/>
      <c r="L160" s="36"/>
      <c r="M160" s="36"/>
    </row>
    <row r="161" spans="1:13">
      <c r="A161" s="36"/>
      <c r="B161" s="36"/>
      <c r="C161" s="36"/>
      <c r="D161" s="36" t="s">
        <v>11</v>
      </c>
      <c r="E161" s="36"/>
      <c r="F161" s="36"/>
      <c r="G161" s="36" t="s">
        <v>498</v>
      </c>
      <c r="H161" s="36" t="s">
        <v>490</v>
      </c>
      <c r="I161" s="37">
        <v>30</v>
      </c>
      <c r="J161" s="38" t="s">
        <v>499</v>
      </c>
      <c r="K161" s="36"/>
      <c r="L161" s="36"/>
      <c r="M161" s="36"/>
    </row>
    <row r="162" spans="1:13">
      <c r="A162" s="36"/>
      <c r="B162" s="36"/>
      <c r="C162" s="36"/>
      <c r="D162" s="36"/>
      <c r="E162" s="36"/>
      <c r="F162" s="36"/>
      <c r="G162" s="36" t="s">
        <v>278</v>
      </c>
      <c r="H162" s="36" t="s">
        <v>490</v>
      </c>
      <c r="I162" s="37">
        <v>24</v>
      </c>
      <c r="J162" s="38" t="s">
        <v>282</v>
      </c>
      <c r="K162" s="36"/>
      <c r="L162" s="36"/>
      <c r="M162" s="36"/>
    </row>
    <row r="163" spans="1:13">
      <c r="A163" s="36"/>
      <c r="B163" s="36"/>
      <c r="C163" s="36"/>
      <c r="D163" s="36" t="s">
        <v>11</v>
      </c>
      <c r="E163" s="36"/>
      <c r="F163" s="36"/>
      <c r="G163" s="36" t="s">
        <v>500</v>
      </c>
      <c r="H163" s="36" t="s">
        <v>490</v>
      </c>
      <c r="I163" s="37">
        <v>54</v>
      </c>
      <c r="J163" s="38"/>
      <c r="K163" s="36" t="s">
        <v>501</v>
      </c>
      <c r="L163" s="36"/>
      <c r="M163" s="36"/>
    </row>
    <row r="164" spans="1:13">
      <c r="A164" s="36"/>
      <c r="B164" s="36"/>
      <c r="C164" s="36"/>
      <c r="D164" s="36"/>
      <c r="E164" s="36"/>
      <c r="F164" s="36"/>
      <c r="G164" s="36" t="s">
        <v>500</v>
      </c>
      <c r="H164" s="36" t="s">
        <v>490</v>
      </c>
      <c r="I164" s="37">
        <v>49</v>
      </c>
      <c r="J164" s="38" t="s">
        <v>325</v>
      </c>
      <c r="K164" s="36"/>
      <c r="L164" s="36"/>
      <c r="M164" s="36"/>
    </row>
    <row r="165" spans="1:13">
      <c r="A165" s="36"/>
      <c r="B165" s="36"/>
      <c r="C165" s="36"/>
      <c r="D165" s="36" t="s">
        <v>11</v>
      </c>
      <c r="E165" s="36"/>
      <c r="F165" s="36"/>
      <c r="G165" s="36" t="s">
        <v>328</v>
      </c>
      <c r="H165" s="36" t="s">
        <v>490</v>
      </c>
      <c r="I165" s="37">
        <v>14</v>
      </c>
      <c r="J165" s="38"/>
      <c r="K165" s="36" t="s">
        <v>501</v>
      </c>
      <c r="L165" s="36"/>
      <c r="M165" s="36"/>
    </row>
    <row r="166" spans="1:13">
      <c r="A166" s="36"/>
      <c r="B166" s="36"/>
      <c r="C166" s="36"/>
      <c r="D166" s="36"/>
      <c r="E166" s="36"/>
      <c r="F166" s="36"/>
      <c r="G166" s="36" t="s">
        <v>343</v>
      </c>
      <c r="H166" s="36" t="s">
        <v>490</v>
      </c>
      <c r="I166" s="37">
        <v>32</v>
      </c>
      <c r="J166" s="38" t="s">
        <v>325</v>
      </c>
      <c r="K166" s="36"/>
      <c r="L166" s="36"/>
      <c r="M166" s="36"/>
    </row>
    <row r="167" spans="1:13">
      <c r="A167" s="36"/>
      <c r="B167" s="36"/>
      <c r="C167" s="36"/>
      <c r="D167" s="36" t="s">
        <v>502</v>
      </c>
      <c r="E167" s="36"/>
      <c r="F167" s="36"/>
      <c r="G167" s="36" t="s">
        <v>351</v>
      </c>
      <c r="H167" s="36" t="s">
        <v>490</v>
      </c>
      <c r="I167" s="37">
        <v>430</v>
      </c>
      <c r="J167" s="38"/>
      <c r="K167" s="36" t="s">
        <v>501</v>
      </c>
      <c r="L167" s="36"/>
      <c r="M167" s="36"/>
    </row>
    <row r="168" spans="1:13">
      <c r="A168" s="36"/>
      <c r="B168" s="36"/>
      <c r="C168" s="36"/>
      <c r="D168" s="36"/>
      <c r="E168" s="36"/>
      <c r="F168" s="36"/>
      <c r="G168" s="36" t="s">
        <v>351</v>
      </c>
      <c r="H168" s="36" t="s">
        <v>490</v>
      </c>
      <c r="I168" s="37">
        <v>65</v>
      </c>
      <c r="J168" s="38" t="s">
        <v>325</v>
      </c>
      <c r="K168" s="36"/>
      <c r="L168" s="36"/>
      <c r="M168" s="36"/>
    </row>
    <row r="169" spans="1:13">
      <c r="A169" s="36"/>
      <c r="B169" s="36"/>
      <c r="C169" s="36"/>
      <c r="D169" s="36" t="s">
        <v>101</v>
      </c>
      <c r="E169" s="36"/>
      <c r="F169" s="36"/>
      <c r="G169" s="36" t="s">
        <v>364</v>
      </c>
      <c r="H169" s="36" t="s">
        <v>490</v>
      </c>
      <c r="I169" s="37">
        <v>363</v>
      </c>
      <c r="J169" s="38"/>
      <c r="K169" s="36" t="s">
        <v>501</v>
      </c>
      <c r="L169" s="36"/>
      <c r="M169" s="36"/>
    </row>
    <row r="170" spans="1:13">
      <c r="A170" s="36"/>
      <c r="B170" s="36"/>
      <c r="C170" s="36"/>
      <c r="D170" s="36" t="s">
        <v>101</v>
      </c>
      <c r="E170" s="36"/>
      <c r="F170" s="36"/>
      <c r="G170" s="36" t="s">
        <v>503</v>
      </c>
      <c r="H170" s="36" t="s">
        <v>490</v>
      </c>
      <c r="I170" s="37">
        <v>20</v>
      </c>
      <c r="J170" s="38"/>
      <c r="K170" s="36" t="s">
        <v>501</v>
      </c>
      <c r="L170" s="36"/>
      <c r="M170" s="36"/>
    </row>
    <row r="171" spans="1:13">
      <c r="A171" s="36"/>
      <c r="B171" s="36"/>
      <c r="C171" s="36"/>
      <c r="D171" s="36"/>
      <c r="E171" s="36"/>
      <c r="F171" s="36"/>
      <c r="G171" s="36" t="s">
        <v>393</v>
      </c>
      <c r="H171" s="36" t="s">
        <v>490</v>
      </c>
      <c r="I171" s="37">
        <v>33</v>
      </c>
      <c r="J171" s="38" t="s">
        <v>383</v>
      </c>
      <c r="K171" s="36"/>
      <c r="L171" s="36"/>
      <c r="M171" s="36"/>
    </row>
    <row r="172" spans="1:13">
      <c r="A172" s="36"/>
      <c r="B172" s="36"/>
      <c r="C172" s="36"/>
      <c r="D172" s="36" t="s">
        <v>101</v>
      </c>
      <c r="E172" s="36"/>
      <c r="F172" s="36"/>
      <c r="G172" s="36" t="s">
        <v>410</v>
      </c>
      <c r="H172" s="36" t="s">
        <v>490</v>
      </c>
      <c r="I172" s="37">
        <v>12</v>
      </c>
      <c r="J172" s="38"/>
      <c r="K172" s="36" t="s">
        <v>501</v>
      </c>
      <c r="L172" s="36"/>
      <c r="M172" s="36"/>
    </row>
    <row r="173" spans="1:13">
      <c r="A173" s="36"/>
      <c r="B173" s="36"/>
      <c r="C173" s="36"/>
      <c r="D173" s="36"/>
      <c r="E173" s="36"/>
      <c r="F173" s="36"/>
      <c r="G173" s="36" t="s">
        <v>410</v>
      </c>
      <c r="H173" s="36" t="s">
        <v>490</v>
      </c>
      <c r="I173" s="37">
        <v>5</v>
      </c>
      <c r="J173" s="38" t="s">
        <v>383</v>
      </c>
      <c r="K173" s="36"/>
      <c r="L173" s="36"/>
      <c r="M173" s="36"/>
    </row>
    <row r="174" spans="1:13">
      <c r="A174" s="36"/>
      <c r="B174" s="36"/>
      <c r="C174" s="36"/>
      <c r="D174" s="36" t="s">
        <v>101</v>
      </c>
      <c r="E174" s="36"/>
      <c r="F174" s="36"/>
      <c r="G174" s="36" t="s">
        <v>415</v>
      </c>
      <c r="H174" s="36" t="s">
        <v>490</v>
      </c>
      <c r="I174" s="37">
        <v>133</v>
      </c>
      <c r="J174" s="38"/>
      <c r="K174" s="39" t="s">
        <v>501</v>
      </c>
      <c r="L174" s="36"/>
      <c r="M174" s="36"/>
    </row>
    <row r="175" spans="1:13">
      <c r="A175" s="36"/>
      <c r="B175" s="36"/>
      <c r="C175" s="36"/>
      <c r="D175" s="36"/>
      <c r="E175" s="36"/>
      <c r="F175" s="36"/>
      <c r="G175" s="36" t="s">
        <v>415</v>
      </c>
      <c r="H175" s="36" t="s">
        <v>490</v>
      </c>
      <c r="I175" s="37">
        <v>16</v>
      </c>
      <c r="J175" s="38" t="s">
        <v>416</v>
      </c>
      <c r="K175" s="36"/>
      <c r="L175" s="36"/>
      <c r="M175" s="36"/>
    </row>
    <row r="176" spans="1:13">
      <c r="A176" s="36"/>
      <c r="B176" s="36"/>
      <c r="C176" s="36"/>
      <c r="D176" s="36"/>
      <c r="E176" s="36"/>
      <c r="F176" s="36"/>
      <c r="G176" s="36" t="s">
        <v>504</v>
      </c>
      <c r="H176" s="36" t="s">
        <v>490</v>
      </c>
      <c r="I176" s="37">
        <v>74</v>
      </c>
      <c r="J176" s="38" t="s">
        <v>416</v>
      </c>
      <c r="K176" s="36"/>
      <c r="L176" s="36"/>
      <c r="M176" s="36"/>
    </row>
    <row r="177" spans="1:13">
      <c r="A177" s="36"/>
      <c r="B177" s="36"/>
      <c r="C177" s="36" t="s">
        <v>505</v>
      </c>
      <c r="D177" s="36"/>
      <c r="E177" s="36"/>
      <c r="F177" s="36"/>
      <c r="G177" s="36" t="s">
        <v>425</v>
      </c>
      <c r="H177" s="36" t="s">
        <v>490</v>
      </c>
      <c r="I177" s="37">
        <v>106</v>
      </c>
      <c r="J177" s="38" t="s">
        <v>416</v>
      </c>
      <c r="K177" s="36"/>
      <c r="L177" s="36"/>
      <c r="M177" s="36"/>
    </row>
    <row r="178" spans="1:13">
      <c r="A178" s="36"/>
      <c r="B178" s="36"/>
      <c r="C178" s="36"/>
      <c r="D178" s="36"/>
      <c r="E178" s="36"/>
      <c r="F178" s="36"/>
      <c r="G178" s="36" t="s">
        <v>506</v>
      </c>
      <c r="H178" s="36" t="s">
        <v>490</v>
      </c>
      <c r="I178" s="37">
        <v>71</v>
      </c>
      <c r="J178" s="38" t="s">
        <v>416</v>
      </c>
      <c r="K178" s="36"/>
      <c r="L178" s="36"/>
      <c r="M178" s="36"/>
    </row>
    <row r="179" spans="1:13">
      <c r="A179" s="36"/>
      <c r="B179" s="36"/>
      <c r="C179" s="36"/>
      <c r="D179" s="36" t="s">
        <v>101</v>
      </c>
      <c r="E179" s="36"/>
      <c r="F179" s="36"/>
      <c r="G179" s="36" t="s">
        <v>431</v>
      </c>
      <c r="H179" s="36" t="s">
        <v>490</v>
      </c>
      <c r="I179" s="37">
        <v>1133</v>
      </c>
      <c r="J179" s="38"/>
      <c r="K179" s="36" t="s">
        <v>501</v>
      </c>
      <c r="L179" s="36"/>
      <c r="M179" s="36"/>
    </row>
    <row r="180" spans="1:13">
      <c r="A180" s="36"/>
      <c r="B180" s="36"/>
      <c r="C180" s="36"/>
      <c r="D180" s="36"/>
      <c r="E180" s="36"/>
      <c r="F180" s="36"/>
      <c r="G180" s="36" t="s">
        <v>431</v>
      </c>
      <c r="H180" s="36" t="s">
        <v>490</v>
      </c>
      <c r="I180" s="37">
        <v>18</v>
      </c>
      <c r="J180" s="38" t="s">
        <v>416</v>
      </c>
      <c r="K180" s="36"/>
      <c r="L180" s="36"/>
      <c r="M180" s="36"/>
    </row>
    <row r="181" spans="1:13">
      <c r="A181" s="36"/>
      <c r="B181" s="36"/>
      <c r="C181" s="36"/>
      <c r="D181" s="36"/>
      <c r="E181" s="36"/>
      <c r="F181" s="36"/>
      <c r="G181" s="36" t="s">
        <v>431</v>
      </c>
      <c r="H181" s="36" t="s">
        <v>490</v>
      </c>
      <c r="I181" s="37">
        <v>54</v>
      </c>
      <c r="J181" s="38" t="s">
        <v>416</v>
      </c>
      <c r="K181" s="36"/>
      <c r="L181" s="36"/>
      <c r="M181" s="36"/>
    </row>
    <row r="182" spans="1:13">
      <c r="A182" s="36"/>
      <c r="B182" s="36"/>
      <c r="C182" s="36"/>
      <c r="D182" s="36"/>
      <c r="E182" s="36"/>
      <c r="F182" s="36"/>
      <c r="G182" s="36" t="s">
        <v>507</v>
      </c>
      <c r="H182" s="36" t="s">
        <v>490</v>
      </c>
      <c r="I182" s="37">
        <v>189</v>
      </c>
      <c r="J182" s="38" t="s">
        <v>416</v>
      </c>
      <c r="K182" s="36"/>
      <c r="L182" s="36"/>
      <c r="M182" s="36"/>
    </row>
    <row r="183" spans="1:13">
      <c r="A183" s="36"/>
      <c r="B183" s="36"/>
      <c r="C183" s="36"/>
      <c r="D183" s="36"/>
      <c r="E183" s="36"/>
      <c r="F183" s="36"/>
      <c r="G183" s="36" t="s">
        <v>508</v>
      </c>
      <c r="H183" s="36" t="s">
        <v>490</v>
      </c>
      <c r="I183" s="37">
        <v>96</v>
      </c>
      <c r="J183" s="38" t="s">
        <v>416</v>
      </c>
      <c r="K183" s="36"/>
      <c r="L183" s="36"/>
      <c r="M183" s="36"/>
    </row>
    <row r="184" spans="1:13">
      <c r="A184" s="36"/>
      <c r="B184" s="36"/>
      <c r="C184" s="36"/>
      <c r="D184" s="36"/>
      <c r="E184" s="36"/>
      <c r="F184" s="36"/>
      <c r="G184" s="36" t="s">
        <v>438</v>
      </c>
      <c r="H184" s="36" t="s">
        <v>490</v>
      </c>
      <c r="I184" s="37">
        <v>112</v>
      </c>
      <c r="J184" s="38" t="s">
        <v>416</v>
      </c>
      <c r="K184" s="36"/>
      <c r="L184" s="36"/>
      <c r="M184" s="36"/>
    </row>
    <row r="185" spans="1:13">
      <c r="A185" s="36"/>
      <c r="B185" s="36"/>
      <c r="C185" s="36"/>
      <c r="D185" s="36"/>
      <c r="E185" s="36"/>
      <c r="F185" s="36"/>
      <c r="G185" s="36" t="s">
        <v>445</v>
      </c>
      <c r="H185" s="36" t="s">
        <v>490</v>
      </c>
      <c r="I185" s="37">
        <v>47</v>
      </c>
      <c r="J185" s="38" t="s">
        <v>416</v>
      </c>
      <c r="K185" s="36"/>
      <c r="L185" s="36"/>
      <c r="M185" s="36"/>
    </row>
    <row r="186" spans="1:13">
      <c r="A186" s="36"/>
      <c r="B186" s="36"/>
      <c r="C186" s="36"/>
      <c r="D186" s="36"/>
      <c r="E186" s="36"/>
      <c r="F186" s="36"/>
      <c r="G186" s="36" t="s">
        <v>448</v>
      </c>
      <c r="H186" s="36" t="s">
        <v>490</v>
      </c>
      <c r="I186" s="37">
        <v>326</v>
      </c>
      <c r="J186" s="38" t="s">
        <v>416</v>
      </c>
      <c r="K186" s="36"/>
      <c r="L186" s="36"/>
      <c r="M186" s="36"/>
    </row>
    <row r="187" spans="1:13">
      <c r="A187" s="36"/>
      <c r="B187" s="36"/>
      <c r="C187" s="36"/>
      <c r="D187" s="36"/>
      <c r="E187" s="36"/>
      <c r="F187" s="36"/>
      <c r="G187" s="36" t="s">
        <v>453</v>
      </c>
      <c r="H187" s="36" t="s">
        <v>490</v>
      </c>
      <c r="I187" s="37">
        <v>21</v>
      </c>
      <c r="J187" s="38" t="s">
        <v>416</v>
      </c>
      <c r="K187" s="36"/>
      <c r="L187" s="36"/>
      <c r="M187" s="36"/>
    </row>
    <row r="188" spans="1:13">
      <c r="A188" s="36"/>
      <c r="B188" s="36"/>
      <c r="C188" s="36"/>
      <c r="D188" s="36"/>
      <c r="E188" s="36"/>
      <c r="F188" s="36"/>
      <c r="G188" s="36" t="s">
        <v>457</v>
      </c>
      <c r="H188" s="36" t="s">
        <v>490</v>
      </c>
      <c r="I188" s="37">
        <v>20</v>
      </c>
      <c r="J188" s="38" t="s">
        <v>416</v>
      </c>
      <c r="K188" s="36"/>
      <c r="L188" s="36"/>
      <c r="M188" s="36"/>
    </row>
    <row r="189" spans="1:13">
      <c r="A189" s="36"/>
      <c r="B189" s="36"/>
      <c r="C189" s="36"/>
      <c r="D189" s="36"/>
      <c r="E189" s="36"/>
      <c r="F189" s="36"/>
      <c r="G189" s="36" t="s">
        <v>459</v>
      </c>
      <c r="H189" s="36" t="s">
        <v>490</v>
      </c>
      <c r="I189" s="37">
        <v>50</v>
      </c>
      <c r="J189" s="38" t="s">
        <v>416</v>
      </c>
      <c r="K189" s="36"/>
      <c r="L189" s="36"/>
      <c r="M189" s="36"/>
    </row>
    <row r="190" spans="1:13">
      <c r="A190" s="36"/>
      <c r="B190" s="36"/>
      <c r="C190" s="36"/>
      <c r="D190" s="36" t="s">
        <v>101</v>
      </c>
      <c r="E190" s="36"/>
      <c r="F190" s="36"/>
      <c r="G190" s="36" t="s">
        <v>471</v>
      </c>
      <c r="H190" s="36" t="s">
        <v>490</v>
      </c>
      <c r="I190" s="37">
        <v>1931</v>
      </c>
      <c r="J190" s="38"/>
      <c r="K190" s="36" t="s">
        <v>501</v>
      </c>
      <c r="L190" s="36"/>
      <c r="M190" s="36"/>
    </row>
    <row r="191" spans="1:13">
      <c r="A191" s="44"/>
      <c r="B191" s="44"/>
      <c r="C191" s="44"/>
      <c r="D191" s="44"/>
      <c r="E191" s="44"/>
      <c r="F191" s="44"/>
      <c r="G191" s="44"/>
      <c r="H191" s="44"/>
      <c r="I191" s="45">
        <f>SUM(I25:I190)</f>
        <v>12847</v>
      </c>
      <c r="J191" s="46"/>
      <c r="K191" s="44"/>
      <c r="L191" s="44"/>
      <c r="M191" s="44"/>
    </row>
  </sheetData>
  <mergeCells count="5">
    <mergeCell ref="B9:B10"/>
    <mergeCell ref="B11:B12"/>
    <mergeCell ref="B13:B14"/>
    <mergeCell ref="B15:B16"/>
    <mergeCell ref="B7:B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intra</vt:lpstr>
      <vt:lpstr>pre1790Dutchdepart</vt:lpstr>
      <vt:lpstr>pre1790Britishdepart</vt:lpstr>
      <vt:lpstr>post1789SpanArriv</vt:lpstr>
      <vt:lpstr>RiodelaPlata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Eltis</cp:lastModifiedBy>
  <dcterms:created xsi:type="dcterms:W3CDTF">2012-12-28T00:34:52Z</dcterms:created>
  <dcterms:modified xsi:type="dcterms:W3CDTF">2016-01-27T03:54:05Z</dcterms:modified>
</cp:coreProperties>
</file>